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3.xml" ContentType="application/vnd.openxmlformats-officedocument.drawing+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23.xml" ContentType="application/vnd.ms-office.chartstyle+xml"/>
  <Override PartName="/xl/charts/colors23.xml" ContentType="application/vnd.ms-office.chartcolorstyle+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charts/chart45.xml" ContentType="application/vnd.openxmlformats-officedocument.drawingml.chart+xml"/>
  <Override PartName="/xl/charts/style27.xml" ContentType="application/vnd.ms-office.chartstyle+xml"/>
  <Override PartName="/xl/charts/colors27.xml" ContentType="application/vnd.ms-office.chartcolorstyle+xml"/>
  <Override PartName="/xl/charts/chart46.xml" ContentType="application/vnd.openxmlformats-officedocument.drawingml.chart+xml"/>
  <Override PartName="/xl/charts/style28.xml" ContentType="application/vnd.ms-office.chartstyle+xml"/>
  <Override PartName="/xl/charts/colors28.xml" ContentType="application/vnd.ms-office.chartcolorstyle+xml"/>
  <Override PartName="/xl/charts/chart47.xml" ContentType="application/vnd.openxmlformats-officedocument.drawingml.chart+xml"/>
  <Override PartName="/xl/charts/style29.xml" ContentType="application/vnd.ms-office.chartstyle+xml"/>
  <Override PartName="/xl/charts/colors29.xml" ContentType="application/vnd.ms-office.chartcolorstyle+xml"/>
  <Override PartName="/xl/charts/chart48.xml" ContentType="application/vnd.openxmlformats-officedocument.drawingml.chart+xml"/>
  <Override PartName="/xl/charts/style30.xml" ContentType="application/vnd.ms-office.chartstyle+xml"/>
  <Override PartName="/xl/charts/colors30.xml" ContentType="application/vnd.ms-office.chartcolorstyle+xml"/>
  <Override PartName="/xl/charts/chart49.xml" ContentType="application/vnd.openxmlformats-officedocument.drawingml.chart+xml"/>
  <Override PartName="/xl/charts/style31.xml" ContentType="application/vnd.ms-office.chartstyle+xml"/>
  <Override PartName="/xl/charts/colors31.xml" ContentType="application/vnd.ms-office.chartcolorstyle+xml"/>
  <Override PartName="/xl/charts/chart50.xml" ContentType="application/vnd.openxmlformats-officedocument.drawingml.chart+xml"/>
  <Override PartName="/xl/charts/style32.xml" ContentType="application/vnd.ms-office.chartstyle+xml"/>
  <Override PartName="/xl/charts/colors32.xml" ContentType="application/vnd.ms-office.chartcolorstyle+xml"/>
  <Override PartName="/xl/charts/chart51.xml" ContentType="application/vnd.openxmlformats-officedocument.drawingml.chart+xml"/>
  <Override PartName="/xl/charts/style33.xml" ContentType="application/vnd.ms-office.chartstyle+xml"/>
  <Override PartName="/xl/charts/colors33.xml" ContentType="application/vnd.ms-office.chartcolorstyle+xml"/>
  <Override PartName="/xl/charts/chart52.xml" ContentType="application/vnd.openxmlformats-officedocument.drawingml.chart+xml"/>
  <Override PartName="/xl/charts/style34.xml" ContentType="application/vnd.ms-office.chartstyle+xml"/>
  <Override PartName="/xl/charts/colors34.xml" ContentType="application/vnd.ms-office.chartcolorstyle+xml"/>
  <Override PartName="/xl/charts/chart53.xml" ContentType="application/vnd.openxmlformats-officedocument.drawingml.chart+xml"/>
  <Override PartName="/xl/charts/style35.xml" ContentType="application/vnd.ms-office.chartstyle+xml"/>
  <Override PartName="/xl/charts/colors35.xml" ContentType="application/vnd.ms-office.chartcolorstyl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charts/chart61.xml" ContentType="application/vnd.openxmlformats-officedocument.drawingml.chart+xml"/>
  <Override PartName="/xl/charts/style43.xml" ContentType="application/vnd.ms-office.chartstyle+xml"/>
  <Override PartName="/xl/charts/colors43.xml" ContentType="application/vnd.ms-office.chartcolorstyle+xml"/>
  <Override PartName="/xl/charts/chart62.xml" ContentType="application/vnd.openxmlformats-officedocument.drawingml.chart+xml"/>
  <Override PartName="/xl/charts/style44.xml" ContentType="application/vnd.ms-office.chartstyle+xml"/>
  <Override PartName="/xl/charts/colors44.xml" ContentType="application/vnd.ms-office.chartcolorstyle+xml"/>
  <Override PartName="/xl/charts/chart63.xml" ContentType="application/vnd.openxmlformats-officedocument.drawingml.chart+xml"/>
  <Override PartName="/xl/charts/style45.xml" ContentType="application/vnd.ms-office.chartstyle+xml"/>
  <Override PartName="/xl/charts/colors45.xml" ContentType="application/vnd.ms-office.chartcolorstyle+xml"/>
  <Override PartName="/xl/charts/chart64.xml" ContentType="application/vnd.openxmlformats-officedocument.drawingml.chart+xml"/>
  <Override PartName="/xl/charts/style46.xml" ContentType="application/vnd.ms-office.chartstyle+xml"/>
  <Override PartName="/xl/charts/colors46.xml" ContentType="application/vnd.ms-office.chartcolorstyle+xml"/>
  <Override PartName="/xl/charts/chart65.xml" ContentType="application/vnd.openxmlformats-officedocument.drawingml.chart+xml"/>
  <Override PartName="/xl/charts/style47.xml" ContentType="application/vnd.ms-office.chartstyle+xml"/>
  <Override PartName="/xl/charts/colors47.xml" ContentType="application/vnd.ms-office.chartcolorstyle+xml"/>
  <Override PartName="/xl/charts/chart66.xml" ContentType="application/vnd.openxmlformats-officedocument.drawingml.chart+xml"/>
  <Override PartName="/xl/charts/style48.xml" ContentType="application/vnd.ms-office.chartstyle+xml"/>
  <Override PartName="/xl/charts/colors48.xml" ContentType="application/vnd.ms-office.chartcolorstyle+xml"/>
  <Override PartName="/xl/charts/chart67.xml" ContentType="application/vnd.openxmlformats-officedocument.drawingml.chart+xml"/>
  <Override PartName="/xl/charts/style49.xml" ContentType="application/vnd.ms-office.chartstyle+xml"/>
  <Override PartName="/xl/charts/colors49.xml" ContentType="application/vnd.ms-office.chartcolorstyle+xml"/>
  <Override PartName="/xl/charts/chart68.xml" ContentType="application/vnd.openxmlformats-officedocument.drawingml.chart+xml"/>
  <Override PartName="/xl/charts/style50.xml" ContentType="application/vnd.ms-office.chartstyle+xml"/>
  <Override PartName="/xl/charts/colors50.xml" ContentType="application/vnd.ms-office.chartcolorstyle+xml"/>
  <Override PartName="/xl/charts/chart69.xml" ContentType="application/vnd.openxmlformats-officedocument.drawingml.chart+xml"/>
  <Override PartName="/xl/charts/style51.xml" ContentType="application/vnd.ms-office.chartstyle+xml"/>
  <Override PartName="/xl/charts/colors51.xml" ContentType="application/vnd.ms-office.chartcolorstyle+xml"/>
  <Override PartName="/xl/charts/chart70.xml" ContentType="application/vnd.openxmlformats-officedocument.drawingml.chart+xml"/>
  <Override PartName="/xl/charts/style52.xml" ContentType="application/vnd.ms-office.chartstyle+xml"/>
  <Override PartName="/xl/charts/colors52.xml" ContentType="application/vnd.ms-office.chartcolorstyle+xml"/>
  <Override PartName="/xl/charts/chart71.xml" ContentType="application/vnd.openxmlformats-officedocument.drawingml.chart+xml"/>
  <Override PartName="/xl/charts/style53.xml" ContentType="application/vnd.ms-office.chartstyle+xml"/>
  <Override PartName="/xl/charts/colors53.xml" ContentType="application/vnd.ms-office.chartcolorstyle+xml"/>
  <Override PartName="/xl/charts/chart7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73.xml" ContentType="application/vnd.openxmlformats-officedocument.drawingml.chart+xml"/>
  <Override PartName="/xl/charts/style55.xml" ContentType="application/vnd.ms-office.chartstyle+xml"/>
  <Override PartName="/xl/charts/colors55.xml" ContentType="application/vnd.ms-office.chartcolorstyle+xml"/>
  <Override PartName="/xl/charts/chart74.xml" ContentType="application/vnd.openxmlformats-officedocument.drawingml.chart+xml"/>
  <Override PartName="/xl/charts/style56.xml" ContentType="application/vnd.ms-office.chartstyle+xml"/>
  <Override PartName="/xl/charts/colors56.xml" ContentType="application/vnd.ms-office.chartcolorstyle+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style61.xml" ContentType="application/vnd.ms-office.chartstyle+xml"/>
  <Override PartName="/xl/charts/colors61.xml" ContentType="application/vnd.ms-office.chartcolorstyle+xml"/>
  <Override PartName="/xl/charts/chart80.xml" ContentType="application/vnd.openxmlformats-officedocument.drawingml.chart+xml"/>
  <Override PartName="/xl/charts/style62.xml" ContentType="application/vnd.ms-office.chartstyle+xml"/>
  <Override PartName="/xl/charts/colors62.xml" ContentType="application/vnd.ms-office.chartcolorstyle+xml"/>
  <Override PartName="/xl/charts/chart81.xml" ContentType="application/vnd.openxmlformats-officedocument.drawingml.chart+xml"/>
  <Override PartName="/xl/charts/style63.xml" ContentType="application/vnd.ms-office.chartstyle+xml"/>
  <Override PartName="/xl/charts/colors63.xml" ContentType="application/vnd.ms-office.chartcolorstyle+xml"/>
  <Override PartName="/xl/charts/chart82.xml" ContentType="application/vnd.openxmlformats-officedocument.drawingml.chart+xml"/>
  <Override PartName="/xl/charts/style64.xml" ContentType="application/vnd.ms-office.chartstyle+xml"/>
  <Override PartName="/xl/charts/colors64.xml" ContentType="application/vnd.ms-office.chartcolorstyle+xml"/>
  <Override PartName="/xl/charts/chart83.xml" ContentType="application/vnd.openxmlformats-officedocument.drawingml.chart+xml"/>
  <Override PartName="/xl/charts/style65.xml" ContentType="application/vnd.ms-office.chartstyle+xml"/>
  <Override PartName="/xl/charts/colors65.xml" ContentType="application/vnd.ms-office.chartcolorstyle+xml"/>
  <Override PartName="/xl/charts/chart84.xml" ContentType="application/vnd.openxmlformats-officedocument.drawingml.chart+xml"/>
  <Override PartName="/xl/charts/style66.xml" ContentType="application/vnd.ms-office.chartstyle+xml"/>
  <Override PartName="/xl/charts/colors66.xml" ContentType="application/vnd.ms-office.chartcolorstyle+xml"/>
  <Override PartName="/xl/charts/chart85.xml" ContentType="application/vnd.openxmlformats-officedocument.drawingml.chart+xml"/>
  <Override PartName="/xl/charts/style67.xml" ContentType="application/vnd.ms-office.chartstyle+xml"/>
  <Override PartName="/xl/charts/colors67.xml" ContentType="application/vnd.ms-office.chartcolorstyle+xml"/>
  <Override PartName="/xl/charts/chart86.xml" ContentType="application/vnd.openxmlformats-officedocument.drawingml.chart+xml"/>
  <Override PartName="/xl/charts/style68.xml" ContentType="application/vnd.ms-office.chartstyle+xml"/>
  <Override PartName="/xl/charts/colors68.xml" ContentType="application/vnd.ms-office.chartcolorstyle+xml"/>
  <Override PartName="/xl/charts/chart87.xml" ContentType="application/vnd.openxmlformats-officedocument.drawingml.chart+xml"/>
  <Override PartName="/xl/charts/style69.xml" ContentType="application/vnd.ms-office.chartstyle+xml"/>
  <Override PartName="/xl/charts/colors69.xml" ContentType="application/vnd.ms-office.chartcolorstyle+xml"/>
  <Override PartName="/xl/charts/chart88.xml" ContentType="application/vnd.openxmlformats-officedocument.drawingml.chart+xml"/>
  <Override PartName="/xl/charts/style70.xml" ContentType="application/vnd.ms-office.chartstyle+xml"/>
  <Override PartName="/xl/charts/colors70.xml" ContentType="application/vnd.ms-office.chartcolorstyle+xml"/>
  <Override PartName="/xl/charts/chart89.xml" ContentType="application/vnd.openxmlformats-officedocument.drawingml.chart+xml"/>
  <Override PartName="/xl/charts/style71.xml" ContentType="application/vnd.ms-office.chartstyle+xml"/>
  <Override PartName="/xl/charts/colors71.xml" ContentType="application/vnd.ms-office.chartcolorstyle+xml"/>
  <Override PartName="/xl/charts/chart90.xml" ContentType="application/vnd.openxmlformats-officedocument.drawingml.chart+xml"/>
  <Override PartName="/xl/charts/chart91.xml" ContentType="application/vnd.openxmlformats-officedocument.drawingml.chart+xml"/>
  <Override PartName="/xl/charts/style72.xml" ContentType="application/vnd.ms-office.chartstyle+xml"/>
  <Override PartName="/xl/charts/colors72.xml" ContentType="application/vnd.ms-office.chartcolorstyle+xml"/>
  <Override PartName="/xl/charts/chart92.xml" ContentType="application/vnd.openxmlformats-officedocument.drawingml.chart+xml"/>
  <Override PartName="/xl/charts/style73.xml" ContentType="application/vnd.ms-office.chartstyle+xml"/>
  <Override PartName="/xl/charts/colors73.xml" ContentType="application/vnd.ms-office.chartcolorstyle+xml"/>
  <Override PartName="/xl/charts/chart93.xml" ContentType="application/vnd.openxmlformats-officedocument.drawingml.chart+xml"/>
  <Override PartName="/xl/charts/style74.xml" ContentType="application/vnd.ms-office.chartstyle+xml"/>
  <Override PartName="/xl/charts/colors74.xml" ContentType="application/vnd.ms-office.chartcolorstyle+xml"/>
  <Override PartName="/xl/charts/chart94.xml" ContentType="application/vnd.openxmlformats-officedocument.drawingml.chart+xml"/>
  <Override PartName="/xl/charts/style75.xml" ContentType="application/vnd.ms-office.chartstyle+xml"/>
  <Override PartName="/xl/charts/colors75.xml" ContentType="application/vnd.ms-office.chartcolorstyle+xml"/>
  <Override PartName="/xl/charts/chart95.xml" ContentType="application/vnd.openxmlformats-officedocument.drawingml.chart+xml"/>
  <Override PartName="/xl/charts/style76.xml" ContentType="application/vnd.ms-office.chartstyle+xml"/>
  <Override PartName="/xl/charts/colors76.xml" ContentType="application/vnd.ms-office.chartcolorstyle+xml"/>
  <Override PartName="/xl/charts/chart96.xml" ContentType="application/vnd.openxmlformats-officedocument.drawingml.chart+xml"/>
  <Override PartName="/xl/charts/style77.xml" ContentType="application/vnd.ms-office.chartstyle+xml"/>
  <Override PartName="/xl/charts/colors77.xml" ContentType="application/vnd.ms-office.chartcolorstyle+xml"/>
  <Override PartName="/xl/charts/chart97.xml" ContentType="application/vnd.openxmlformats-officedocument.drawingml.chart+xml"/>
  <Override PartName="/xl/charts/style78.xml" ContentType="application/vnd.ms-office.chartstyle+xml"/>
  <Override PartName="/xl/charts/colors78.xml" ContentType="application/vnd.ms-office.chartcolorstyle+xml"/>
  <Override PartName="/xl/charts/chart98.xml" ContentType="application/vnd.openxmlformats-officedocument.drawingml.chart+xml"/>
  <Override PartName="/xl/charts/style79.xml" ContentType="application/vnd.ms-office.chartstyle+xml"/>
  <Override PartName="/xl/charts/colors79.xml" ContentType="application/vnd.ms-office.chartcolorstyle+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harts/chart106.xml" ContentType="application/vnd.openxmlformats-officedocument.drawingml.chart+xml"/>
  <Override PartName="/xl/charts/style87.xml" ContentType="application/vnd.ms-office.chartstyle+xml"/>
  <Override PartName="/xl/charts/colors87.xml" ContentType="application/vnd.ms-office.chartcolorstyle+xml"/>
  <Override PartName="/xl/charts/chart107.xml" ContentType="application/vnd.openxmlformats-officedocument.drawingml.chart+xml"/>
  <Override PartName="/xl/charts/style88.xml" ContentType="application/vnd.ms-office.chartstyle+xml"/>
  <Override PartName="/xl/charts/colors88.xml" ContentType="application/vnd.ms-office.chartcolorstyle+xml"/>
  <Override PartName="/xl/charts/chart108.xml" ContentType="application/vnd.openxmlformats-officedocument.drawingml.chart+xml"/>
  <Override PartName="/xl/charts/style89.xml" ContentType="application/vnd.ms-office.chartstyle+xml"/>
  <Override PartName="/xl/charts/colors89.xml" ContentType="application/vnd.ms-office.chartcolorstyle+xml"/>
  <Override PartName="/xl/charts/chart109.xml" ContentType="application/vnd.openxmlformats-officedocument.drawingml.chart+xml"/>
  <Override PartName="/xl/charts/style90.xml" ContentType="application/vnd.ms-office.chartstyle+xml"/>
  <Override PartName="/xl/charts/colors90.xml" ContentType="application/vnd.ms-office.chartcolorstyle+xml"/>
  <Override PartName="/xl/charts/chart110.xml" ContentType="application/vnd.openxmlformats-officedocument.drawingml.chart+xml"/>
  <Override PartName="/xl/charts/style91.xml" ContentType="application/vnd.ms-office.chartstyle+xml"/>
  <Override PartName="/xl/charts/colors91.xml" ContentType="application/vnd.ms-office.chartcolorstyle+xml"/>
  <Override PartName="/xl/charts/chart111.xml" ContentType="application/vnd.openxmlformats-officedocument.drawingml.chart+xml"/>
  <Override PartName="/xl/charts/style92.xml" ContentType="application/vnd.ms-office.chartstyle+xml"/>
  <Override PartName="/xl/charts/colors92.xml" ContentType="application/vnd.ms-office.chartcolorstyle+xml"/>
  <Override PartName="/xl/charts/chart112.xml" ContentType="application/vnd.openxmlformats-officedocument.drawingml.chart+xml"/>
  <Override PartName="/xl/charts/style93.xml" ContentType="application/vnd.ms-office.chartstyle+xml"/>
  <Override PartName="/xl/charts/colors93.xml" ContentType="application/vnd.ms-office.chartcolorstyle+xml"/>
  <Override PartName="/xl/charts/chart113.xml" ContentType="application/vnd.openxmlformats-officedocument.drawingml.chart+xml"/>
  <Override PartName="/xl/charts/style94.xml" ContentType="application/vnd.ms-office.chartstyle+xml"/>
  <Override PartName="/xl/charts/colors94.xml" ContentType="application/vnd.ms-office.chartcolorstyle+xml"/>
  <Override PartName="/xl/charts/chart114.xml" ContentType="application/vnd.openxmlformats-officedocument.drawingml.chart+xml"/>
  <Override PartName="/xl/charts/style95.xml" ContentType="application/vnd.ms-office.chartstyle+xml"/>
  <Override PartName="/xl/charts/colors95.xml" ContentType="application/vnd.ms-office.chartcolorstyle+xml"/>
  <Override PartName="/xl/charts/chart115.xml" ContentType="application/vnd.openxmlformats-officedocument.drawingml.chart+xml"/>
  <Override PartName="/xl/charts/style96.xml" ContentType="application/vnd.ms-office.chartstyle+xml"/>
  <Override PartName="/xl/charts/colors96.xml" ContentType="application/vnd.ms-office.chartcolorstyle+xml"/>
  <Override PartName="/xl/charts/chart116.xml" ContentType="application/vnd.openxmlformats-officedocument.drawingml.chart+xml"/>
  <Override PartName="/xl/charts/style97.xml" ContentType="application/vnd.ms-office.chartstyle+xml"/>
  <Override PartName="/xl/charts/colors97.xml" ContentType="application/vnd.ms-office.chartcolorstyle+xml"/>
  <Override PartName="/xl/charts/chart117.xml" ContentType="application/vnd.openxmlformats-officedocument.drawingml.chart+xml"/>
  <Override PartName="/xl/charts/style98.xml" ContentType="application/vnd.ms-office.chartstyle+xml"/>
  <Override PartName="/xl/charts/colors98.xml" ContentType="application/vnd.ms-office.chartcolorstyle+xml"/>
  <Override PartName="/xl/charts/chart118.xml" ContentType="application/vnd.openxmlformats-officedocument.drawingml.chart+xml"/>
  <Override PartName="/xl/charts/style99.xml" ContentType="application/vnd.ms-office.chartstyle+xml"/>
  <Override PartName="/xl/charts/colors99.xml" ContentType="application/vnd.ms-office.chartcolorstyle+xml"/>
  <Override PartName="/xl/charts/chart119.xml" ContentType="application/vnd.openxmlformats-officedocument.drawingml.chart+xml"/>
  <Override PartName="/xl/charts/chart12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21.xml" ContentType="application/vnd.openxmlformats-officedocument.drawingml.chart+xml"/>
  <Override PartName="/xl/charts/chart122.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23.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24.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25.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charts/chart126.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27.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28.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29.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30.xml" ContentType="application/vnd.openxmlformats-officedocument.drawingml.chart+xml"/>
  <Override PartName="/xl/charts/style109.xml" ContentType="application/vnd.ms-office.chartstyle+xml"/>
  <Override PartName="/xl/charts/colors10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Data\UFAWU\2026_8_August\Chum salmon bycatch report\"/>
    </mc:Choice>
  </mc:AlternateContent>
  <xr:revisionPtr revIDLastSave="0" documentId="13_ncr:1_{CBEC4043-9242-4D87-A27B-3C57A40E80F0}" xr6:coauthVersionLast="47" xr6:coauthVersionMax="47" xr10:uidLastSave="{00000000-0000-0000-0000-000000000000}"/>
  <bookViews>
    <workbookView xWindow="-110" yWindow="-110" windowWidth="25820" windowHeight="15500" firstSheet="4" activeTab="7" xr2:uid="{848D9274-A22E-48FB-A236-0E21D922D889}"/>
  </bookViews>
  <sheets>
    <sheet name="Orig data" sheetId="1" r:id="rId1"/>
    <sheet name="SR + catch data Haley" sheetId="2" r:id="rId2"/>
    <sheet name="SR + catch data Murdoch_age con" sheetId="6" r:id="rId3"/>
    <sheet name="SR + catch data Murdoch_age var" sheetId="5" r:id="rId4"/>
    <sheet name="Thompson Steelhead" sheetId="8" r:id="rId5"/>
    <sheet name="Chilcotin River steelhead" sheetId="9" r:id="rId6"/>
    <sheet name="covariates" sheetId="3" r:id="rId7"/>
    <sheet name="Retrospective Run1" sheetId="7" r:id="rId8"/>
    <sheet name="lag 1 autocorr model" sheetId="4" r:id="rId9"/>
  </sheets>
  <definedNames>
    <definedName name="alphaV">'Retrospective Run1'!$AH$9</definedName>
    <definedName name="ar">'lag 1 autocorr model'!$G$2</definedName>
    <definedName name="br">'lag 1 autocorr model'!$G$3</definedName>
    <definedName name="byrate">'Retrospective Run1'!$AI$11</definedName>
    <definedName name="chilcotSSLz">covariates!$V$85</definedName>
    <definedName name="deltaPred">'Retrospective Run1'!$AY$10</definedName>
    <definedName name="Fnbycatch">'Retrospective Run1'!$AJ$7</definedName>
    <definedName name="ndata">'Retrospective Run1'!$AY$1</definedName>
    <definedName name="ndatachum">'Retrospective Run1'!$C$105</definedName>
    <definedName name="ndatatot">'Retrospective Run1'!$AZ$109</definedName>
    <definedName name="negLL">'lag 1 autocorr model'!$G$6</definedName>
    <definedName name="rho">'lag 1 autocorr model'!$G$5</definedName>
    <definedName name="rundays">'Retrospective Run1'!$FQ$8</definedName>
    <definedName name="sdtot">'Retrospective Run1'!$AZ$111</definedName>
    <definedName name="sige">'lag 1 autocorr model'!$G$6</definedName>
    <definedName name="sigev">'lag 1 autocorr model'!$G$9</definedName>
    <definedName name="sigmaCH">'Retrospective Run1'!$AY$7</definedName>
    <definedName name="sigmaTH">'Retrospective Run1'!$AY$6</definedName>
    <definedName name="sigr">'lag 1 autocorr model'!$G$4</definedName>
    <definedName name="solver_adj" localSheetId="8" hidden="1">'lag 1 autocorr model'!$N$13:$N$79,'lag 1 autocorr model'!$G$2:$G$3</definedName>
    <definedName name="solver_adj" localSheetId="7" hidden="1">'Retrospective Run1'!$AY$10</definedName>
    <definedName name="solver_cvg" localSheetId="8" hidden="1">0.0001</definedName>
    <definedName name="solver_cvg" localSheetId="7" hidden="1">0.0001</definedName>
    <definedName name="solver_drv" localSheetId="8" hidden="1">1</definedName>
    <definedName name="solver_drv" localSheetId="7" hidden="1">1</definedName>
    <definedName name="solver_eng" localSheetId="8" hidden="1">1</definedName>
    <definedName name="solver_eng" localSheetId="7" hidden="1">1</definedName>
    <definedName name="solver_eng" localSheetId="3" hidden="1">1</definedName>
    <definedName name="solver_est" localSheetId="8" hidden="1">1</definedName>
    <definedName name="solver_est" localSheetId="7" hidden="1">1</definedName>
    <definedName name="solver_itr" localSheetId="8" hidden="1">2147483647</definedName>
    <definedName name="solver_itr" localSheetId="7" hidden="1">2147483647</definedName>
    <definedName name="solver_mip" localSheetId="8" hidden="1">2147483647</definedName>
    <definedName name="solver_mip" localSheetId="7" hidden="1">2147483647</definedName>
    <definedName name="solver_mni" localSheetId="8" hidden="1">30</definedName>
    <definedName name="solver_mni" localSheetId="7" hidden="1">30</definedName>
    <definedName name="solver_mrt" localSheetId="8" hidden="1">0.075</definedName>
    <definedName name="solver_mrt" localSheetId="7" hidden="1">0.075</definedName>
    <definedName name="solver_msl" localSheetId="8" hidden="1">2</definedName>
    <definedName name="solver_msl" localSheetId="7" hidden="1">2</definedName>
    <definedName name="solver_neg" localSheetId="8" hidden="1">2</definedName>
    <definedName name="solver_neg" localSheetId="7" hidden="1">2</definedName>
    <definedName name="solver_neg" localSheetId="3" hidden="1">1</definedName>
    <definedName name="solver_nod" localSheetId="8" hidden="1">2147483647</definedName>
    <definedName name="solver_nod" localSheetId="7" hidden="1">2147483647</definedName>
    <definedName name="solver_num" localSheetId="8" hidden="1">0</definedName>
    <definedName name="solver_num" localSheetId="7" hidden="1">0</definedName>
    <definedName name="solver_num" localSheetId="3" hidden="1">0</definedName>
    <definedName name="solver_nwt" localSheetId="8" hidden="1">1</definedName>
    <definedName name="solver_nwt" localSheetId="7" hidden="1">1</definedName>
    <definedName name="solver_opt" localSheetId="8" hidden="1">'lag 1 autocorr model'!$G$8</definedName>
    <definedName name="solver_opt" localSheetId="7" hidden="1">'Retrospective Run1'!$AY$9</definedName>
    <definedName name="solver_opt" localSheetId="3" hidden="1">'SR + catch data Murdoch_age var'!$DN$8</definedName>
    <definedName name="solver_pre" localSheetId="8" hidden="1">0.000001</definedName>
    <definedName name="solver_pre" localSheetId="7" hidden="1">0.000001</definedName>
    <definedName name="solver_rbv" localSheetId="8" hidden="1">1</definedName>
    <definedName name="solver_rbv" localSheetId="7" hidden="1">1</definedName>
    <definedName name="solver_rlx" localSheetId="8" hidden="1">2</definedName>
    <definedName name="solver_rlx" localSheetId="7" hidden="1">2</definedName>
    <definedName name="solver_rsd" localSheetId="8" hidden="1">0</definedName>
    <definedName name="solver_rsd" localSheetId="7" hidden="1">0</definedName>
    <definedName name="solver_scl" localSheetId="8" hidden="1">1</definedName>
    <definedName name="solver_scl" localSheetId="7" hidden="1">1</definedName>
    <definedName name="solver_sho" localSheetId="8" hidden="1">2</definedName>
    <definedName name="solver_sho" localSheetId="7" hidden="1">2</definedName>
    <definedName name="solver_ssz" localSheetId="8" hidden="1">100</definedName>
    <definedName name="solver_ssz" localSheetId="7" hidden="1">100</definedName>
    <definedName name="solver_tim" localSheetId="8" hidden="1">2147483647</definedName>
    <definedName name="solver_tim" localSheetId="7" hidden="1">2147483647</definedName>
    <definedName name="solver_tol" localSheetId="8" hidden="1">0.01</definedName>
    <definedName name="solver_tol" localSheetId="7" hidden="1">0.01</definedName>
    <definedName name="solver_typ" localSheetId="8" hidden="1">2</definedName>
    <definedName name="solver_typ" localSheetId="7" hidden="1">2</definedName>
    <definedName name="solver_typ" localSheetId="3" hidden="1">1</definedName>
    <definedName name="solver_val" localSheetId="8" hidden="1">0</definedName>
    <definedName name="solver_val" localSheetId="7" hidden="1">0</definedName>
    <definedName name="solver_val" localSheetId="3" hidden="1">0</definedName>
    <definedName name="solver_ver" localSheetId="8" hidden="1">3</definedName>
    <definedName name="solver_ver" localSheetId="7" hidden="1">3</definedName>
    <definedName name="solver_ver" localSheetId="3" hidden="1">3</definedName>
    <definedName name="SSLavg">covariates!$V$3</definedName>
    <definedName name="SSLavgCH">covariates!$AD$3</definedName>
    <definedName name="sslavgTH">covariates!$AC$3</definedName>
    <definedName name="SSLcontrol">'Retrospective Run1'!$AI$10</definedName>
    <definedName name="SSLsd">covariates!$V$4</definedName>
    <definedName name="SSLsdCH">covariates!$AD$4</definedName>
    <definedName name="SSLsdTH">covariates!$AC$4</definedName>
    <definedName name="SSLz">'Retrospective Run1'!$FD$9</definedName>
    <definedName name="sumsqchum">'Retrospective Run1'!$C$104</definedName>
    <definedName name="thompSSLz">covariates!$V$84</definedName>
    <definedName name="Uapply">'Retrospective Run1'!$AJ$9</definedName>
    <definedName name="Uhistoric">'Retrospective Run1'!$AJ$8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F14" i="7" l="1"/>
  <c r="FM35" i="7"/>
  <c r="FG34" i="7"/>
  <c r="FL14" i="7"/>
  <c r="FL15" i="7"/>
  <c r="FG15" i="7"/>
  <c r="FG16" i="7"/>
  <c r="FG17" i="7"/>
  <c r="FG18" i="7"/>
  <c r="FG19" i="7"/>
  <c r="FG20" i="7"/>
  <c r="FG21" i="7"/>
  <c r="FG22" i="7"/>
  <c r="FG23" i="7"/>
  <c r="FG24" i="7"/>
  <c r="FG25" i="7"/>
  <c r="FG26" i="7"/>
  <c r="FG27" i="7"/>
  <c r="FG28" i="7"/>
  <c r="FG29" i="7"/>
  <c r="FG14" i="7"/>
  <c r="FI14" i="7" s="1"/>
  <c r="FC18" i="7"/>
  <c r="FC19" i="7"/>
  <c r="FC20" i="7"/>
  <c r="FC21" i="7"/>
  <c r="FC22" i="7"/>
  <c r="FC23" i="7"/>
  <c r="FC24" i="7"/>
  <c r="FC25" i="7"/>
  <c r="FC26" i="7"/>
  <c r="FC27" i="7"/>
  <c r="FC28" i="7"/>
  <c r="FC29" i="7"/>
  <c r="FC30" i="7"/>
  <c r="FC31" i="7"/>
  <c r="FC32" i="7"/>
  <c r="FC33" i="7"/>
  <c r="FC34" i="7"/>
  <c r="FC35" i="7"/>
  <c r="FC36" i="7"/>
  <c r="FC37" i="7"/>
  <c r="FC38" i="7"/>
  <c r="FC39" i="7"/>
  <c r="FC40" i="7"/>
  <c r="FC41" i="7"/>
  <c r="FC42" i="7"/>
  <c r="FC43" i="7"/>
  <c r="FC44" i="7"/>
  <c r="FC45" i="7"/>
  <c r="FC46" i="7"/>
  <c r="FC47" i="7"/>
  <c r="FC48" i="7"/>
  <c r="FC49" i="7"/>
  <c r="FC50" i="7"/>
  <c r="FC51" i="7"/>
  <c r="FC52" i="7"/>
  <c r="FC53" i="7"/>
  <c r="FC54" i="7"/>
  <c r="FC55" i="7"/>
  <c r="FC56" i="7"/>
  <c r="FC57" i="7"/>
  <c r="FC58" i="7"/>
  <c r="FC59" i="7"/>
  <c r="FC60" i="7"/>
  <c r="FC61" i="7"/>
  <c r="FC62" i="7"/>
  <c r="FC63" i="7"/>
  <c r="FC64" i="7"/>
  <c r="FC65" i="7"/>
  <c r="FC66" i="7"/>
  <c r="FC67" i="7"/>
  <c r="FC68" i="7"/>
  <c r="FC69" i="7"/>
  <c r="FC70" i="7"/>
  <c r="FC71" i="7"/>
  <c r="FC72" i="7"/>
  <c r="FC73" i="7"/>
  <c r="FC74" i="7"/>
  <c r="FC75" i="7"/>
  <c r="FC76" i="7"/>
  <c r="FC77" i="7"/>
  <c r="FC78" i="7"/>
  <c r="FC79" i="7"/>
  <c r="FC80" i="7"/>
  <c r="FC81" i="7"/>
  <c r="FC82" i="7"/>
  <c r="FC83" i="7"/>
  <c r="FC84" i="7"/>
  <c r="FC85" i="7"/>
  <c r="FC86" i="7"/>
  <c r="FC87" i="7"/>
  <c r="FC88" i="7"/>
  <c r="FC89" i="7"/>
  <c r="FC90" i="7"/>
  <c r="FC91" i="7"/>
  <c r="FC92" i="7"/>
  <c r="FC93" i="7"/>
  <c r="FC94" i="7"/>
  <c r="FC95" i="7"/>
  <c r="FC96" i="7"/>
  <c r="FC97" i="7"/>
  <c r="FC98" i="7"/>
  <c r="FC99" i="7"/>
  <c r="FC100" i="7"/>
  <c r="FC101" i="7"/>
  <c r="FC102" i="7"/>
  <c r="FC103" i="7"/>
  <c r="FC15" i="7"/>
  <c r="FC16" i="7"/>
  <c r="FC17" i="7"/>
  <c r="FC14" i="7"/>
  <c r="AW41" i="7"/>
  <c r="DA14" i="7"/>
  <c r="GE38" i="7"/>
  <c r="GE39" i="7"/>
  <c r="GE37" i="7"/>
  <c r="GE36" i="7"/>
  <c r="GC36" i="7"/>
  <c r="GC37" i="7"/>
  <c r="GC38" i="7"/>
  <c r="GC39" i="7"/>
  <c r="GD43" i="7"/>
  <c r="GD42" i="7"/>
  <c r="GE15" i="7"/>
  <c r="GE16" i="7"/>
  <c r="GE17" i="7"/>
  <c r="GE18" i="7"/>
  <c r="GE19" i="7"/>
  <c r="GE20" i="7"/>
  <c r="GE21" i="7"/>
  <c r="GE22" i="7"/>
  <c r="GE23" i="7"/>
  <c r="GE24" i="7"/>
  <c r="GE25" i="7"/>
  <c r="GE26" i="7"/>
  <c r="GE27" i="7"/>
  <c r="GE28" i="7"/>
  <c r="GE29" i="7"/>
  <c r="GE30" i="7"/>
  <c r="GE31" i="7"/>
  <c r="GE32" i="7"/>
  <c r="GE33" i="7"/>
  <c r="GE34" i="7"/>
  <c r="GE35" i="7"/>
  <c r="GE14" i="7"/>
  <c r="FV15" i="7"/>
  <c r="FV16" i="7"/>
  <c r="FV17" i="7"/>
  <c r="FV18" i="7"/>
  <c r="FV19" i="7"/>
  <c r="FV20" i="7"/>
  <c r="FV21" i="7"/>
  <c r="FV22" i="7"/>
  <c r="FV23" i="7"/>
  <c r="FV24" i="7"/>
  <c r="FV25" i="7"/>
  <c r="FV26" i="7"/>
  <c r="FV27" i="7"/>
  <c r="FV28" i="7"/>
  <c r="FV29" i="7"/>
  <c r="FV30" i="7"/>
  <c r="FV31" i="7"/>
  <c r="FV32" i="7"/>
  <c r="FV33" i="7"/>
  <c r="FV34" i="7"/>
  <c r="FV35" i="7"/>
  <c r="FV36" i="7"/>
  <c r="FV37" i="7"/>
  <c r="FV38" i="7"/>
  <c r="FV39" i="7"/>
  <c r="FV40" i="7"/>
  <c r="FV41" i="7"/>
  <c r="FV14" i="7"/>
  <c r="FU41" i="7"/>
  <c r="BP53" i="7"/>
  <c r="BO14" i="7"/>
  <c r="K9" i="8"/>
  <c r="GB15" i="7"/>
  <c r="GB16" i="7"/>
  <c r="GB17" i="7"/>
  <c r="GB18" i="7"/>
  <c r="GB19" i="7"/>
  <c r="GB20" i="7"/>
  <c r="GB21" i="7"/>
  <c r="GB22" i="7"/>
  <c r="GB23" i="7"/>
  <c r="GB24" i="7"/>
  <c r="GB25" i="7"/>
  <c r="GB26" i="7"/>
  <c r="GB27" i="7"/>
  <c r="GB28" i="7"/>
  <c r="GB29" i="7"/>
  <c r="GB30" i="7"/>
  <c r="GB31" i="7"/>
  <c r="GB32" i="7"/>
  <c r="GB33" i="7"/>
  <c r="GB34" i="7"/>
  <c r="GB35" i="7"/>
  <c r="GB36" i="7"/>
  <c r="GB37" i="7"/>
  <c r="GB38" i="7"/>
  <c r="GB39" i="7"/>
  <c r="GB14" i="7"/>
  <c r="FT42" i="7"/>
  <c r="FT43" i="7"/>
  <c r="FT44" i="7"/>
  <c r="FT41" i="7"/>
  <c r="AJ4" i="7"/>
  <c r="AJ3" i="7"/>
  <c r="AU14" i="7"/>
  <c r="AV15" i="7"/>
  <c r="AV16" i="7"/>
  <c r="AV17" i="7"/>
  <c r="AV18" i="7"/>
  <c r="AV19" i="7"/>
  <c r="AV20" i="7"/>
  <c r="AV21" i="7"/>
  <c r="AV22" i="7"/>
  <c r="AV23" i="7"/>
  <c r="AV24" i="7"/>
  <c r="AV25" i="7"/>
  <c r="AV26" i="7"/>
  <c r="AV27" i="7"/>
  <c r="AV28" i="7"/>
  <c r="AV29" i="7"/>
  <c r="AV30" i="7"/>
  <c r="AV31" i="7"/>
  <c r="AV32" i="7"/>
  <c r="AV33" i="7"/>
  <c r="AV34" i="7"/>
  <c r="AV35" i="7"/>
  <c r="AV36" i="7"/>
  <c r="AV37" i="7"/>
  <c r="AV38" i="7"/>
  <c r="AV39" i="7"/>
  <c r="AV40" i="7"/>
  <c r="AV41" i="7"/>
  <c r="AV42" i="7"/>
  <c r="AV43" i="7"/>
  <c r="AV44" i="7"/>
  <c r="AV45" i="7"/>
  <c r="AV46" i="7"/>
  <c r="AV47" i="7"/>
  <c r="AV48" i="7"/>
  <c r="AV49" i="7"/>
  <c r="AV50" i="7"/>
  <c r="AV51" i="7"/>
  <c r="AV52" i="7"/>
  <c r="AV53" i="7"/>
  <c r="AV54" i="7"/>
  <c r="AV55" i="7"/>
  <c r="AV56" i="7"/>
  <c r="AV57" i="7"/>
  <c r="AV58" i="7"/>
  <c r="AV59" i="7"/>
  <c r="AV60" i="7"/>
  <c r="AV61" i="7"/>
  <c r="AV62" i="7"/>
  <c r="AV63" i="7"/>
  <c r="AV64" i="7"/>
  <c r="AV65" i="7"/>
  <c r="AV66" i="7"/>
  <c r="AV67" i="7"/>
  <c r="AV68" i="7"/>
  <c r="AV69" i="7"/>
  <c r="AV70" i="7"/>
  <c r="AV71" i="7"/>
  <c r="AV72" i="7"/>
  <c r="AV73" i="7"/>
  <c r="AV74" i="7"/>
  <c r="AV75" i="7"/>
  <c r="AV76" i="7"/>
  <c r="AV77" i="7"/>
  <c r="AV78" i="7"/>
  <c r="AV79" i="7"/>
  <c r="AV14" i="7"/>
  <c r="FM14" i="7" l="1"/>
  <c r="GF36" i="7"/>
  <c r="GH36" i="7" s="1"/>
  <c r="AY3" i="7"/>
  <c r="AY2" i="7"/>
  <c r="AZ12" i="7"/>
  <c r="B9" i="7"/>
  <c r="B11" i="7" s="1"/>
  <c r="GG36" i="7"/>
  <c r="GG37" i="7"/>
  <c r="GG38" i="7"/>
  <c r="GG39" i="7"/>
  <c r="GG40" i="7"/>
  <c r="GG41" i="7"/>
  <c r="GG15" i="7"/>
  <c r="GG16" i="7"/>
  <c r="GG17" i="7"/>
  <c r="GG18" i="7"/>
  <c r="GG19" i="7"/>
  <c r="GG20" i="7"/>
  <c r="GG21" i="7"/>
  <c r="GG22" i="7"/>
  <c r="GG23" i="7"/>
  <c r="GG24" i="7"/>
  <c r="GG25" i="7"/>
  <c r="GG26" i="7"/>
  <c r="GG27" i="7"/>
  <c r="GG28" i="7"/>
  <c r="GG29" i="7"/>
  <c r="GG30" i="7"/>
  <c r="GG31" i="7"/>
  <c r="GG32" i="7"/>
  <c r="GG33" i="7"/>
  <c r="GG34" i="7"/>
  <c r="GG35" i="7"/>
  <c r="GG14" i="7"/>
  <c r="GD15" i="7"/>
  <c r="GD16" i="7"/>
  <c r="GD17" i="7"/>
  <c r="GD18" i="7"/>
  <c r="GD19" i="7"/>
  <c r="GD20" i="7"/>
  <c r="GD21" i="7"/>
  <c r="GD22" i="7"/>
  <c r="GD23" i="7"/>
  <c r="GD24" i="7"/>
  <c r="GD25" i="7"/>
  <c r="GD26" i="7"/>
  <c r="GD27" i="7"/>
  <c r="GD28" i="7"/>
  <c r="GD29" i="7"/>
  <c r="GD30" i="7"/>
  <c r="GD31" i="7"/>
  <c r="GD32" i="7"/>
  <c r="GD33" i="7"/>
  <c r="GD34" i="7"/>
  <c r="GD35" i="7"/>
  <c r="GD36" i="7"/>
  <c r="GD37" i="7"/>
  <c r="GD38" i="7"/>
  <c r="GD39" i="7"/>
  <c r="GD40" i="7"/>
  <c r="GD41" i="7"/>
  <c r="GD14" i="7"/>
  <c r="FH15" i="7"/>
  <c r="FH16" i="7"/>
  <c r="FH17" i="7"/>
  <c r="FH14" i="7"/>
  <c r="AI11" i="7"/>
  <c r="AZ109" i="7"/>
  <c r="BE12" i="7" l="1"/>
  <c r="FS10" i="7"/>
  <c r="FW10" i="7" s="1"/>
  <c r="FY41" i="7"/>
  <c r="FY42" i="7"/>
  <c r="FY43" i="7"/>
  <c r="FY44" i="7"/>
  <c r="FY45" i="7"/>
  <c r="FY46" i="7"/>
  <c r="FY47" i="7"/>
  <c r="FY48" i="7"/>
  <c r="FY49" i="7"/>
  <c r="FY50" i="7"/>
  <c r="FY51" i="7"/>
  <c r="FY52" i="7"/>
  <c r="FY53" i="7"/>
  <c r="FY54" i="7"/>
  <c r="FY55" i="7"/>
  <c r="FY56" i="7"/>
  <c r="FY57" i="7"/>
  <c r="FY58" i="7"/>
  <c r="FY59" i="7"/>
  <c r="FY60" i="7"/>
  <c r="FY61" i="7"/>
  <c r="FY62" i="7"/>
  <c r="FY63" i="7"/>
  <c r="FY64" i="7"/>
  <c r="FY65" i="7"/>
  <c r="FY66" i="7"/>
  <c r="FY67" i="7"/>
  <c r="FY68" i="7"/>
  <c r="FY69" i="7"/>
  <c r="FY70" i="7"/>
  <c r="FY71" i="7"/>
  <c r="FY72" i="7"/>
  <c r="FY73" i="7"/>
  <c r="FY74" i="7"/>
  <c r="FY75" i="7"/>
  <c r="FY76" i="7"/>
  <c r="FY77" i="7"/>
  <c r="FY78" i="7"/>
  <c r="FY79" i="7"/>
  <c r="FY80" i="7"/>
  <c r="FY81" i="7"/>
  <c r="AD4" i="3"/>
  <c r="AC4" i="3"/>
  <c r="AD3" i="3"/>
  <c r="AC3" i="3"/>
  <c r="FT104" i="7"/>
  <c r="FT105" i="7"/>
  <c r="FT106" i="7"/>
  <c r="FT107" i="7"/>
  <c r="FT108" i="7"/>
  <c r="FT109" i="7"/>
  <c r="FT110" i="7"/>
  <c r="FT111" i="7"/>
  <c r="FT112" i="7"/>
  <c r="FT113" i="7"/>
  <c r="FS15" i="7"/>
  <c r="FS16" i="7"/>
  <c r="FS17" i="7"/>
  <c r="FS18" i="7"/>
  <c r="FS19" i="7"/>
  <c r="FS20" i="7"/>
  <c r="FS21" i="7"/>
  <c r="FS22" i="7"/>
  <c r="FS23" i="7"/>
  <c r="FS24" i="7"/>
  <c r="FS25" i="7"/>
  <c r="FS26" i="7"/>
  <c r="FS27" i="7"/>
  <c r="FS28" i="7"/>
  <c r="FS29" i="7"/>
  <c r="FS30" i="7"/>
  <c r="FS31" i="7"/>
  <c r="FS32" i="7"/>
  <c r="FS33" i="7"/>
  <c r="FS34" i="7"/>
  <c r="FS35" i="7"/>
  <c r="FS36" i="7"/>
  <c r="FS37" i="7"/>
  <c r="FS38" i="7"/>
  <c r="FS39" i="7"/>
  <c r="FS40" i="7"/>
  <c r="FS41" i="7"/>
  <c r="FS42" i="7"/>
  <c r="FS43" i="7"/>
  <c r="FS44" i="7"/>
  <c r="FS45" i="7"/>
  <c r="FS46" i="7"/>
  <c r="FS47" i="7"/>
  <c r="FS48" i="7"/>
  <c r="FS49" i="7"/>
  <c r="FS50" i="7"/>
  <c r="FS51" i="7"/>
  <c r="FS52" i="7"/>
  <c r="FS53" i="7"/>
  <c r="FS54" i="7"/>
  <c r="FS55" i="7"/>
  <c r="FS56" i="7"/>
  <c r="FS57" i="7"/>
  <c r="FS58" i="7"/>
  <c r="FS59" i="7"/>
  <c r="FS60" i="7"/>
  <c r="FS61" i="7"/>
  <c r="FS62" i="7"/>
  <c r="FS63" i="7"/>
  <c r="FS64" i="7"/>
  <c r="FS65" i="7"/>
  <c r="FS66" i="7"/>
  <c r="FS67" i="7"/>
  <c r="FS68" i="7"/>
  <c r="FS69" i="7"/>
  <c r="FS70" i="7"/>
  <c r="FS71" i="7"/>
  <c r="FS72" i="7"/>
  <c r="FS73" i="7"/>
  <c r="FS74" i="7"/>
  <c r="FS75" i="7"/>
  <c r="FS76" i="7"/>
  <c r="FS77" i="7"/>
  <c r="FS78" i="7"/>
  <c r="FS79" i="7"/>
  <c r="FS80" i="7"/>
  <c r="FS81" i="7"/>
  <c r="FS82" i="7"/>
  <c r="FS83" i="7"/>
  <c r="FS84" i="7"/>
  <c r="FS85" i="7"/>
  <c r="FS86" i="7"/>
  <c r="FS87" i="7"/>
  <c r="FS88" i="7"/>
  <c r="FS89" i="7"/>
  <c r="FS90" i="7"/>
  <c r="FS91" i="7"/>
  <c r="FS92" i="7"/>
  <c r="FS93" i="7"/>
  <c r="FS94" i="7"/>
  <c r="FS95" i="7"/>
  <c r="FS96" i="7"/>
  <c r="FS97" i="7"/>
  <c r="FS98" i="7"/>
  <c r="FS99" i="7"/>
  <c r="FS100" i="7"/>
  <c r="FS101" i="7"/>
  <c r="FS102" i="7"/>
  <c r="FS103" i="7"/>
  <c r="FS104" i="7"/>
  <c r="FS105" i="7"/>
  <c r="FS106" i="7"/>
  <c r="FS107" i="7"/>
  <c r="FS108" i="7"/>
  <c r="FS109" i="7"/>
  <c r="FS110" i="7"/>
  <c r="FS111" i="7"/>
  <c r="FS112" i="7"/>
  <c r="FS113" i="7"/>
  <c r="FS14" i="7"/>
  <c r="FD11" i="7"/>
  <c r="FD10" i="7"/>
  <c r="V85"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33" i="3"/>
  <c r="AD11" i="3"/>
  <c r="AD12" i="3"/>
  <c r="AD13" i="3"/>
  <c r="AD14" i="3"/>
  <c r="AD15" i="3"/>
  <c r="AD16" i="3"/>
  <c r="AD17" i="3"/>
  <c r="AD18" i="3"/>
  <c r="AD19" i="3"/>
  <c r="AD20" i="3"/>
  <c r="AD21" i="3"/>
  <c r="AD22" i="3"/>
  <c r="AD23" i="3"/>
  <c r="AD24" i="3"/>
  <c r="AD25" i="3"/>
  <c r="AD26" i="3"/>
  <c r="AD27" i="3"/>
  <c r="AD28" i="3"/>
  <c r="AD29" i="3"/>
  <c r="AD30" i="3"/>
  <c r="AD31" i="3"/>
  <c r="AD32" i="3"/>
  <c r="AD10" i="3"/>
  <c r="AC38" i="3"/>
  <c r="V84" i="3" s="1"/>
  <c r="V83" i="3"/>
  <c r="AC77"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8"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10" i="3"/>
  <c r="N11" i="3"/>
  <c r="N10" i="3"/>
  <c r="N71" i="3"/>
  <c r="N77" i="3"/>
  <c r="N78" i="3"/>
  <c r="N79" i="3"/>
  <c r="N80" i="3"/>
  <c r="DT36" i="7" a="1"/>
  <c r="DT36" i="7" s="1"/>
  <c r="DO82" i="7"/>
  <c r="DO83" i="7"/>
  <c r="DO84" i="7"/>
  <c r="DO85" i="7"/>
  <c r="DO86" i="7"/>
  <c r="DO87" i="7"/>
  <c r="DO88" i="7"/>
  <c r="DO89" i="7"/>
  <c r="DO90" i="7"/>
  <c r="DO91" i="7"/>
  <c r="DO92" i="7"/>
  <c r="DO93" i="7"/>
  <c r="DO94" i="7"/>
  <c r="DO95" i="7"/>
  <c r="DO96" i="7"/>
  <c r="DO97" i="7"/>
  <c r="DO98" i="7"/>
  <c r="DO99" i="7"/>
  <c r="DO100" i="7"/>
  <c r="DO101" i="7"/>
  <c r="DO102" i="7"/>
  <c r="DO103" i="7"/>
  <c r="DO104" i="7"/>
  <c r="DO105" i="7"/>
  <c r="DO106" i="7"/>
  <c r="DO107" i="7"/>
  <c r="DO108" i="7"/>
  <c r="DO109" i="7"/>
  <c r="DO110" i="7"/>
  <c r="DO111" i="7"/>
  <c r="DO112" i="7"/>
  <c r="DO113" i="7"/>
  <c r="DO114" i="7"/>
  <c r="DO115" i="7"/>
  <c r="DO81" i="7"/>
  <c r="BB4" i="7"/>
  <c r="DU82" i="7"/>
  <c r="DV82" i="7"/>
  <c r="DU83" i="7"/>
  <c r="DV83" i="7"/>
  <c r="DU84" i="7"/>
  <c r="DV84" i="7"/>
  <c r="DU85" i="7"/>
  <c r="DV85" i="7"/>
  <c r="DU86" i="7"/>
  <c r="DV86" i="7"/>
  <c r="DU87" i="7"/>
  <c r="DV87" i="7"/>
  <c r="DU88" i="7"/>
  <c r="DV88" i="7"/>
  <c r="DU89" i="7"/>
  <c r="DV89" i="7"/>
  <c r="DU90" i="7"/>
  <c r="DV90" i="7"/>
  <c r="DU91" i="7"/>
  <c r="DV91" i="7"/>
  <c r="DU92" i="7"/>
  <c r="DV92" i="7"/>
  <c r="DU93" i="7"/>
  <c r="DV93" i="7"/>
  <c r="DU94" i="7"/>
  <c r="DV94" i="7"/>
  <c r="DU95" i="7"/>
  <c r="DV95" i="7"/>
  <c r="DU96" i="7"/>
  <c r="DV96" i="7"/>
  <c r="DU97" i="7"/>
  <c r="DV97" i="7"/>
  <c r="DU98" i="7"/>
  <c r="DV98" i="7"/>
  <c r="DU99" i="7"/>
  <c r="DV99" i="7"/>
  <c r="DU100" i="7"/>
  <c r="DV100" i="7"/>
  <c r="DU101" i="7"/>
  <c r="DV101" i="7"/>
  <c r="DU102" i="7"/>
  <c r="DV102" i="7"/>
  <c r="DU103" i="7"/>
  <c r="DV103" i="7"/>
  <c r="DU104" i="7"/>
  <c r="DV104" i="7"/>
  <c r="DU105" i="7"/>
  <c r="DV105" i="7"/>
  <c r="DU106" i="7"/>
  <c r="DV106" i="7"/>
  <c r="DU107" i="7"/>
  <c r="DV107" i="7"/>
  <c r="DU108" i="7"/>
  <c r="DV108" i="7"/>
  <c r="DU109" i="7"/>
  <c r="DV109" i="7"/>
  <c r="DU110" i="7"/>
  <c r="DV110" i="7"/>
  <c r="DU111" i="7"/>
  <c r="DV111" i="7"/>
  <c r="DU112" i="7"/>
  <c r="DV112" i="7"/>
  <c r="DU113" i="7"/>
  <c r="DV113" i="7"/>
  <c r="DU114" i="7"/>
  <c r="DV114" i="7"/>
  <c r="DU115" i="7"/>
  <c r="DV115" i="7"/>
  <c r="DV81" i="7"/>
  <c r="DU81" i="7"/>
  <c r="DQ81" i="7"/>
  <c r="HB11" i="7"/>
  <c r="HA11" i="7"/>
  <c r="GV28" i="7"/>
  <c r="GW20" i="7" s="1"/>
  <c r="DP104" i="7"/>
  <c r="DQ104" i="7"/>
  <c r="EX104" i="7" s="1"/>
  <c r="DR104" i="7"/>
  <c r="EY104" i="7" s="1"/>
  <c r="DS104" i="7"/>
  <c r="EZ104" i="7" s="1"/>
  <c r="DP105" i="7"/>
  <c r="DQ105" i="7"/>
  <c r="EX105" i="7" s="1"/>
  <c r="DR105" i="7"/>
  <c r="EY105" i="7" s="1"/>
  <c r="DS105" i="7"/>
  <c r="EZ105" i="7" s="1"/>
  <c r="DP106" i="7"/>
  <c r="DQ106" i="7"/>
  <c r="EX106" i="7" s="1"/>
  <c r="DR106" i="7"/>
  <c r="EY106" i="7" s="1"/>
  <c r="DS106" i="7"/>
  <c r="EZ106" i="7" s="1"/>
  <c r="DP107" i="7"/>
  <c r="DQ107" i="7"/>
  <c r="EX107" i="7" s="1"/>
  <c r="DR107" i="7"/>
  <c r="EY107" i="7" s="1"/>
  <c r="DS107" i="7"/>
  <c r="EZ107" i="7" s="1"/>
  <c r="DP108" i="7"/>
  <c r="DQ108" i="7"/>
  <c r="EX108" i="7" s="1"/>
  <c r="DR108" i="7"/>
  <c r="EY108" i="7" s="1"/>
  <c r="DS108" i="7"/>
  <c r="EZ108" i="7" s="1"/>
  <c r="DP109" i="7"/>
  <c r="DQ109" i="7"/>
  <c r="EX109" i="7" s="1"/>
  <c r="DR109" i="7"/>
  <c r="EY109" i="7" s="1"/>
  <c r="DS109" i="7"/>
  <c r="EZ109" i="7" s="1"/>
  <c r="DP110" i="7"/>
  <c r="DQ110" i="7"/>
  <c r="EX110" i="7" s="1"/>
  <c r="DR110" i="7"/>
  <c r="EY110" i="7" s="1"/>
  <c r="DS110" i="7"/>
  <c r="EZ110" i="7" s="1"/>
  <c r="DP111" i="7"/>
  <c r="DQ111" i="7"/>
  <c r="EX111" i="7" s="1"/>
  <c r="DR111" i="7"/>
  <c r="EY111" i="7" s="1"/>
  <c r="DS111" i="7"/>
  <c r="EZ111" i="7" s="1"/>
  <c r="DP112" i="7"/>
  <c r="DQ112" i="7"/>
  <c r="EX112" i="7" s="1"/>
  <c r="DR112" i="7"/>
  <c r="EY112" i="7" s="1"/>
  <c r="DS112" i="7"/>
  <c r="EZ112" i="7" s="1"/>
  <c r="DP113" i="7"/>
  <c r="DQ113" i="7"/>
  <c r="EX113" i="7" s="1"/>
  <c r="DR113" i="7"/>
  <c r="EY113" i="7" s="1"/>
  <c r="DS113" i="7"/>
  <c r="EZ113" i="7" s="1"/>
  <c r="DP114" i="7"/>
  <c r="DQ114" i="7"/>
  <c r="DR114" i="7"/>
  <c r="DS114" i="7"/>
  <c r="DP115" i="7"/>
  <c r="DQ115" i="7"/>
  <c r="DR115" i="7"/>
  <c r="DS115" i="7"/>
  <c r="AE88" i="7"/>
  <c r="DT39" i="7" a="1"/>
  <c r="DT39" i="7" s="1"/>
  <c r="HA39" i="7" s="1"/>
  <c r="DT38" i="7" a="1"/>
  <c r="DT38" i="7" s="1"/>
  <c r="HA38" i="7" s="1"/>
  <c r="GW16" i="7" l="1"/>
  <c r="GW14" i="7"/>
  <c r="GW12" i="7"/>
  <c r="GW18" i="7"/>
  <c r="GW15" i="7"/>
  <c r="GW13" i="7"/>
  <c r="GW11" i="7"/>
  <c r="GW21" i="7"/>
  <c r="GW22" i="7"/>
  <c r="GW10" i="7"/>
  <c r="GW25" i="7"/>
  <c r="GW27" i="7"/>
  <c r="GW19" i="7"/>
  <c r="GW24" i="7"/>
  <c r="GW23" i="7"/>
  <c r="GW17" i="7"/>
  <c r="GW26" i="7"/>
  <c r="AC11" i="7"/>
  <c r="DP81" i="7"/>
  <c r="BC4" i="7"/>
  <c r="AY1" i="7"/>
  <c r="BE4" i="7"/>
  <c r="BD4" i="7"/>
  <c r="ER133" i="7"/>
  <c r="ER134" i="7"/>
  <c r="ER135" i="7"/>
  <c r="ER136" i="7"/>
  <c r="ER137" i="7"/>
  <c r="ER138" i="7"/>
  <c r="ER139" i="7"/>
  <c r="ER140" i="7"/>
  <c r="ER141" i="7"/>
  <c r="ER142" i="7"/>
  <c r="ER121" i="7"/>
  <c r="ER122" i="7"/>
  <c r="ER123" i="7"/>
  <c r="ER124" i="7"/>
  <c r="ER125" i="7"/>
  <c r="ER126" i="7"/>
  <c r="ER127" i="7"/>
  <c r="ER128" i="7"/>
  <c r="ER129" i="7"/>
  <c r="ER130" i="7"/>
  <c r="ER131" i="7"/>
  <c r="ER132" i="7"/>
  <c r="ER120" i="7"/>
  <c r="DX131" i="7"/>
  <c r="DX110" i="7"/>
  <c r="DX111" i="7"/>
  <c r="DX112" i="7"/>
  <c r="DX113" i="7"/>
  <c r="DX114" i="7"/>
  <c r="DX115" i="7"/>
  <c r="DX116" i="7"/>
  <c r="DX117" i="7"/>
  <c r="DX118" i="7"/>
  <c r="DX119" i="7"/>
  <c r="DX120" i="7"/>
  <c r="DX121" i="7"/>
  <c r="DX122" i="7"/>
  <c r="DX123" i="7"/>
  <c r="DX124" i="7"/>
  <c r="DX125" i="7"/>
  <c r="DX126" i="7"/>
  <c r="DX127" i="7"/>
  <c r="DX128" i="7"/>
  <c r="DX129" i="7"/>
  <c r="DX130" i="7"/>
  <c r="DX109" i="7"/>
  <c r="DA108" i="7"/>
  <c r="CZ108" i="7"/>
  <c r="CO110" i="7"/>
  <c r="CU110" i="7" s="1"/>
  <c r="CO111" i="7"/>
  <c r="CU111" i="7" s="1"/>
  <c r="CO112" i="7"/>
  <c r="CU112" i="7" s="1"/>
  <c r="CO113" i="7"/>
  <c r="CU113" i="7" s="1"/>
  <c r="CO114" i="7"/>
  <c r="CU114" i="7" s="1"/>
  <c r="CO115" i="7"/>
  <c r="CU115" i="7" s="1"/>
  <c r="CO116" i="7"/>
  <c r="CU116" i="7" s="1"/>
  <c r="CO117" i="7"/>
  <c r="CU117" i="7" s="1"/>
  <c r="CO118" i="7"/>
  <c r="CU118" i="7" s="1"/>
  <c r="CO119" i="7"/>
  <c r="CU119" i="7" s="1"/>
  <c r="CO120" i="7"/>
  <c r="CU120" i="7" s="1"/>
  <c r="CO121" i="7"/>
  <c r="CU121" i="7" s="1"/>
  <c r="CO122" i="7"/>
  <c r="CU122" i="7" s="1"/>
  <c r="CO123" i="7"/>
  <c r="CU123" i="7" s="1"/>
  <c r="CO124" i="7"/>
  <c r="CU124" i="7" s="1"/>
  <c r="CO125" i="7"/>
  <c r="CU125" i="7" s="1"/>
  <c r="CO126" i="7"/>
  <c r="CU126" i="7" s="1"/>
  <c r="CO127" i="7"/>
  <c r="CU127" i="7" s="1"/>
  <c r="CO128" i="7"/>
  <c r="CU128" i="7" s="1"/>
  <c r="CO129" i="7"/>
  <c r="CU129" i="7" s="1"/>
  <c r="CO130" i="7"/>
  <c r="CU130" i="7" s="1"/>
  <c r="CO109" i="7"/>
  <c r="CU109" i="7" s="1"/>
  <c r="BN110" i="7"/>
  <c r="BN111" i="7"/>
  <c r="BN112" i="7"/>
  <c r="BN113" i="7"/>
  <c r="BN114" i="7"/>
  <c r="BN115" i="7"/>
  <c r="BN116" i="7"/>
  <c r="BN117" i="7"/>
  <c r="BN118" i="7"/>
  <c r="BN119" i="7"/>
  <c r="BN120" i="7"/>
  <c r="BN121" i="7"/>
  <c r="BN122" i="7"/>
  <c r="BN123" i="7"/>
  <c r="BN124" i="7"/>
  <c r="BN125" i="7"/>
  <c r="BN126" i="7"/>
  <c r="BN127" i="7"/>
  <c r="BN128" i="7"/>
  <c r="BN129" i="7"/>
  <c r="BN130" i="7"/>
  <c r="BN109" i="7"/>
  <c r="AT118" i="7"/>
  <c r="CZ118" i="7" s="1"/>
  <c r="AT119" i="7"/>
  <c r="CZ119" i="7" s="1"/>
  <c r="AT120" i="7"/>
  <c r="CZ120" i="7" s="1"/>
  <c r="AT121" i="7"/>
  <c r="CZ121" i="7" s="1"/>
  <c r="AT122" i="7"/>
  <c r="CZ122" i="7" s="1"/>
  <c r="AT123" i="7"/>
  <c r="CZ123" i="7" s="1"/>
  <c r="AT124" i="7"/>
  <c r="CZ124" i="7" s="1"/>
  <c r="AT125" i="7"/>
  <c r="CZ125" i="7" s="1"/>
  <c r="AT126" i="7"/>
  <c r="CZ126" i="7" s="1"/>
  <c r="AT127" i="7"/>
  <c r="CZ127" i="7" s="1"/>
  <c r="AT128" i="7"/>
  <c r="CZ128" i="7" s="1"/>
  <c r="AT129" i="7"/>
  <c r="CZ129" i="7" s="1"/>
  <c r="AT130" i="7"/>
  <c r="CZ130" i="7" s="1"/>
  <c r="AT131" i="7"/>
  <c r="CZ131" i="7" s="1"/>
  <c r="AT132" i="7"/>
  <c r="CZ132" i="7" s="1"/>
  <c r="GN13" i="7"/>
  <c r="BO28" i="5" l="1"/>
  <c r="BO29" i="5"/>
  <c r="BO30" i="5"/>
  <c r="BO31" i="5"/>
  <c r="BO32" i="5"/>
  <c r="BO33" i="5"/>
  <c r="BO34" i="5"/>
  <c r="BO35" i="5"/>
  <c r="BO36" i="5"/>
  <c r="BO37" i="5"/>
  <c r="BO38" i="5"/>
  <c r="BO39" i="5"/>
  <c r="BO40" i="5"/>
  <c r="BO41" i="5"/>
  <c r="BO42" i="5"/>
  <c r="BO43" i="5"/>
  <c r="BO44" i="5"/>
  <c r="BO45" i="5"/>
  <c r="BO46" i="5"/>
  <c r="BO47" i="5"/>
  <c r="BO48" i="5"/>
  <c r="BO49" i="5"/>
  <c r="BO50" i="5"/>
  <c r="BO51" i="5"/>
  <c r="BO52" i="5"/>
  <c r="BO53" i="5"/>
  <c r="BO54" i="5"/>
  <c r="BO55" i="5"/>
  <c r="BO56" i="5"/>
  <c r="BO57" i="5"/>
  <c r="BO58" i="5"/>
  <c r="BO59" i="5"/>
  <c r="BO60" i="5"/>
  <c r="BO61" i="5"/>
  <c r="BO62" i="5"/>
  <c r="BO63" i="5"/>
  <c r="BO64" i="5"/>
  <c r="BO65" i="5"/>
  <c r="BO66" i="5"/>
  <c r="BO67" i="5"/>
  <c r="BO68" i="5"/>
  <c r="BO69" i="5"/>
  <c r="BO70" i="5"/>
  <c r="BO71" i="5"/>
  <c r="BO72" i="5"/>
  <c r="BO73" i="5"/>
  <c r="BO74" i="5"/>
  <c r="BO27" i="5"/>
  <c r="BH28" i="5"/>
  <c r="BN28" i="5"/>
  <c r="BH29" i="5"/>
  <c r="BN29" i="5"/>
  <c r="BH30" i="5"/>
  <c r="BN30" i="5"/>
  <c r="BH31" i="5"/>
  <c r="BN31" i="5"/>
  <c r="BH32" i="5"/>
  <c r="BN32" i="5"/>
  <c r="BH33" i="5"/>
  <c r="BN33" i="5"/>
  <c r="BH34" i="5"/>
  <c r="BN34" i="5"/>
  <c r="BH35" i="5"/>
  <c r="BN35" i="5"/>
  <c r="BH36" i="5"/>
  <c r="BN36" i="5"/>
  <c r="BH37" i="5"/>
  <c r="BN37" i="5"/>
  <c r="BH38" i="5"/>
  <c r="BN38" i="5"/>
  <c r="BH39" i="5"/>
  <c r="BN39" i="5"/>
  <c r="BH40" i="5"/>
  <c r="BN40" i="5"/>
  <c r="BH41" i="5"/>
  <c r="BN41" i="5"/>
  <c r="BH42" i="5"/>
  <c r="BN42" i="5"/>
  <c r="BH43" i="5"/>
  <c r="BN43" i="5"/>
  <c r="BH44" i="5"/>
  <c r="BN44" i="5"/>
  <c r="BH45" i="5"/>
  <c r="BN45" i="5"/>
  <c r="BH46" i="5"/>
  <c r="BN46" i="5"/>
  <c r="BH47" i="5"/>
  <c r="BN47" i="5"/>
  <c r="BH48" i="5"/>
  <c r="BN48" i="5"/>
  <c r="BH49" i="5"/>
  <c r="BN49" i="5"/>
  <c r="BH50" i="5"/>
  <c r="BN50" i="5"/>
  <c r="BH51" i="5"/>
  <c r="BN51" i="5"/>
  <c r="BH52" i="5"/>
  <c r="BN52" i="5"/>
  <c r="BH53" i="5"/>
  <c r="BN53" i="5"/>
  <c r="BH54" i="5"/>
  <c r="BN54" i="5"/>
  <c r="BH55" i="5"/>
  <c r="BN55" i="5"/>
  <c r="BH56" i="5"/>
  <c r="BN56" i="5"/>
  <c r="BH57" i="5"/>
  <c r="BN57" i="5"/>
  <c r="BH58" i="5"/>
  <c r="BN58" i="5"/>
  <c r="BH59" i="5"/>
  <c r="BN59" i="5"/>
  <c r="BH60" i="5"/>
  <c r="BN60" i="5"/>
  <c r="BH61" i="5"/>
  <c r="BN61" i="5"/>
  <c r="BH62" i="5"/>
  <c r="BN62" i="5"/>
  <c r="BH63" i="5"/>
  <c r="BN63" i="5"/>
  <c r="BH64" i="5"/>
  <c r="BN64" i="5"/>
  <c r="BH65" i="5"/>
  <c r="BN65" i="5"/>
  <c r="BH66" i="5"/>
  <c r="BN66" i="5"/>
  <c r="BH67" i="5"/>
  <c r="BN67" i="5"/>
  <c r="BH68" i="5"/>
  <c r="BN68" i="5"/>
  <c r="BN69" i="5"/>
  <c r="BN70" i="5"/>
  <c r="BN71" i="5"/>
  <c r="BN72" i="5"/>
  <c r="BN73" i="5"/>
  <c r="BN74" i="5"/>
  <c r="BN27" i="5"/>
  <c r="BH27" i="5"/>
  <c r="BO41" i="7" l="1"/>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8" i="9"/>
  <c r="D89" i="7" l="1"/>
  <c r="D90" i="7"/>
  <c r="D91" i="7"/>
  <c r="D92" i="7"/>
  <c r="D93" i="7"/>
  <c r="D94" i="7"/>
  <c r="D95" i="7"/>
  <c r="D96" i="7"/>
  <c r="D97" i="7"/>
  <c r="D98" i="7"/>
  <c r="D99" i="7"/>
  <c r="D100" i="7"/>
  <c r="D101" i="7"/>
  <c r="D102" i="7"/>
  <c r="D103" i="7"/>
  <c r="D88" i="7"/>
  <c r="J80" i="7"/>
  <c r="AI80" i="7" s="1" a="1"/>
  <c r="AI80" i="7" s="1"/>
  <c r="J81" i="7"/>
  <c r="AI81" i="7" s="1" a="1"/>
  <c r="AI81" i="7" s="1"/>
  <c r="J82" i="7"/>
  <c r="AI82" i="7" s="1" a="1"/>
  <c r="AI82" i="7" s="1"/>
  <c r="CB82" i="7" s="1"/>
  <c r="J83" i="7"/>
  <c r="AI83" i="7" s="1" a="1"/>
  <c r="AI83" i="7" s="1"/>
  <c r="J84" i="7"/>
  <c r="J85" i="7"/>
  <c r="AI85" i="7" s="1" a="1"/>
  <c r="AI85" i="7" s="1"/>
  <c r="J86" i="7"/>
  <c r="AI86" i="7" s="1" a="1"/>
  <c r="AI86" i="7" s="1"/>
  <c r="HA36" i="7"/>
  <c r="J87" i="7" l="1"/>
  <c r="AK9" i="7" s="1"/>
  <c r="AI84" i="7" a="1"/>
  <c r="AI84" i="7" s="1"/>
  <c r="DT80" i="7" a="1"/>
  <c r="DT80" i="7" s="1"/>
  <c r="HA80" i="7" s="1"/>
  <c r="BN83" i="7"/>
  <c r="BN84" i="7"/>
  <c r="BN85" i="7"/>
  <c r="BN86" i="7"/>
  <c r="BN87" i="7"/>
  <c r="BN88" i="7"/>
  <c r="BN89" i="7"/>
  <c r="BN90" i="7"/>
  <c r="BN91" i="7"/>
  <c r="BN92" i="7"/>
  <c r="BN93" i="7"/>
  <c r="BN94" i="7"/>
  <c r="BN95" i="7"/>
  <c r="BN96" i="7"/>
  <c r="BN97" i="7"/>
  <c r="BN98" i="7"/>
  <c r="BN99" i="7"/>
  <c r="BN100" i="7"/>
  <c r="BN101" i="7"/>
  <c r="BN102" i="7"/>
  <c r="BN103" i="7"/>
  <c r="BN82" i="7"/>
  <c r="BM82" i="7"/>
  <c r="BM83" i="7"/>
  <c r="BM84" i="7"/>
  <c r="BM85" i="7"/>
  <c r="BM86" i="7"/>
  <c r="BM87" i="7"/>
  <c r="BM88" i="7"/>
  <c r="BM89" i="7"/>
  <c r="BM90" i="7"/>
  <c r="BM91" i="7"/>
  <c r="BM92" i="7"/>
  <c r="BM93" i="7"/>
  <c r="BM94" i="7"/>
  <c r="BM95" i="7"/>
  <c r="BM96" i="7"/>
  <c r="BM97" i="7"/>
  <c r="BM98" i="7"/>
  <c r="BM99" i="7"/>
  <c r="BM100" i="7"/>
  <c r="BM101" i="7"/>
  <c r="BM102" i="7"/>
  <c r="BM103" i="7"/>
  <c r="FQ14" i="7"/>
  <c r="DP82" i="7"/>
  <c r="DP83" i="7"/>
  <c r="DP84" i="7"/>
  <c r="DP85" i="7"/>
  <c r="DP86" i="7"/>
  <c r="DP87" i="7"/>
  <c r="DP88" i="7"/>
  <c r="DP89" i="7"/>
  <c r="DP90" i="7"/>
  <c r="DP91" i="7"/>
  <c r="DP92" i="7"/>
  <c r="DP93" i="7"/>
  <c r="DP94" i="7"/>
  <c r="DP95" i="7"/>
  <c r="DP96" i="7"/>
  <c r="DP97" i="7"/>
  <c r="DP98" i="7"/>
  <c r="DP99" i="7"/>
  <c r="DP100" i="7"/>
  <c r="DP101" i="7"/>
  <c r="DP102" i="7"/>
  <c r="DP103" i="7"/>
  <c r="BL83" i="7"/>
  <c r="FY83" i="7" s="1"/>
  <c r="BL84" i="7"/>
  <c r="FY84" i="7" s="1"/>
  <c r="BL85" i="7"/>
  <c r="FY85" i="7" s="1"/>
  <c r="BL86" i="7"/>
  <c r="FY86" i="7" s="1"/>
  <c r="BL87" i="7"/>
  <c r="FY87" i="7" s="1"/>
  <c r="BL88" i="7"/>
  <c r="FY88" i="7" s="1"/>
  <c r="BL89" i="7"/>
  <c r="FY89" i="7" s="1"/>
  <c r="BL90" i="7"/>
  <c r="FY90" i="7" s="1"/>
  <c r="BL91" i="7"/>
  <c r="FY91" i="7" s="1"/>
  <c r="BL92" i="7"/>
  <c r="FY92" i="7" s="1"/>
  <c r="BL93" i="7"/>
  <c r="FY93" i="7" s="1"/>
  <c r="BL94" i="7"/>
  <c r="FY94" i="7" s="1"/>
  <c r="BL95" i="7"/>
  <c r="FY95" i="7" s="1"/>
  <c r="BL96" i="7"/>
  <c r="FY96" i="7" s="1"/>
  <c r="BL97" i="7"/>
  <c r="FY97" i="7" s="1"/>
  <c r="BL98" i="7"/>
  <c r="FY98" i="7" s="1"/>
  <c r="BL99" i="7"/>
  <c r="FY99" i="7" s="1"/>
  <c r="BL100" i="7"/>
  <c r="FY100" i="7" s="1"/>
  <c r="BL101" i="7"/>
  <c r="FY101" i="7" s="1"/>
  <c r="BL102" i="7"/>
  <c r="FY102" i="7" s="1"/>
  <c r="BL103" i="7"/>
  <c r="FY103" i="7" s="1"/>
  <c r="BL82" i="7"/>
  <c r="FY82" i="7" s="1"/>
  <c r="AI112" i="7" l="1"/>
  <c r="CB112" i="7" s="1"/>
  <c r="EG112" i="7" s="1"/>
  <c r="AI113" i="7"/>
  <c r="CB113" i="7" s="1"/>
  <c r="EG113" i="7" s="1"/>
  <c r="AI111" i="7"/>
  <c r="CB111" i="7" s="1"/>
  <c r="EG111" i="7" s="1"/>
  <c r="AI105" i="7"/>
  <c r="CB105" i="7" s="1"/>
  <c r="EG105" i="7" s="1"/>
  <c r="AI12" i="7"/>
  <c r="AI90" i="7"/>
  <c r="AI106" i="7"/>
  <c r="CB106" i="7" s="1"/>
  <c r="EG106" i="7" s="1"/>
  <c r="AI110" i="7"/>
  <c r="CB110" i="7" s="1"/>
  <c r="EG110" i="7" s="1"/>
  <c r="AI108" i="7"/>
  <c r="CB108" i="7" s="1"/>
  <c r="EG108" i="7" s="1"/>
  <c r="AI104" i="7"/>
  <c r="CB104" i="7" s="1"/>
  <c r="EG104" i="7" s="1"/>
  <c r="AI109" i="7"/>
  <c r="CB109" i="7" s="1"/>
  <c r="EG109" i="7" s="1"/>
  <c r="AI107" i="7"/>
  <c r="CB107" i="7" s="1"/>
  <c r="EG107" i="7" s="1"/>
  <c r="AI96" i="7"/>
  <c r="AI94" i="7"/>
  <c r="AI91" i="7"/>
  <c r="AI100" i="7"/>
  <c r="AI102" i="7"/>
  <c r="AI97" i="7"/>
  <c r="AI92" i="7"/>
  <c r="AI98" i="7"/>
  <c r="AI95" i="7"/>
  <c r="AI93" i="7"/>
  <c r="AI88" i="7"/>
  <c r="AI99" i="7"/>
  <c r="AI87" i="7"/>
  <c r="AI89" i="7"/>
  <c r="AI103" i="7"/>
  <c r="AI101" i="7"/>
  <c r="J98" i="7"/>
  <c r="J88" i="7"/>
  <c r="J100" i="7"/>
  <c r="J92" i="7"/>
  <c r="AB11" i="7"/>
  <c r="J95" i="7"/>
  <c r="J96" i="7"/>
  <c r="J89" i="7"/>
  <c r="J90" i="7"/>
  <c r="J103" i="7"/>
  <c r="J91" i="7"/>
  <c r="J97" i="7"/>
  <c r="J102" i="7"/>
  <c r="J99" i="7"/>
  <c r="J94" i="7"/>
  <c r="J93" i="7"/>
  <c r="J101" i="7"/>
  <c r="G87" i="7"/>
  <c r="I87" i="7" s="1"/>
  <c r="AE87" i="7" s="1"/>
  <c r="GG42" i="7" l="1"/>
  <c r="X11" i="7"/>
  <c r="Y11" i="7"/>
  <c r="EG37" i="7"/>
  <c r="EG38" i="7"/>
  <c r="EG39" i="7"/>
  <c r="EG40" i="7"/>
  <c r="EG41" i="7"/>
  <c r="EG42" i="7"/>
  <c r="EG43" i="7"/>
  <c r="EG44" i="7"/>
  <c r="EG45" i="7"/>
  <c r="EG46" i="7"/>
  <c r="EG47" i="7"/>
  <c r="EG48" i="7"/>
  <c r="EG49" i="7"/>
  <c r="EG50" i="7"/>
  <c r="EG51" i="7"/>
  <c r="EG52" i="7"/>
  <c r="EG53" i="7"/>
  <c r="EG36" i="7"/>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34" i="9"/>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34" i="8"/>
  <c r="GF38" i="7" l="1"/>
  <c r="GG44" i="7" s="1"/>
  <c r="GF37" i="7"/>
  <c r="GF39" i="7"/>
  <c r="GG45" i="7" s="1"/>
  <c r="GH38" i="7"/>
  <c r="AD11" i="7"/>
  <c r="DR82" i="7"/>
  <c r="EY82" i="7" s="1"/>
  <c r="DS82" i="7"/>
  <c r="EZ82" i="7" s="1"/>
  <c r="DR83" i="7"/>
  <c r="EY83" i="7" s="1"/>
  <c r="DS83" i="7"/>
  <c r="EZ83" i="7" s="1"/>
  <c r="DR84" i="7"/>
  <c r="EY84" i="7" s="1"/>
  <c r="DS84" i="7"/>
  <c r="EZ84" i="7" s="1"/>
  <c r="DR85" i="7"/>
  <c r="EY85" i="7" s="1"/>
  <c r="DS85" i="7"/>
  <c r="EZ85" i="7" s="1"/>
  <c r="DR86" i="7"/>
  <c r="EY86" i="7" s="1"/>
  <c r="DS86" i="7"/>
  <c r="EZ86" i="7" s="1"/>
  <c r="DR87" i="7"/>
  <c r="EY87" i="7" s="1"/>
  <c r="DS87" i="7"/>
  <c r="EZ87" i="7" s="1"/>
  <c r="DR88" i="7"/>
  <c r="EY88" i="7" s="1"/>
  <c r="DS88" i="7"/>
  <c r="EZ88" i="7" s="1"/>
  <c r="DR89" i="7"/>
  <c r="EY89" i="7" s="1"/>
  <c r="DS89" i="7"/>
  <c r="EZ89" i="7" s="1"/>
  <c r="DR90" i="7"/>
  <c r="EY90" i="7" s="1"/>
  <c r="DS90" i="7"/>
  <c r="EZ90" i="7" s="1"/>
  <c r="DR91" i="7"/>
  <c r="EY91" i="7" s="1"/>
  <c r="DS91" i="7"/>
  <c r="EZ91" i="7" s="1"/>
  <c r="DR92" i="7"/>
  <c r="EY92" i="7" s="1"/>
  <c r="DS92" i="7"/>
  <c r="EZ92" i="7" s="1"/>
  <c r="DR93" i="7"/>
  <c r="EY93" i="7" s="1"/>
  <c r="DS93" i="7"/>
  <c r="EZ93" i="7" s="1"/>
  <c r="DR94" i="7"/>
  <c r="EY94" i="7" s="1"/>
  <c r="DS94" i="7"/>
  <c r="EZ94" i="7" s="1"/>
  <c r="DR95" i="7"/>
  <c r="EY95" i="7" s="1"/>
  <c r="DS95" i="7"/>
  <c r="EZ95" i="7" s="1"/>
  <c r="DR96" i="7"/>
  <c r="EY96" i="7" s="1"/>
  <c r="DS96" i="7"/>
  <c r="EZ96" i="7" s="1"/>
  <c r="DR97" i="7"/>
  <c r="EY97" i="7" s="1"/>
  <c r="DS97" i="7"/>
  <c r="EZ97" i="7" s="1"/>
  <c r="DR98" i="7"/>
  <c r="EY98" i="7" s="1"/>
  <c r="DS98" i="7"/>
  <c r="EZ98" i="7" s="1"/>
  <c r="DR99" i="7"/>
  <c r="EY99" i="7" s="1"/>
  <c r="DS99" i="7"/>
  <c r="EZ99" i="7" s="1"/>
  <c r="DR100" i="7"/>
  <c r="EY100" i="7" s="1"/>
  <c r="DS100" i="7"/>
  <c r="EZ100" i="7" s="1"/>
  <c r="DR101" i="7"/>
  <c r="EY101" i="7" s="1"/>
  <c r="DS101" i="7"/>
  <c r="EZ101" i="7" s="1"/>
  <c r="DR102" i="7"/>
  <c r="EY102" i="7" s="1"/>
  <c r="DS102" i="7"/>
  <c r="EZ102" i="7" s="1"/>
  <c r="DR103" i="7"/>
  <c r="EY103" i="7" s="1"/>
  <c r="DS103" i="7"/>
  <c r="EZ103" i="7" s="1"/>
  <c r="DR81" i="7"/>
  <c r="DS81" i="7"/>
  <c r="EZ81" i="7" s="1"/>
  <c r="EX81" i="7"/>
  <c r="EX36" i="7"/>
  <c r="EY36" i="7"/>
  <c r="EZ36" i="7"/>
  <c r="EX37" i="7"/>
  <c r="EY37" i="7"/>
  <c r="EZ37" i="7"/>
  <c r="EX38" i="7"/>
  <c r="EY38" i="7"/>
  <c r="EZ38" i="7"/>
  <c r="EX39" i="7"/>
  <c r="EY39" i="7"/>
  <c r="EZ39" i="7"/>
  <c r="EX40" i="7"/>
  <c r="EY40" i="7"/>
  <c r="EZ40" i="7"/>
  <c r="EX41" i="7"/>
  <c r="EY41" i="7"/>
  <c r="EZ41" i="7"/>
  <c r="EX42" i="7"/>
  <c r="EY42" i="7"/>
  <c r="EZ42" i="7"/>
  <c r="EX43" i="7"/>
  <c r="EY43" i="7"/>
  <c r="EZ43" i="7"/>
  <c r="EX44" i="7"/>
  <c r="EY44" i="7"/>
  <c r="EZ44" i="7"/>
  <c r="EX45" i="7"/>
  <c r="EY45" i="7"/>
  <c r="EZ45" i="7"/>
  <c r="EX46" i="7"/>
  <c r="EY46" i="7"/>
  <c r="EZ46" i="7"/>
  <c r="EX47" i="7"/>
  <c r="EY47" i="7"/>
  <c r="EZ47" i="7"/>
  <c r="EX48" i="7"/>
  <c r="EY48" i="7"/>
  <c r="EZ48" i="7"/>
  <c r="EX49" i="7"/>
  <c r="EY49" i="7"/>
  <c r="EZ49" i="7"/>
  <c r="EX50" i="7"/>
  <c r="EY50" i="7"/>
  <c r="EZ50" i="7"/>
  <c r="EX51" i="7"/>
  <c r="EY51" i="7"/>
  <c r="EZ51" i="7"/>
  <c r="EX52" i="7"/>
  <c r="EY52" i="7"/>
  <c r="EZ52" i="7"/>
  <c r="EX53" i="7"/>
  <c r="EY53" i="7"/>
  <c r="EZ53" i="7"/>
  <c r="EX54" i="7"/>
  <c r="EY54" i="7"/>
  <c r="EZ54" i="7"/>
  <c r="EX55" i="7"/>
  <c r="EY55" i="7"/>
  <c r="EZ55" i="7"/>
  <c r="EX56" i="7"/>
  <c r="EY56" i="7"/>
  <c r="EZ56" i="7"/>
  <c r="EX57" i="7"/>
  <c r="EY57" i="7"/>
  <c r="EZ57" i="7"/>
  <c r="EX58" i="7"/>
  <c r="EY58" i="7"/>
  <c r="EZ58" i="7"/>
  <c r="EX59" i="7"/>
  <c r="EY59" i="7"/>
  <c r="EZ59" i="7"/>
  <c r="EX60" i="7"/>
  <c r="EY60" i="7"/>
  <c r="EZ60" i="7"/>
  <c r="EX61" i="7"/>
  <c r="EY61" i="7"/>
  <c r="EZ61" i="7"/>
  <c r="EX62" i="7"/>
  <c r="EY62" i="7"/>
  <c r="EZ62" i="7"/>
  <c r="EX63" i="7"/>
  <c r="EY63" i="7"/>
  <c r="EZ63" i="7"/>
  <c r="EX64" i="7"/>
  <c r="EY64" i="7"/>
  <c r="EZ64" i="7"/>
  <c r="EX65" i="7"/>
  <c r="EY65" i="7"/>
  <c r="EZ65" i="7"/>
  <c r="EX66" i="7"/>
  <c r="EY66" i="7"/>
  <c r="EZ66" i="7"/>
  <c r="EX67" i="7"/>
  <c r="EY67" i="7"/>
  <c r="EZ67" i="7"/>
  <c r="EX68" i="7"/>
  <c r="EY68" i="7"/>
  <c r="EZ68" i="7"/>
  <c r="EX69" i="7"/>
  <c r="EY69" i="7"/>
  <c r="EZ69" i="7"/>
  <c r="EX70" i="7"/>
  <c r="EY70" i="7"/>
  <c r="EZ70" i="7"/>
  <c r="EX71" i="7"/>
  <c r="EY71" i="7"/>
  <c r="EZ71" i="7"/>
  <c r="EX72" i="7"/>
  <c r="EY72" i="7"/>
  <c r="EZ72" i="7"/>
  <c r="EX73" i="7"/>
  <c r="EY73" i="7"/>
  <c r="EZ73" i="7"/>
  <c r="EX74" i="7"/>
  <c r="EY74" i="7"/>
  <c r="EZ74" i="7"/>
  <c r="EX75" i="7"/>
  <c r="EY75" i="7"/>
  <c r="EZ75" i="7"/>
  <c r="EX76" i="7"/>
  <c r="EY76" i="7"/>
  <c r="EZ76" i="7"/>
  <c r="EX77" i="7"/>
  <c r="EY77" i="7"/>
  <c r="EZ77" i="7"/>
  <c r="EX78" i="7"/>
  <c r="EY78" i="7"/>
  <c r="EZ78" i="7"/>
  <c r="EX79" i="7"/>
  <c r="EY79" i="7"/>
  <c r="EZ79" i="7"/>
  <c r="EX80" i="7"/>
  <c r="EY80" i="7"/>
  <c r="EZ80" i="7"/>
  <c r="EZ13" i="7"/>
  <c r="EY13" i="7"/>
  <c r="DT37" i="7" a="1"/>
  <c r="DT37" i="7" s="1"/>
  <c r="HA37" i="7" s="1"/>
  <c r="DT40" i="7" a="1"/>
  <c r="DT40" i="7" s="1"/>
  <c r="HA40" i="7" s="1"/>
  <c r="DT41" i="7" a="1"/>
  <c r="DT41" i="7" s="1"/>
  <c r="HA41" i="7" s="1"/>
  <c r="DT42" i="7" a="1"/>
  <c r="DT42" i="7" s="1"/>
  <c r="HA42" i="7" s="1"/>
  <c r="DT43" i="7" a="1"/>
  <c r="DT43" i="7" s="1"/>
  <c r="HA43" i="7" s="1"/>
  <c r="DT44" i="7" a="1"/>
  <c r="DT44" i="7" s="1"/>
  <c r="HA44" i="7" s="1"/>
  <c r="DT45" i="7" a="1"/>
  <c r="DT45" i="7" s="1"/>
  <c r="HA45" i="7" s="1"/>
  <c r="DT46" i="7" a="1"/>
  <c r="DT46" i="7" s="1"/>
  <c r="HA46" i="7" s="1"/>
  <c r="DT47" i="7" a="1"/>
  <c r="DT47" i="7" s="1"/>
  <c r="HA47" i="7" s="1"/>
  <c r="DT48" i="7" a="1"/>
  <c r="DT48" i="7" s="1"/>
  <c r="HA48" i="7" s="1"/>
  <c r="DT49" i="7" a="1"/>
  <c r="DT49" i="7" s="1"/>
  <c r="HA49" i="7" s="1"/>
  <c r="DT50" i="7" a="1"/>
  <c r="DT50" i="7" s="1"/>
  <c r="HA50" i="7" s="1"/>
  <c r="DT51" i="7" a="1"/>
  <c r="DT51" i="7" s="1"/>
  <c r="HA51" i="7" s="1"/>
  <c r="DT52" i="7" a="1"/>
  <c r="DT52" i="7" s="1"/>
  <c r="HA52" i="7" s="1"/>
  <c r="DT53" i="7" a="1"/>
  <c r="DT53" i="7" s="1"/>
  <c r="HA53" i="7" s="1"/>
  <c r="DT54" i="7" a="1"/>
  <c r="DT54" i="7" s="1"/>
  <c r="HA54" i="7" s="1"/>
  <c r="DT55" i="7" a="1"/>
  <c r="DT55" i="7" s="1"/>
  <c r="HA55" i="7" s="1"/>
  <c r="DT56" i="7" a="1"/>
  <c r="DT56" i="7" s="1"/>
  <c r="HA56" i="7" s="1"/>
  <c r="DT57" i="7" a="1"/>
  <c r="DT57" i="7" s="1"/>
  <c r="HA57" i="7" s="1"/>
  <c r="DT58" i="7" a="1"/>
  <c r="DT58" i="7" s="1"/>
  <c r="HA58" i="7" s="1"/>
  <c r="DT59" i="7" a="1"/>
  <c r="DT59" i="7" s="1"/>
  <c r="HA59" i="7" s="1"/>
  <c r="DT60" i="7" a="1"/>
  <c r="DT60" i="7" s="1"/>
  <c r="HA60" i="7" s="1"/>
  <c r="DT61" i="7" a="1"/>
  <c r="DT61" i="7" s="1"/>
  <c r="HA61" i="7" s="1"/>
  <c r="DT62" i="7" a="1"/>
  <c r="DT62" i="7" s="1"/>
  <c r="HA62" i="7" s="1"/>
  <c r="DT63" i="7" a="1"/>
  <c r="DT63" i="7" s="1"/>
  <c r="HA63" i="7" s="1"/>
  <c r="DT64" i="7" a="1"/>
  <c r="DT64" i="7" s="1"/>
  <c r="HA64" i="7" s="1"/>
  <c r="DT65" i="7" a="1"/>
  <c r="DT65" i="7" s="1"/>
  <c r="HA65" i="7" s="1"/>
  <c r="DT66" i="7" a="1"/>
  <c r="DT66" i="7" s="1"/>
  <c r="HA66" i="7" s="1"/>
  <c r="DT67" i="7" a="1"/>
  <c r="DT67" i="7" s="1"/>
  <c r="HA67" i="7" s="1"/>
  <c r="DT68" i="7" a="1"/>
  <c r="DT68" i="7" s="1"/>
  <c r="HA68" i="7" s="1"/>
  <c r="DT69" i="7" a="1"/>
  <c r="DT69" i="7" s="1"/>
  <c r="HA69" i="7" s="1"/>
  <c r="DT70" i="7" a="1"/>
  <c r="DT70" i="7" s="1"/>
  <c r="HA70" i="7" s="1"/>
  <c r="DT71" i="7" a="1"/>
  <c r="DT71" i="7" s="1"/>
  <c r="HA71" i="7" s="1"/>
  <c r="DT72" i="7" a="1"/>
  <c r="DT72" i="7" s="1"/>
  <c r="HA72" i="7" s="1"/>
  <c r="DT73" i="7" a="1"/>
  <c r="DT73" i="7" s="1"/>
  <c r="HA73" i="7" s="1"/>
  <c r="DT74" i="7" a="1"/>
  <c r="DT74" i="7" s="1"/>
  <c r="HA74" i="7" s="1"/>
  <c r="DT75" i="7" a="1"/>
  <c r="DT75" i="7" s="1"/>
  <c r="HA75" i="7" s="1"/>
  <c r="DT76" i="7" a="1"/>
  <c r="DT76" i="7" s="1"/>
  <c r="DT77" i="7" a="1"/>
  <c r="DT77" i="7" s="1"/>
  <c r="HA77" i="7" s="1"/>
  <c r="DT78" i="7" a="1"/>
  <c r="DT78" i="7" s="1"/>
  <c r="HA78" i="7" s="1"/>
  <c r="DT79" i="7" a="1"/>
  <c r="DT79" i="7" s="1"/>
  <c r="HA79" i="7" s="1"/>
  <c r="DR15" i="7"/>
  <c r="EY15" i="7" s="1"/>
  <c r="DS15" i="7"/>
  <c r="EZ15" i="7" s="1"/>
  <c r="DR16" i="7"/>
  <c r="EY16" i="7" s="1"/>
  <c r="DS16" i="7"/>
  <c r="EZ16" i="7" s="1"/>
  <c r="DR17" i="7"/>
  <c r="EY17" i="7" s="1"/>
  <c r="DS17" i="7"/>
  <c r="EZ17" i="7" s="1"/>
  <c r="DR18" i="7"/>
  <c r="EY18" i="7" s="1"/>
  <c r="DS18" i="7"/>
  <c r="EZ18" i="7" s="1"/>
  <c r="DR19" i="7"/>
  <c r="EY19" i="7" s="1"/>
  <c r="DS19" i="7"/>
  <c r="EZ19" i="7" s="1"/>
  <c r="DR20" i="7"/>
  <c r="EY20" i="7" s="1"/>
  <c r="DS20" i="7"/>
  <c r="EZ20" i="7" s="1"/>
  <c r="DR21" i="7"/>
  <c r="EY21" i="7" s="1"/>
  <c r="DS21" i="7"/>
  <c r="EZ21" i="7" s="1"/>
  <c r="DR22" i="7"/>
  <c r="EY22" i="7" s="1"/>
  <c r="DS22" i="7"/>
  <c r="EZ22" i="7" s="1"/>
  <c r="DR23" i="7"/>
  <c r="EY23" i="7" s="1"/>
  <c r="DS23" i="7"/>
  <c r="EZ23" i="7" s="1"/>
  <c r="DR24" i="7"/>
  <c r="EY24" i="7" s="1"/>
  <c r="DS24" i="7"/>
  <c r="EZ24" i="7" s="1"/>
  <c r="DR25" i="7"/>
  <c r="EY25" i="7" s="1"/>
  <c r="DS25" i="7"/>
  <c r="EZ25" i="7" s="1"/>
  <c r="DR26" i="7"/>
  <c r="EY26" i="7" s="1"/>
  <c r="DS26" i="7"/>
  <c r="EZ26" i="7" s="1"/>
  <c r="DR27" i="7"/>
  <c r="EY27" i="7" s="1"/>
  <c r="DS27" i="7"/>
  <c r="EZ27" i="7" s="1"/>
  <c r="DR28" i="7"/>
  <c r="EY28" i="7" s="1"/>
  <c r="DS28" i="7"/>
  <c r="EZ28" i="7" s="1"/>
  <c r="DR29" i="7"/>
  <c r="EY29" i="7" s="1"/>
  <c r="DS29" i="7"/>
  <c r="EZ29" i="7" s="1"/>
  <c r="DR30" i="7"/>
  <c r="EY30" i="7" s="1"/>
  <c r="DS30" i="7"/>
  <c r="EZ30" i="7" s="1"/>
  <c r="DR31" i="7"/>
  <c r="EY31" i="7" s="1"/>
  <c r="DS31" i="7"/>
  <c r="EZ31" i="7" s="1"/>
  <c r="DR32" i="7"/>
  <c r="EY32" i="7" s="1"/>
  <c r="DS32" i="7"/>
  <c r="EZ32" i="7" s="1"/>
  <c r="DR33" i="7"/>
  <c r="EY33" i="7" s="1"/>
  <c r="DS33" i="7"/>
  <c r="EZ33" i="7" s="1"/>
  <c r="DR34" i="7"/>
  <c r="EY34" i="7" s="1"/>
  <c r="DS34" i="7"/>
  <c r="EZ34" i="7" s="1"/>
  <c r="DR35" i="7"/>
  <c r="EY35" i="7" s="1"/>
  <c r="DS35" i="7"/>
  <c r="EZ35" i="7" s="1"/>
  <c r="DS14" i="7"/>
  <c r="EZ14" i="7" s="1"/>
  <c r="DR14" i="7"/>
  <c r="EY14" i="7" s="1"/>
  <c r="CU42" i="7"/>
  <c r="CU43" i="7"/>
  <c r="CU44" i="7"/>
  <c r="CU45" i="7"/>
  <c r="CU46" i="7"/>
  <c r="CU47" i="7"/>
  <c r="CU48" i="7"/>
  <c r="CU49" i="7"/>
  <c r="CU50" i="7"/>
  <c r="CU51" i="7"/>
  <c r="CU52" i="7"/>
  <c r="CU53" i="7"/>
  <c r="CU54" i="7"/>
  <c r="CU55" i="7"/>
  <c r="CU56" i="7"/>
  <c r="CU57" i="7"/>
  <c r="CU58" i="7"/>
  <c r="CU59" i="7"/>
  <c r="CU60" i="7"/>
  <c r="CU61" i="7"/>
  <c r="CU62" i="7"/>
  <c r="CU63" i="7"/>
  <c r="CU64" i="7"/>
  <c r="CU65" i="7"/>
  <c r="CU66" i="7"/>
  <c r="CU67" i="7"/>
  <c r="CU68" i="7"/>
  <c r="CU69" i="7"/>
  <c r="CU70" i="7"/>
  <c r="CU71" i="7"/>
  <c r="CU72" i="7"/>
  <c r="CU73" i="7"/>
  <c r="CU74" i="7"/>
  <c r="CU75" i="7"/>
  <c r="CU76" i="7"/>
  <c r="CU77" i="7"/>
  <c r="CU78" i="7"/>
  <c r="CU79" i="7"/>
  <c r="CU80" i="7"/>
  <c r="CU81" i="7"/>
  <c r="CU41" i="7"/>
  <c r="CU15" i="7"/>
  <c r="CU16" i="7"/>
  <c r="CU17" i="7"/>
  <c r="CU18" i="7"/>
  <c r="CU19" i="7"/>
  <c r="CU20" i="7"/>
  <c r="CU21" i="7"/>
  <c r="CU22" i="7"/>
  <c r="CU23" i="7"/>
  <c r="CU24" i="7"/>
  <c r="CU25" i="7"/>
  <c r="CU26" i="7"/>
  <c r="CU27" i="7"/>
  <c r="CU28" i="7"/>
  <c r="CU29" i="7"/>
  <c r="CU30" i="7"/>
  <c r="CU31" i="7"/>
  <c r="CU32" i="7"/>
  <c r="CU33" i="7"/>
  <c r="CU34" i="7"/>
  <c r="CU35" i="7"/>
  <c r="CU36" i="7"/>
  <c r="CU37" i="7"/>
  <c r="CU38" i="7"/>
  <c r="CU39" i="7"/>
  <c r="CU40" i="7"/>
  <c r="CU14" i="7"/>
  <c r="BO42" i="7"/>
  <c r="BO43" i="7"/>
  <c r="BO44" i="7"/>
  <c r="BO45" i="7"/>
  <c r="BO46" i="7"/>
  <c r="BO47" i="7"/>
  <c r="BO48" i="7"/>
  <c r="BO49" i="7"/>
  <c r="BO50" i="7"/>
  <c r="BO51" i="7"/>
  <c r="BO52" i="7"/>
  <c r="BO53" i="7"/>
  <c r="BO54" i="7"/>
  <c r="BO55" i="7"/>
  <c r="BO56" i="7"/>
  <c r="BO57" i="7"/>
  <c r="BO58" i="7"/>
  <c r="BO59" i="7"/>
  <c r="BO60" i="7"/>
  <c r="BO61" i="7"/>
  <c r="BO62" i="7"/>
  <c r="BO63" i="7"/>
  <c r="BO64" i="7"/>
  <c r="BO65" i="7"/>
  <c r="BO66" i="7"/>
  <c r="BO67" i="7"/>
  <c r="BO68" i="7"/>
  <c r="BO69" i="7"/>
  <c r="BO70" i="7"/>
  <c r="BO71" i="7"/>
  <c r="BO72" i="7"/>
  <c r="BO73" i="7"/>
  <c r="BO74" i="7"/>
  <c r="BO75" i="7"/>
  <c r="BO76" i="7"/>
  <c r="BO77" i="7"/>
  <c r="BO78" i="7"/>
  <c r="BO79" i="7"/>
  <c r="BO80" i="7"/>
  <c r="BO81" i="7"/>
  <c r="BN15" i="7"/>
  <c r="BN16" i="7"/>
  <c r="BN17" i="7"/>
  <c r="BN18" i="7"/>
  <c r="BN19" i="7"/>
  <c r="BN20" i="7"/>
  <c r="BN21" i="7"/>
  <c r="BN22" i="7"/>
  <c r="BN23" i="7"/>
  <c r="BN24" i="7"/>
  <c r="BN25" i="7"/>
  <c r="BN26" i="7"/>
  <c r="BN27" i="7"/>
  <c r="BN28" i="7"/>
  <c r="BN29" i="7"/>
  <c r="BN30" i="7"/>
  <c r="BN31" i="7"/>
  <c r="BN32" i="7"/>
  <c r="BN33" i="7"/>
  <c r="BN34" i="7"/>
  <c r="BN35" i="7"/>
  <c r="BN36" i="7"/>
  <c r="BN37" i="7"/>
  <c r="BN38" i="7"/>
  <c r="BN39" i="7"/>
  <c r="BN40" i="7"/>
  <c r="BN14" i="7"/>
  <c r="GH37" i="7" l="1"/>
  <c r="GG43" i="7"/>
  <c r="EY81" i="7"/>
  <c r="GH39" i="7"/>
  <c r="DY106" i="7"/>
  <c r="HA76" i="7"/>
  <c r="S11" i="7"/>
  <c r="R11" i="7"/>
  <c r="O11" i="7"/>
  <c r="P11" i="7"/>
  <c r="BO104" i="7"/>
  <c r="Q11" i="7" s="1"/>
  <c r="DY107" i="7"/>
  <c r="DY109" i="7" s="1"/>
  <c r="DY105" i="7"/>
  <c r="BO106" i="7"/>
  <c r="BO107" i="7"/>
  <c r="BO109" i="7" s="1"/>
  <c r="BO105" i="7"/>
  <c r="DY104" i="7"/>
  <c r="CU93" i="7"/>
  <c r="CU94" i="7"/>
  <c r="CU85" i="7"/>
  <c r="CU95" i="7"/>
  <c r="CU96" i="7"/>
  <c r="CU97" i="7"/>
  <c r="CU98" i="7"/>
  <c r="CU84" i="7"/>
  <c r="CU99" i="7"/>
  <c r="CU100" i="7"/>
  <c r="CU101" i="7"/>
  <c r="CU83" i="7"/>
  <c r="CU91" i="7"/>
  <c r="CU102" i="7"/>
  <c r="CU103" i="7"/>
  <c r="CU82" i="7"/>
  <c r="CU90" i="7"/>
  <c r="CU88" i="7"/>
  <c r="CU89" i="7"/>
  <c r="CU87" i="7"/>
  <c r="CU92" i="7"/>
  <c r="CU86" i="7"/>
  <c r="DV10" i="7"/>
  <c r="H107" i="7"/>
  <c r="H108" i="7"/>
  <c r="H109" i="7"/>
  <c r="H110" i="7"/>
  <c r="H111" i="7"/>
  <c r="H112" i="7"/>
  <c r="H113" i="7"/>
  <c r="H114" i="7"/>
  <c r="H115" i="7"/>
  <c r="H116" i="7"/>
  <c r="H117" i="7"/>
  <c r="H118" i="7"/>
  <c r="H119" i="7"/>
  <c r="H120" i="7"/>
  <c r="H121" i="7"/>
  <c r="H122" i="7"/>
  <c r="H123" i="7"/>
  <c r="H124" i="7"/>
  <c r="H106" i="7"/>
  <c r="EW41" i="7"/>
  <c r="EW40" i="7"/>
  <c r="EW37" i="7"/>
  <c r="FA37" i="7" s="1" a="1"/>
  <c r="FA37" i="7" s="1"/>
  <c r="EW38" i="7"/>
  <c r="EW39" i="7"/>
  <c r="EW36" i="7"/>
  <c r="GI36" i="7" s="1"/>
  <c r="GJ36" i="7" s="1"/>
  <c r="CS41" i="7"/>
  <c r="CS81" i="7" s="1"/>
  <c r="CP41" i="7"/>
  <c r="FA36" i="7" l="1" a="1"/>
  <c r="FA36" i="7" s="1"/>
  <c r="FA39" i="7" a="1"/>
  <c r="FA39" i="7" s="1"/>
  <c r="GI39" i="7"/>
  <c r="FA38" i="7" a="1"/>
  <c r="FA38" i="7" s="1"/>
  <c r="GI38" i="7"/>
  <c r="GI37" i="7"/>
  <c r="FA40" i="7" a="1"/>
  <c r="FA40" i="7" s="1"/>
  <c r="GI40" i="7"/>
  <c r="EW80" i="7"/>
  <c r="GI80" i="7" s="1"/>
  <c r="GI41" i="7"/>
  <c r="T11" i="7"/>
  <c r="DT110" i="7" a="1"/>
  <c r="DT110" i="7" s="1"/>
  <c r="ET110" i="7" s="1"/>
  <c r="DT106" i="7" a="1"/>
  <c r="DT106" i="7" s="1"/>
  <c r="ET106" i="7" s="1"/>
  <c r="DT112" i="7" a="1"/>
  <c r="DT112" i="7" s="1"/>
  <c r="ET112" i="7" s="1"/>
  <c r="DT111" i="7" a="1"/>
  <c r="DT111" i="7" s="1"/>
  <c r="ET111" i="7" s="1"/>
  <c r="DT105" i="7" a="1"/>
  <c r="DT105" i="7" s="1"/>
  <c r="ET105" i="7" s="1"/>
  <c r="DT109" i="7" a="1"/>
  <c r="DT109" i="7" s="1"/>
  <c r="ET109" i="7" s="1"/>
  <c r="DT104" i="7" a="1"/>
  <c r="DT104" i="7" s="1"/>
  <c r="ET104" i="7" s="1"/>
  <c r="DT107" i="7" a="1"/>
  <c r="DT107" i="7" s="1"/>
  <c r="ET107" i="7" s="1"/>
  <c r="DT114" i="7" a="1"/>
  <c r="DT114" i="7" s="1"/>
  <c r="DT108" i="7" a="1"/>
  <c r="DT108" i="7" s="1"/>
  <c r="ET108" i="7" s="1"/>
  <c r="DT115" i="7" a="1"/>
  <c r="DT115" i="7" s="1"/>
  <c r="DT113" i="7" a="1"/>
  <c r="DT113" i="7" s="1"/>
  <c r="ET113" i="7" s="1"/>
  <c r="CS86" i="7"/>
  <c r="CS93" i="7"/>
  <c r="CS92" i="7"/>
  <c r="CS82" i="7"/>
  <c r="CS85" i="7"/>
  <c r="CS98" i="7"/>
  <c r="CS88" i="7"/>
  <c r="CS90" i="7"/>
  <c r="CS83" i="7"/>
  <c r="CS91" i="7"/>
  <c r="CS89" i="7"/>
  <c r="CS87" i="7"/>
  <c r="CS84" i="7"/>
  <c r="CS96" i="7"/>
  <c r="CS101" i="7"/>
  <c r="CS97" i="7"/>
  <c r="CS95" i="7"/>
  <c r="CS94" i="7"/>
  <c r="CS103" i="7"/>
  <c r="CS99" i="7"/>
  <c r="CS100" i="7"/>
  <c r="CS102" i="7"/>
  <c r="BO110" i="7"/>
  <c r="BO82" i="7"/>
  <c r="DT81" i="7" a="1"/>
  <c r="DT81" i="7" s="1"/>
  <c r="DY110" i="7"/>
  <c r="EW44" i="7"/>
  <c r="FA41" i="7" a="1"/>
  <c r="FA41" i="7" s="1"/>
  <c r="EW59" i="7"/>
  <c r="CS57" i="7"/>
  <c r="CS60" i="7"/>
  <c r="EW61" i="7"/>
  <c r="CS52" i="7"/>
  <c r="CS74" i="7"/>
  <c r="CS42" i="7"/>
  <c r="FV42" i="7" s="1"/>
  <c r="EW77" i="7"/>
  <c r="EW73" i="7"/>
  <c r="CS58" i="7"/>
  <c r="CS55" i="7"/>
  <c r="EW71" i="7"/>
  <c r="CS79" i="7"/>
  <c r="CS75" i="7"/>
  <c r="EW46" i="7"/>
  <c r="CS80" i="7"/>
  <c r="EW78" i="7"/>
  <c r="CS51" i="7"/>
  <c r="CS72" i="7"/>
  <c r="EW50" i="7"/>
  <c r="EW70" i="7"/>
  <c r="CS68" i="7"/>
  <c r="CS44" i="7"/>
  <c r="FV44" i="7" s="1"/>
  <c r="EW68" i="7"/>
  <c r="EW45" i="7"/>
  <c r="CS56" i="7"/>
  <c r="EW54" i="7"/>
  <c r="EW52" i="7"/>
  <c r="EW74" i="7"/>
  <c r="CS48" i="7"/>
  <c r="CS70" i="7"/>
  <c r="CS67" i="7"/>
  <c r="CS43" i="7"/>
  <c r="FV43" i="7" s="1"/>
  <c r="EW67" i="7"/>
  <c r="EW43" i="7"/>
  <c r="EW57" i="7"/>
  <c r="CS76" i="7"/>
  <c r="EW75" i="7"/>
  <c r="EW51" i="7"/>
  <c r="CS49" i="7"/>
  <c r="CS71" i="7"/>
  <c r="CS47" i="7"/>
  <c r="CS65" i="7"/>
  <c r="EW66" i="7"/>
  <c r="EW42" i="7"/>
  <c r="EW58" i="7"/>
  <c r="EW79" i="7"/>
  <c r="EW55" i="7"/>
  <c r="CS54" i="7"/>
  <c r="EW47" i="7"/>
  <c r="CS64" i="7"/>
  <c r="EW63" i="7"/>
  <c r="CS59" i="7"/>
  <c r="CS63" i="7"/>
  <c r="EW62" i="7"/>
  <c r="CS69" i="7"/>
  <c r="CS53" i="7"/>
  <c r="EW72" i="7"/>
  <c r="EW56" i="7"/>
  <c r="CS66" i="7"/>
  <c r="CS50" i="7"/>
  <c r="EW69" i="7"/>
  <c r="EW53" i="7"/>
  <c r="CS78" i="7"/>
  <c r="CS62" i="7"/>
  <c r="CS46" i="7"/>
  <c r="EW65" i="7"/>
  <c r="EW49" i="7"/>
  <c r="CS77" i="7"/>
  <c r="CS61" i="7"/>
  <c r="CS45" i="7"/>
  <c r="EW64" i="7"/>
  <c r="EW48" i="7"/>
  <c r="CS73" i="7"/>
  <c r="EW76" i="7"/>
  <c r="EW60" i="7"/>
  <c r="EW88" i="7" l="1"/>
  <c r="GI88" i="7" s="1"/>
  <c r="EW81" i="7"/>
  <c r="GI81" i="7" s="1"/>
  <c r="EW89" i="7"/>
  <c r="GI89" i="7" s="1"/>
  <c r="EW97" i="7"/>
  <c r="GI97" i="7" s="1"/>
  <c r="EW82" i="7"/>
  <c r="GI82" i="7" s="1"/>
  <c r="EW90" i="7"/>
  <c r="GI90" i="7" s="1"/>
  <c r="EW83" i="7"/>
  <c r="GI83" i="7" s="1"/>
  <c r="EW102" i="7"/>
  <c r="GI102" i="7" s="1"/>
  <c r="GJ37" i="7"/>
  <c r="GK37" i="7" s="1"/>
  <c r="EW98" i="7"/>
  <c r="GI98" i="7" s="1"/>
  <c r="EW91" i="7"/>
  <c r="GI91" i="7" s="1"/>
  <c r="EW106" i="7"/>
  <c r="GJ38" i="7"/>
  <c r="GK38" i="7" s="1"/>
  <c r="EW84" i="7"/>
  <c r="GI84" i="7" s="1"/>
  <c r="EW110" i="7"/>
  <c r="GJ39" i="7"/>
  <c r="GK39" i="7" s="1"/>
  <c r="EW113" i="7"/>
  <c r="EW104" i="7"/>
  <c r="EW108" i="7"/>
  <c r="EW112" i="7"/>
  <c r="EW107" i="7"/>
  <c r="EW109" i="7"/>
  <c r="EW111" i="7"/>
  <c r="EW105" i="7"/>
  <c r="EW85" i="7"/>
  <c r="GI85" i="7" s="1"/>
  <c r="EW101" i="7"/>
  <c r="GI101" i="7" s="1"/>
  <c r="EW92" i="7"/>
  <c r="GI92" i="7" s="1"/>
  <c r="EW93" i="7"/>
  <c r="GI93" i="7" s="1"/>
  <c r="EW103" i="7"/>
  <c r="GI103" i="7" s="1"/>
  <c r="EW87" i="7"/>
  <c r="GI87" i="7" s="1"/>
  <c r="EW99" i="7"/>
  <c r="GI99" i="7" s="1"/>
  <c r="EW100" i="7"/>
  <c r="GI100" i="7" s="1"/>
  <c r="EW95" i="7"/>
  <c r="GI95" i="7" s="1"/>
  <c r="EW94" i="7"/>
  <c r="GI94" i="7" s="1"/>
  <c r="EW86" i="7"/>
  <c r="GI86" i="7" s="1"/>
  <c r="EW96" i="7"/>
  <c r="GI96" i="7" s="1"/>
  <c r="GK36" i="7"/>
  <c r="FA75" i="7" a="1"/>
  <c r="FA75" i="7" s="1"/>
  <c r="GI75" i="7"/>
  <c r="FA49" i="7" a="1"/>
  <c r="FA49" i="7" s="1"/>
  <c r="GI49" i="7"/>
  <c r="FA59" i="7" a="1"/>
  <c r="FA59" i="7" s="1"/>
  <c r="GI59" i="7"/>
  <c r="FA65" i="7" a="1"/>
  <c r="FA65" i="7" s="1"/>
  <c r="GI65" i="7"/>
  <c r="FA47" i="7" a="1"/>
  <c r="FA47" i="7" s="1"/>
  <c r="GI47" i="7"/>
  <c r="FA57" i="7" a="1"/>
  <c r="FA57" i="7" s="1"/>
  <c r="GI57" i="7"/>
  <c r="FA43" i="7" a="1"/>
  <c r="FA43" i="7" s="1"/>
  <c r="GI43" i="7"/>
  <c r="FA53" i="7" a="1"/>
  <c r="FA53" i="7" s="1"/>
  <c r="GI53" i="7"/>
  <c r="FA78" i="7" a="1"/>
  <c r="FA78" i="7" s="1"/>
  <c r="GI78" i="7"/>
  <c r="FA70" i="7" a="1"/>
  <c r="FA70" i="7" s="1"/>
  <c r="GI70" i="7"/>
  <c r="FA55" i="7" a="1"/>
  <c r="FA55" i="7" s="1"/>
  <c r="GI55" i="7"/>
  <c r="FA44" i="7" a="1"/>
  <c r="FA44" i="7" s="1"/>
  <c r="GI44" i="7"/>
  <c r="FA42" i="7" a="1"/>
  <c r="FA42" i="7" s="1"/>
  <c r="GI42" i="7"/>
  <c r="FA76" i="7" a="1"/>
  <c r="FA76" i="7" s="1"/>
  <c r="GI76" i="7"/>
  <c r="FA54" i="7" a="1"/>
  <c r="FA54" i="7" s="1"/>
  <c r="GI54" i="7"/>
  <c r="FA63" i="7" a="1"/>
  <c r="FA63" i="7" s="1"/>
  <c r="GI63" i="7"/>
  <c r="FA67" i="7" a="1"/>
  <c r="FA67" i="7" s="1"/>
  <c r="GI67" i="7"/>
  <c r="FA46" i="7" a="1"/>
  <c r="FA46" i="7" s="1"/>
  <c r="GI46" i="7"/>
  <c r="FA69" i="7" a="1"/>
  <c r="FA69" i="7" s="1"/>
  <c r="GI69" i="7"/>
  <c r="FA52" i="7" a="1"/>
  <c r="FA52" i="7" s="1"/>
  <c r="GI52" i="7"/>
  <c r="FA50" i="7" a="1"/>
  <c r="FA50" i="7" s="1"/>
  <c r="GI50" i="7"/>
  <c r="FA60" i="7" a="1"/>
  <c r="FA60" i="7" s="1"/>
  <c r="GI60" i="7"/>
  <c r="FA66" i="7" a="1"/>
  <c r="FA66" i="7" s="1"/>
  <c r="GI66" i="7"/>
  <c r="FA71" i="7" a="1"/>
  <c r="FA71" i="7" s="1"/>
  <c r="GI71" i="7"/>
  <c r="FA48" i="7" a="1"/>
  <c r="FA48" i="7" s="1"/>
  <c r="GI48" i="7"/>
  <c r="FA61" i="7" a="1"/>
  <c r="FA61" i="7" s="1"/>
  <c r="GI61" i="7"/>
  <c r="FA79" i="7" a="1"/>
  <c r="FA79" i="7" s="1"/>
  <c r="GI79" i="7"/>
  <c r="FA74" i="7" a="1"/>
  <c r="FA74" i="7" s="1"/>
  <c r="GI74" i="7"/>
  <c r="FA58" i="7" a="1"/>
  <c r="FA58" i="7" s="1"/>
  <c r="GI58" i="7"/>
  <c r="FA56" i="7" a="1"/>
  <c r="FA56" i="7" s="1"/>
  <c r="GI56" i="7"/>
  <c r="FA72" i="7" a="1"/>
  <c r="FA72" i="7" s="1"/>
  <c r="GI72" i="7"/>
  <c r="FA45" i="7" a="1"/>
  <c r="FA45" i="7" s="1"/>
  <c r="GI45" i="7"/>
  <c r="FA73" i="7" a="1"/>
  <c r="FA73" i="7" s="1"/>
  <c r="GI73" i="7"/>
  <c r="FA64" i="7" a="1"/>
  <c r="FA64" i="7" s="1"/>
  <c r="GI64" i="7"/>
  <c r="FA68" i="7" a="1"/>
  <c r="FA68" i="7" s="1"/>
  <c r="GI68" i="7"/>
  <c r="FA77" i="7" a="1"/>
  <c r="FA77" i="7" s="1"/>
  <c r="GI77" i="7"/>
  <c r="FA62" i="7" a="1"/>
  <c r="FA62" i="7" s="1"/>
  <c r="GI62" i="7"/>
  <c r="FA51" i="7" a="1"/>
  <c r="FA51" i="7" s="1"/>
  <c r="GI51" i="7"/>
  <c r="CP82" i="7"/>
  <c r="HA81" i="7"/>
  <c r="DY111" i="7"/>
  <c r="BO83" i="7"/>
  <c r="CP83" i="7" s="1"/>
  <c r="BO111" i="7"/>
  <c r="FA80" i="7" a="1"/>
  <c r="FA80" i="7" s="1"/>
  <c r="EW10" i="7"/>
  <c r="CT41" i="7"/>
  <c r="DA10" i="7"/>
  <c r="ET36" i="7"/>
  <c r="EL40" i="7"/>
  <c r="EL37" i="7"/>
  <c r="EL38" i="7"/>
  <c r="EL39" i="7"/>
  <c r="EL41" i="7"/>
  <c r="EL42" i="7"/>
  <c r="EL43" i="7"/>
  <c r="EL36" i="7"/>
  <c r="EK37" i="7"/>
  <c r="EK38" i="7"/>
  <c r="EK39" i="7"/>
  <c r="EK40" i="7"/>
  <c r="EK41" i="7"/>
  <c r="EK42" i="7"/>
  <c r="EK36" i="7"/>
  <c r="EJ37" i="7"/>
  <c r="EJ38" i="7"/>
  <c r="EJ39" i="7"/>
  <c r="EJ40" i="7"/>
  <c r="EJ41" i="7"/>
  <c r="EJ36" i="7"/>
  <c r="EI37" i="7"/>
  <c r="EI38" i="7"/>
  <c r="EI39" i="7"/>
  <c r="EI40" i="7"/>
  <c r="EI36" i="7"/>
  <c r="EH37" i="7"/>
  <c r="EH38" i="7"/>
  <c r="EH39" i="7"/>
  <c r="EH36" i="7"/>
  <c r="CG48" i="7"/>
  <c r="CF47" i="7"/>
  <c r="CE46" i="7"/>
  <c r="CD45" i="7"/>
  <c r="CC44" i="7"/>
  <c r="EH15" i="7"/>
  <c r="EI15" i="7"/>
  <c r="EJ15" i="7"/>
  <c r="EK15" i="7"/>
  <c r="EL15" i="7"/>
  <c r="EM15" i="7"/>
  <c r="EN15" i="7"/>
  <c r="EO15" i="7"/>
  <c r="EP15" i="7"/>
  <c r="EQ15" i="7"/>
  <c r="ER15" i="7"/>
  <c r="ES15" i="7"/>
  <c r="ET15" i="7"/>
  <c r="EU15" i="7"/>
  <c r="EV15" i="7"/>
  <c r="EH16" i="7"/>
  <c r="EI16" i="7"/>
  <c r="EJ16" i="7"/>
  <c r="EK16" i="7"/>
  <c r="EL16" i="7"/>
  <c r="EM16" i="7"/>
  <c r="EN16" i="7"/>
  <c r="EO16" i="7"/>
  <c r="EP16" i="7"/>
  <c r="EQ16" i="7"/>
  <c r="ER16" i="7"/>
  <c r="ES16" i="7"/>
  <c r="ET16" i="7"/>
  <c r="EU16" i="7"/>
  <c r="EV16" i="7"/>
  <c r="EH17" i="7"/>
  <c r="EI17" i="7"/>
  <c r="EJ17" i="7"/>
  <c r="EK17" i="7"/>
  <c r="EL17" i="7"/>
  <c r="EM17" i="7"/>
  <c r="EN17" i="7"/>
  <c r="EO17" i="7"/>
  <c r="EP17" i="7"/>
  <c r="EQ17" i="7"/>
  <c r="ER17" i="7"/>
  <c r="ES17" i="7"/>
  <c r="ET17" i="7"/>
  <c r="EU17" i="7"/>
  <c r="EV17" i="7"/>
  <c r="EH18" i="7"/>
  <c r="EI18" i="7"/>
  <c r="EJ18" i="7"/>
  <c r="EK18" i="7"/>
  <c r="EL18" i="7"/>
  <c r="EM18" i="7"/>
  <c r="EN18" i="7"/>
  <c r="EO18" i="7"/>
  <c r="EP18" i="7"/>
  <c r="EQ18" i="7"/>
  <c r="ER18" i="7"/>
  <c r="ES18" i="7"/>
  <c r="ET18" i="7"/>
  <c r="EU18" i="7"/>
  <c r="EV18" i="7"/>
  <c r="EH19" i="7"/>
  <c r="EI19" i="7"/>
  <c r="EJ19" i="7"/>
  <c r="EK19" i="7"/>
  <c r="EL19" i="7"/>
  <c r="EM19" i="7"/>
  <c r="EN19" i="7"/>
  <c r="EO19" i="7"/>
  <c r="EP19" i="7"/>
  <c r="EQ19" i="7"/>
  <c r="ER19" i="7"/>
  <c r="ES19" i="7"/>
  <c r="ET19" i="7"/>
  <c r="EU19" i="7"/>
  <c r="EV19" i="7"/>
  <c r="EH20" i="7"/>
  <c r="EI20" i="7"/>
  <c r="EJ20" i="7"/>
  <c r="EK20" i="7"/>
  <c r="EL20" i="7"/>
  <c r="EM20" i="7"/>
  <c r="EN20" i="7"/>
  <c r="EO20" i="7"/>
  <c r="EP20" i="7"/>
  <c r="EQ20" i="7"/>
  <c r="ER20" i="7"/>
  <c r="ES20" i="7"/>
  <c r="ET20" i="7"/>
  <c r="EU20" i="7"/>
  <c r="EV20" i="7"/>
  <c r="EH21" i="7"/>
  <c r="EI21" i="7"/>
  <c r="EJ21" i="7"/>
  <c r="EK21" i="7"/>
  <c r="EL21" i="7"/>
  <c r="EM21" i="7"/>
  <c r="EN21" i="7"/>
  <c r="EO21" i="7"/>
  <c r="EP21" i="7"/>
  <c r="EQ21" i="7"/>
  <c r="ER21" i="7"/>
  <c r="ES21" i="7"/>
  <c r="ET21" i="7"/>
  <c r="EU21" i="7"/>
  <c r="EV21" i="7"/>
  <c r="EH22" i="7"/>
  <c r="EI22" i="7"/>
  <c r="EJ22" i="7"/>
  <c r="EK22" i="7"/>
  <c r="EL22" i="7"/>
  <c r="EM22" i="7"/>
  <c r="EN22" i="7"/>
  <c r="EO22" i="7"/>
  <c r="EP22" i="7"/>
  <c r="EQ22" i="7"/>
  <c r="ER22" i="7"/>
  <c r="ES22" i="7"/>
  <c r="ET22" i="7"/>
  <c r="EU22" i="7"/>
  <c r="EV22" i="7"/>
  <c r="EH23" i="7"/>
  <c r="EI23" i="7"/>
  <c r="EJ23" i="7"/>
  <c r="EK23" i="7"/>
  <c r="EL23" i="7"/>
  <c r="EM23" i="7"/>
  <c r="EN23" i="7"/>
  <c r="EO23" i="7"/>
  <c r="EP23" i="7"/>
  <c r="EQ23" i="7"/>
  <c r="ER23" i="7"/>
  <c r="ES23" i="7"/>
  <c r="ET23" i="7"/>
  <c r="EU23" i="7"/>
  <c r="EV23" i="7"/>
  <c r="EH24" i="7"/>
  <c r="EI24" i="7"/>
  <c r="EJ24" i="7"/>
  <c r="EK24" i="7"/>
  <c r="EL24" i="7"/>
  <c r="EM24" i="7"/>
  <c r="EN24" i="7"/>
  <c r="EO24" i="7"/>
  <c r="EP24" i="7"/>
  <c r="EQ24" i="7"/>
  <c r="ER24" i="7"/>
  <c r="ES24" i="7"/>
  <c r="ET24" i="7"/>
  <c r="EU24" i="7"/>
  <c r="EV24" i="7"/>
  <c r="EH25" i="7"/>
  <c r="EI25" i="7"/>
  <c r="EJ25" i="7"/>
  <c r="EK25" i="7"/>
  <c r="EL25" i="7"/>
  <c r="EM25" i="7"/>
  <c r="EN25" i="7"/>
  <c r="EO25" i="7"/>
  <c r="EP25" i="7"/>
  <c r="EQ25" i="7"/>
  <c r="ER25" i="7"/>
  <c r="ES25" i="7"/>
  <c r="ET25" i="7"/>
  <c r="EU25" i="7"/>
  <c r="EV25" i="7"/>
  <c r="EH26" i="7"/>
  <c r="EI26" i="7"/>
  <c r="EJ26" i="7"/>
  <c r="EK26" i="7"/>
  <c r="EL26" i="7"/>
  <c r="EM26" i="7"/>
  <c r="EN26" i="7"/>
  <c r="EO26" i="7"/>
  <c r="EP26" i="7"/>
  <c r="EQ26" i="7"/>
  <c r="ER26" i="7"/>
  <c r="ES26" i="7"/>
  <c r="ET26" i="7"/>
  <c r="EU26" i="7"/>
  <c r="EV26" i="7"/>
  <c r="EH27" i="7"/>
  <c r="EI27" i="7"/>
  <c r="EJ27" i="7"/>
  <c r="EK27" i="7"/>
  <c r="EL27" i="7"/>
  <c r="EM27" i="7"/>
  <c r="EN27" i="7"/>
  <c r="EO27" i="7"/>
  <c r="EP27" i="7"/>
  <c r="EQ27" i="7"/>
  <c r="ER27" i="7"/>
  <c r="ES27" i="7"/>
  <c r="ET27" i="7"/>
  <c r="EU27" i="7"/>
  <c r="EV27" i="7"/>
  <c r="EH28" i="7"/>
  <c r="EI28" i="7"/>
  <c r="EJ28" i="7"/>
  <c r="EK28" i="7"/>
  <c r="EL28" i="7"/>
  <c r="EM28" i="7"/>
  <c r="EN28" i="7"/>
  <c r="EO28" i="7"/>
  <c r="EP28" i="7"/>
  <c r="EQ28" i="7"/>
  <c r="ER28" i="7"/>
  <c r="ES28" i="7"/>
  <c r="ET28" i="7"/>
  <c r="EU28" i="7"/>
  <c r="EV28" i="7"/>
  <c r="EH29" i="7"/>
  <c r="EI29" i="7"/>
  <c r="EJ29" i="7"/>
  <c r="EK29" i="7"/>
  <c r="EL29" i="7"/>
  <c r="EM29" i="7"/>
  <c r="EN29" i="7"/>
  <c r="EO29" i="7"/>
  <c r="EP29" i="7"/>
  <c r="EQ29" i="7"/>
  <c r="ER29" i="7"/>
  <c r="ES29" i="7"/>
  <c r="ET29" i="7"/>
  <c r="EU29" i="7"/>
  <c r="EV29" i="7"/>
  <c r="EH30" i="7"/>
  <c r="EI30" i="7"/>
  <c r="EJ30" i="7"/>
  <c r="EK30" i="7"/>
  <c r="EL30" i="7"/>
  <c r="EM30" i="7"/>
  <c r="EN30" i="7"/>
  <c r="EO30" i="7"/>
  <c r="EP30" i="7"/>
  <c r="EQ30" i="7"/>
  <c r="ER30" i="7"/>
  <c r="ES30" i="7"/>
  <c r="ET30" i="7"/>
  <c r="EU30" i="7"/>
  <c r="EV30" i="7"/>
  <c r="EH31" i="7"/>
  <c r="EI31" i="7"/>
  <c r="EJ31" i="7"/>
  <c r="EK31" i="7"/>
  <c r="EL31" i="7"/>
  <c r="EM31" i="7"/>
  <c r="EN31" i="7"/>
  <c r="EO31" i="7"/>
  <c r="EP31" i="7"/>
  <c r="EQ31" i="7"/>
  <c r="ER31" i="7"/>
  <c r="ES31" i="7"/>
  <c r="ET31" i="7"/>
  <c r="EU31" i="7"/>
  <c r="EV31" i="7"/>
  <c r="EH32" i="7"/>
  <c r="EI32" i="7"/>
  <c r="EJ32" i="7"/>
  <c r="EK32" i="7"/>
  <c r="EL32" i="7"/>
  <c r="EM32" i="7"/>
  <c r="EN32" i="7"/>
  <c r="EO32" i="7"/>
  <c r="EP32" i="7"/>
  <c r="EQ32" i="7"/>
  <c r="ER32" i="7"/>
  <c r="ES32" i="7"/>
  <c r="ET32" i="7"/>
  <c r="EU32" i="7"/>
  <c r="EV32" i="7"/>
  <c r="EH33" i="7"/>
  <c r="EI33" i="7"/>
  <c r="EJ33" i="7"/>
  <c r="EK33" i="7"/>
  <c r="EL33" i="7"/>
  <c r="EM33" i="7"/>
  <c r="EN33" i="7"/>
  <c r="EO33" i="7"/>
  <c r="EP33" i="7"/>
  <c r="EQ33" i="7"/>
  <c r="ER33" i="7"/>
  <c r="ES33" i="7"/>
  <c r="ET33" i="7"/>
  <c r="EU33" i="7"/>
  <c r="EV33" i="7"/>
  <c r="EH34" i="7"/>
  <c r="EI34" i="7"/>
  <c r="EJ34" i="7"/>
  <c r="EK34" i="7"/>
  <c r="EL34" i="7"/>
  <c r="EM34" i="7"/>
  <c r="EN34" i="7"/>
  <c r="EO34" i="7"/>
  <c r="EP34" i="7"/>
  <c r="EQ34" i="7"/>
  <c r="ER34" i="7"/>
  <c r="ES34" i="7"/>
  <c r="ET34" i="7"/>
  <c r="EU34" i="7"/>
  <c r="EV34" i="7"/>
  <c r="EH35" i="7"/>
  <c r="EI35" i="7"/>
  <c r="EJ35" i="7"/>
  <c r="EK35" i="7"/>
  <c r="EL35" i="7"/>
  <c r="EM35" i="7"/>
  <c r="EN35" i="7"/>
  <c r="EO35" i="7"/>
  <c r="EP35" i="7"/>
  <c r="EQ35" i="7"/>
  <c r="ER35" i="7"/>
  <c r="ES35" i="7"/>
  <c r="ET35" i="7"/>
  <c r="EU35" i="7"/>
  <c r="EV35" i="7"/>
  <c r="EU14" i="7"/>
  <c r="EV14" i="7"/>
  <c r="EI14" i="7"/>
  <c r="EJ14" i="7"/>
  <c r="EK14" i="7"/>
  <c r="EL14" i="7"/>
  <c r="EM14" i="7"/>
  <c r="EN14" i="7"/>
  <c r="EO14" i="7"/>
  <c r="EP14" i="7"/>
  <c r="EQ14" i="7"/>
  <c r="ER14" i="7"/>
  <c r="ES14" i="7"/>
  <c r="ET14" i="7"/>
  <c r="EH14" i="7"/>
  <c r="EN37" i="7"/>
  <c r="EO37" i="7"/>
  <c r="EN38" i="7"/>
  <c r="EO38" i="7"/>
  <c r="EN39" i="7"/>
  <c r="EO39" i="7"/>
  <c r="EN40" i="7"/>
  <c r="EO40" i="7"/>
  <c r="EN41" i="7"/>
  <c r="EO41" i="7"/>
  <c r="EN42" i="7"/>
  <c r="EO42" i="7"/>
  <c r="EN43" i="7"/>
  <c r="EO43" i="7"/>
  <c r="EN44" i="7"/>
  <c r="EO44" i="7"/>
  <c r="EN45" i="7"/>
  <c r="EO45" i="7"/>
  <c r="EN46" i="7"/>
  <c r="EO46" i="7"/>
  <c r="EN47" i="7"/>
  <c r="EO47" i="7"/>
  <c r="EN48" i="7"/>
  <c r="EO48" i="7"/>
  <c r="EN49" i="7"/>
  <c r="EO49" i="7"/>
  <c r="EN50" i="7"/>
  <c r="EO50" i="7"/>
  <c r="EN51" i="7"/>
  <c r="EO51" i="7"/>
  <c r="EN52" i="7"/>
  <c r="EO52" i="7"/>
  <c r="EN53" i="7"/>
  <c r="EO53" i="7"/>
  <c r="EN54" i="7"/>
  <c r="EO54" i="7"/>
  <c r="EN55" i="7"/>
  <c r="EO55" i="7"/>
  <c r="EN56" i="7"/>
  <c r="EO56" i="7"/>
  <c r="EN57" i="7"/>
  <c r="EO57" i="7"/>
  <c r="EN58" i="7"/>
  <c r="EO58" i="7"/>
  <c r="EN59" i="7"/>
  <c r="EO59" i="7"/>
  <c r="EN60" i="7"/>
  <c r="EO60" i="7"/>
  <c r="EN61" i="7"/>
  <c r="EO61" i="7"/>
  <c r="EN62" i="7"/>
  <c r="EO62" i="7"/>
  <c r="EN63" i="7"/>
  <c r="EO63" i="7"/>
  <c r="EN64" i="7"/>
  <c r="EO64" i="7"/>
  <c r="EN65" i="7"/>
  <c r="EO65" i="7"/>
  <c r="EN66" i="7"/>
  <c r="EO66" i="7"/>
  <c r="EN67" i="7"/>
  <c r="EO67" i="7"/>
  <c r="EN68" i="7"/>
  <c r="EO68" i="7"/>
  <c r="EN69" i="7"/>
  <c r="EO69" i="7"/>
  <c r="EN70" i="7"/>
  <c r="EO70" i="7"/>
  <c r="EN71" i="7"/>
  <c r="EO71" i="7"/>
  <c r="EN72" i="7"/>
  <c r="EO72" i="7"/>
  <c r="EN73" i="7"/>
  <c r="EO73" i="7"/>
  <c r="EN74" i="7"/>
  <c r="EO74" i="7"/>
  <c r="EN75" i="7"/>
  <c r="EO75" i="7"/>
  <c r="EN76" i="7"/>
  <c r="EO76" i="7"/>
  <c r="EN77" i="7"/>
  <c r="EO77" i="7"/>
  <c r="EN78" i="7"/>
  <c r="EO78" i="7"/>
  <c r="EN79" i="7"/>
  <c r="EO79" i="7"/>
  <c r="EN80" i="7"/>
  <c r="EO80" i="7"/>
  <c r="CC41" i="7"/>
  <c r="EO36" i="7"/>
  <c r="EN36" i="7"/>
  <c r="EA72" i="7"/>
  <c r="EB37" i="7"/>
  <c r="DZ37" i="7" s="1"/>
  <c r="EB38" i="7"/>
  <c r="DZ38" i="7" s="1"/>
  <c r="EB39" i="7"/>
  <c r="DZ39" i="7" s="1"/>
  <c r="EB40" i="7"/>
  <c r="DZ40" i="7" s="1"/>
  <c r="EB41" i="7"/>
  <c r="DZ41" i="7" s="1"/>
  <c r="EB42" i="7"/>
  <c r="DZ42" i="7" s="1"/>
  <c r="EB43" i="7"/>
  <c r="DZ43" i="7" s="1"/>
  <c r="EB44" i="7"/>
  <c r="DZ44" i="7" s="1"/>
  <c r="EB45" i="7"/>
  <c r="DZ45" i="7" s="1"/>
  <c r="EB46" i="7"/>
  <c r="DZ46" i="7" s="1"/>
  <c r="EB47" i="7"/>
  <c r="DZ47" i="7" s="1"/>
  <c r="EA47" i="7" s="1"/>
  <c r="EB48" i="7"/>
  <c r="DZ48" i="7" s="1"/>
  <c r="EB49" i="7"/>
  <c r="DZ49" i="7" s="1"/>
  <c r="EB50" i="7"/>
  <c r="DZ50" i="7" s="1"/>
  <c r="EB51" i="7"/>
  <c r="DZ51" i="7" s="1"/>
  <c r="EB52" i="7"/>
  <c r="DZ52" i="7" s="1"/>
  <c r="EB53" i="7"/>
  <c r="DZ53" i="7" s="1"/>
  <c r="EB54" i="7"/>
  <c r="DZ54" i="7" s="1"/>
  <c r="EB55" i="7"/>
  <c r="DZ55" i="7" s="1"/>
  <c r="EB56" i="7"/>
  <c r="DZ56" i="7" s="1"/>
  <c r="EB57" i="7"/>
  <c r="DZ57" i="7" s="1"/>
  <c r="EB58" i="7"/>
  <c r="DZ58" i="7" s="1"/>
  <c r="EA58" i="7" s="1"/>
  <c r="EB59" i="7"/>
  <c r="DZ59" i="7" s="1"/>
  <c r="EB60" i="7"/>
  <c r="DZ60" i="7" s="1"/>
  <c r="EA60" i="7" s="1"/>
  <c r="EB61" i="7"/>
  <c r="DZ61" i="7" s="1"/>
  <c r="EB62" i="7"/>
  <c r="DZ62" i="7" s="1"/>
  <c r="EB63" i="7"/>
  <c r="DZ63" i="7" s="1"/>
  <c r="EA63" i="7" s="1"/>
  <c r="EB64" i="7"/>
  <c r="DZ64" i="7" s="1"/>
  <c r="EB65" i="7"/>
  <c r="DZ65" i="7" s="1"/>
  <c r="EB66" i="7"/>
  <c r="DZ66" i="7" s="1"/>
  <c r="EA66" i="7" s="1"/>
  <c r="EB67" i="7"/>
  <c r="DZ67" i="7" s="1"/>
  <c r="EA67" i="7" s="1"/>
  <c r="EB68" i="7"/>
  <c r="DZ68" i="7" s="1"/>
  <c r="EA68" i="7" s="1"/>
  <c r="EB69" i="7"/>
  <c r="DZ69" i="7" s="1"/>
  <c r="EB70" i="7"/>
  <c r="DZ70" i="7" s="1"/>
  <c r="EA70" i="7" s="1"/>
  <c r="EB71" i="7"/>
  <c r="DZ71" i="7" s="1"/>
  <c r="EB72" i="7"/>
  <c r="DZ72" i="7" s="1"/>
  <c r="EB73" i="7"/>
  <c r="DZ73" i="7" s="1"/>
  <c r="EA73" i="7" s="1"/>
  <c r="EB74" i="7"/>
  <c r="DZ74" i="7" s="1"/>
  <c r="EB75" i="7"/>
  <c r="DZ75" i="7" s="1"/>
  <c r="EB76" i="7"/>
  <c r="DZ76" i="7" s="1"/>
  <c r="EB77" i="7"/>
  <c r="DZ77" i="7" s="1"/>
  <c r="EA77" i="7" s="1"/>
  <c r="EB78" i="7"/>
  <c r="DZ78" i="7" s="1"/>
  <c r="EB79" i="7"/>
  <c r="DZ79" i="7" s="1"/>
  <c r="EB80" i="7"/>
  <c r="DZ80" i="7" s="1"/>
  <c r="EA80" i="7" s="1"/>
  <c r="EB36" i="7"/>
  <c r="DZ36" i="7" s="1"/>
  <c r="DL35" i="7"/>
  <c r="DM35" i="7"/>
  <c r="DP35" i="7" s="1"/>
  <c r="DT35" i="7" s="1"/>
  <c r="HA35" i="7" s="1"/>
  <c r="DN35" i="7"/>
  <c r="DQ35" i="7" s="1"/>
  <c r="EX35" i="7" s="1"/>
  <c r="DO36" i="7"/>
  <c r="DU36" i="7" s="1"/>
  <c r="DV36" i="7" s="1"/>
  <c r="DO37" i="7"/>
  <c r="ET37" i="7"/>
  <c r="DO38" i="7"/>
  <c r="ET38" i="7"/>
  <c r="DO39" i="7"/>
  <c r="ET39" i="7"/>
  <c r="DO40" i="7"/>
  <c r="ET40" i="7"/>
  <c r="DO41" i="7"/>
  <c r="ET41" i="7"/>
  <c r="DO42" i="7"/>
  <c r="ET42" i="7"/>
  <c r="DO43" i="7"/>
  <c r="ET43" i="7"/>
  <c r="DO44" i="7"/>
  <c r="ET44" i="7"/>
  <c r="DO45" i="7"/>
  <c r="ET45" i="7"/>
  <c r="DO46" i="7"/>
  <c r="ET46" i="7"/>
  <c r="DO47" i="7"/>
  <c r="ET47" i="7"/>
  <c r="DO48" i="7"/>
  <c r="ET48" i="7"/>
  <c r="DO49" i="7"/>
  <c r="ET49" i="7"/>
  <c r="DO50" i="7"/>
  <c r="ET50" i="7"/>
  <c r="DO51" i="7"/>
  <c r="ET51" i="7"/>
  <c r="DO52" i="7"/>
  <c r="DO53" i="7"/>
  <c r="ET53" i="7"/>
  <c r="DO54" i="7"/>
  <c r="ET54" i="7"/>
  <c r="DO55" i="7"/>
  <c r="ET55" i="7"/>
  <c r="DO56" i="7"/>
  <c r="ET56" i="7"/>
  <c r="DO57" i="7"/>
  <c r="ET57" i="7"/>
  <c r="DO58" i="7"/>
  <c r="ET58" i="7"/>
  <c r="DO59" i="7"/>
  <c r="ET59" i="7"/>
  <c r="DO60" i="7"/>
  <c r="ET60" i="7"/>
  <c r="DO61" i="7"/>
  <c r="ET61" i="7"/>
  <c r="DO62" i="7"/>
  <c r="ET62" i="7"/>
  <c r="DO63" i="7"/>
  <c r="ET63" i="7"/>
  <c r="DO64" i="7"/>
  <c r="ET64" i="7"/>
  <c r="DO65" i="7"/>
  <c r="ET65" i="7"/>
  <c r="DO66" i="7"/>
  <c r="ET66" i="7"/>
  <c r="DO67" i="7"/>
  <c r="ET67" i="7"/>
  <c r="DO68" i="7"/>
  <c r="ET68" i="7"/>
  <c r="DO69" i="7"/>
  <c r="ET69" i="7"/>
  <c r="DO70" i="7"/>
  <c r="DO71" i="7"/>
  <c r="DU71" i="7" s="1"/>
  <c r="DV71" i="7" s="1"/>
  <c r="DO72" i="7"/>
  <c r="DO73" i="7"/>
  <c r="ET73" i="7"/>
  <c r="DO74" i="7"/>
  <c r="ET74" i="7"/>
  <c r="DO75" i="7"/>
  <c r="ET75" i="7"/>
  <c r="DO76" i="7"/>
  <c r="ET76" i="7"/>
  <c r="DO77" i="7"/>
  <c r="ET77" i="7"/>
  <c r="DO78" i="7"/>
  <c r="ET78" i="7"/>
  <c r="DO79" i="7"/>
  <c r="ET79" i="7"/>
  <c r="DO80" i="7"/>
  <c r="ET80" i="7"/>
  <c r="DQ82" i="7"/>
  <c r="DQ83" i="7"/>
  <c r="DQ84" i="7"/>
  <c r="DQ85" i="7"/>
  <c r="DQ86" i="7"/>
  <c r="DQ87" i="7"/>
  <c r="DQ88" i="7"/>
  <c r="DQ89" i="7"/>
  <c r="EX89" i="7" s="1"/>
  <c r="DQ90" i="7"/>
  <c r="EX90" i="7" s="1"/>
  <c r="DQ91" i="7"/>
  <c r="EX91" i="7" s="1"/>
  <c r="DQ92" i="7"/>
  <c r="EX92" i="7" s="1"/>
  <c r="DQ93" i="7"/>
  <c r="EX93" i="7" s="1"/>
  <c r="DQ94" i="7"/>
  <c r="EX94" i="7" s="1"/>
  <c r="DQ95" i="7"/>
  <c r="EX95" i="7" s="1"/>
  <c r="DQ96" i="7"/>
  <c r="EX96" i="7" s="1"/>
  <c r="DQ97" i="7"/>
  <c r="EX97" i="7" s="1"/>
  <c r="DQ98" i="7"/>
  <c r="EX98" i="7" s="1"/>
  <c r="DQ99" i="7"/>
  <c r="EX99" i="7" s="1"/>
  <c r="DQ100" i="7"/>
  <c r="EX100" i="7" s="1"/>
  <c r="DQ101" i="7"/>
  <c r="EX101" i="7" s="1"/>
  <c r="DQ102" i="7"/>
  <c r="EX102" i="7" s="1"/>
  <c r="DQ103" i="7"/>
  <c r="EX103" i="7" s="1"/>
  <c r="DL15" i="7"/>
  <c r="DM15" i="7"/>
  <c r="DN15" i="7"/>
  <c r="DQ15" i="7" s="1"/>
  <c r="EX15" i="7" s="1"/>
  <c r="DL16" i="7"/>
  <c r="DM16" i="7"/>
  <c r="DN16" i="7"/>
  <c r="DQ16" i="7" s="1"/>
  <c r="EX16" i="7" s="1"/>
  <c r="DL17" i="7"/>
  <c r="DM17" i="7"/>
  <c r="DN17" i="7"/>
  <c r="DQ17" i="7" s="1"/>
  <c r="EX17" i="7" s="1"/>
  <c r="DL18" i="7"/>
  <c r="DM18" i="7"/>
  <c r="DN18" i="7"/>
  <c r="DQ18" i="7" s="1"/>
  <c r="EX18" i="7" s="1"/>
  <c r="DL19" i="7"/>
  <c r="DM19" i="7"/>
  <c r="DP19" i="7" s="1"/>
  <c r="DT19" i="7" s="1"/>
  <c r="HA19" i="7" s="1"/>
  <c r="DN19" i="7"/>
  <c r="DQ19" i="7" s="1"/>
  <c r="EX19" i="7" s="1"/>
  <c r="DL20" i="7"/>
  <c r="DM20" i="7"/>
  <c r="DN20" i="7"/>
  <c r="DL21" i="7"/>
  <c r="DM21" i="7"/>
  <c r="DP21" i="7" s="1"/>
  <c r="DT21" i="7" s="1"/>
  <c r="HA21" i="7" s="1"/>
  <c r="DN21" i="7"/>
  <c r="DQ21" i="7" s="1"/>
  <c r="EX21" i="7" s="1"/>
  <c r="DL22" i="7"/>
  <c r="DM22" i="7"/>
  <c r="DP22" i="7" s="1"/>
  <c r="DT22" i="7" s="1"/>
  <c r="HA22" i="7" s="1"/>
  <c r="DN22" i="7"/>
  <c r="DQ22" i="7" s="1"/>
  <c r="EX22" i="7" s="1"/>
  <c r="DL23" i="7"/>
  <c r="DM23" i="7"/>
  <c r="DP23" i="7" s="1"/>
  <c r="DT23" i="7" s="1"/>
  <c r="HA23" i="7" s="1"/>
  <c r="DN23" i="7"/>
  <c r="DQ23" i="7" s="1"/>
  <c r="EX23" i="7" s="1"/>
  <c r="DL24" i="7"/>
  <c r="DM24" i="7"/>
  <c r="DP24" i="7" s="1"/>
  <c r="DT24" i="7" s="1"/>
  <c r="HA24" i="7" s="1"/>
  <c r="DN24" i="7"/>
  <c r="DQ24" i="7" s="1"/>
  <c r="EX24" i="7" s="1"/>
  <c r="DL25" i="7"/>
  <c r="DM25" i="7"/>
  <c r="DP25" i="7" s="1"/>
  <c r="DT25" i="7" s="1"/>
  <c r="HA25" i="7" s="1"/>
  <c r="DN25" i="7"/>
  <c r="DQ25" i="7" s="1"/>
  <c r="EX25" i="7" s="1"/>
  <c r="DL26" i="7"/>
  <c r="DM26" i="7"/>
  <c r="DP26" i="7" s="1"/>
  <c r="DT26" i="7" s="1"/>
  <c r="HA26" i="7" s="1"/>
  <c r="DN26" i="7"/>
  <c r="DQ26" i="7" s="1"/>
  <c r="EX26" i="7" s="1"/>
  <c r="DL27" i="7"/>
  <c r="DM27" i="7"/>
  <c r="DP27" i="7" s="1"/>
  <c r="DT27" i="7" s="1"/>
  <c r="HA27" i="7" s="1"/>
  <c r="DN27" i="7"/>
  <c r="DQ27" i="7" s="1"/>
  <c r="EX27" i="7" s="1"/>
  <c r="DL28" i="7"/>
  <c r="DM28" i="7"/>
  <c r="DP28" i="7" s="1"/>
  <c r="DT28" i="7" s="1"/>
  <c r="HA28" i="7" s="1"/>
  <c r="DN28" i="7"/>
  <c r="DQ28" i="7" s="1"/>
  <c r="EX28" i="7" s="1"/>
  <c r="DL29" i="7"/>
  <c r="DM29" i="7"/>
  <c r="DP29" i="7" s="1"/>
  <c r="DT29" i="7" s="1"/>
  <c r="HA29" i="7" s="1"/>
  <c r="DN29" i="7"/>
  <c r="DQ29" i="7" s="1"/>
  <c r="EX29" i="7" s="1"/>
  <c r="DL30" i="7"/>
  <c r="DM30" i="7"/>
  <c r="DP30" i="7" s="1"/>
  <c r="DT30" i="7" s="1"/>
  <c r="HA30" i="7" s="1"/>
  <c r="DN30" i="7"/>
  <c r="DQ30" i="7" s="1"/>
  <c r="EX30" i="7" s="1"/>
  <c r="DL31" i="7"/>
  <c r="DM31" i="7"/>
  <c r="DN31" i="7"/>
  <c r="DQ31" i="7" s="1"/>
  <c r="EX31" i="7" s="1"/>
  <c r="DL32" i="7"/>
  <c r="DM32" i="7"/>
  <c r="DP32" i="7" s="1"/>
  <c r="DT32" i="7" s="1"/>
  <c r="HA32" i="7" s="1"/>
  <c r="DN32" i="7"/>
  <c r="DQ32" i="7" s="1"/>
  <c r="EX32" i="7" s="1"/>
  <c r="DL33" i="7"/>
  <c r="DM33" i="7"/>
  <c r="DP33" i="7" s="1"/>
  <c r="DT33" i="7" s="1"/>
  <c r="HA33" i="7" s="1"/>
  <c r="DN33" i="7"/>
  <c r="DQ33" i="7" s="1"/>
  <c r="EX33" i="7" s="1"/>
  <c r="DL34" i="7"/>
  <c r="DM34" i="7"/>
  <c r="DP34" i="7" s="1"/>
  <c r="DT34" i="7" s="1"/>
  <c r="HA34" i="7" s="1"/>
  <c r="DN34" i="7"/>
  <c r="DM14" i="7"/>
  <c r="DP14" i="7" s="1"/>
  <c r="DN14" i="7"/>
  <c r="DL14" i="7"/>
  <c r="EX87" i="7" l="1"/>
  <c r="EX86" i="7"/>
  <c r="EX88" i="7"/>
  <c r="EX85" i="7"/>
  <c r="EX84" i="7"/>
  <c r="EX83" i="7"/>
  <c r="EX82" i="7"/>
  <c r="CV41" i="7"/>
  <c r="HB41" i="7" s="1"/>
  <c r="DT82" i="7" a="1"/>
  <c r="DT82" i="7" s="1"/>
  <c r="HA82" i="7" s="1"/>
  <c r="ES115" i="7"/>
  <c r="BO112" i="7"/>
  <c r="BO84" i="7"/>
  <c r="CP84" i="7" s="1"/>
  <c r="ES118" i="7"/>
  <c r="ES120" i="7" s="1"/>
  <c r="DY112" i="7"/>
  <c r="DT83" i="7" a="1"/>
  <c r="DT83" i="7" s="1"/>
  <c r="ET83" i="7" s="1"/>
  <c r="ES116" i="7"/>
  <c r="ES117" i="7"/>
  <c r="DO26" i="7"/>
  <c r="DU26" i="7" s="1"/>
  <c r="DV26" i="7" s="1"/>
  <c r="DW26" i="7" s="1"/>
  <c r="DX26" i="7" s="1"/>
  <c r="DY26" i="7" s="1"/>
  <c r="DZ26" i="7" s="1"/>
  <c r="EA26" i="7" s="1"/>
  <c r="EB26" i="7" s="1"/>
  <c r="EC26" i="7" s="1"/>
  <c r="ED26" i="7" s="1"/>
  <c r="DE26" i="7"/>
  <c r="EB35" i="7"/>
  <c r="DZ35" i="7" s="1"/>
  <c r="EA35" i="7" s="1"/>
  <c r="DO23" i="7"/>
  <c r="DU23" i="7" s="1"/>
  <c r="DV23" i="7" s="1"/>
  <c r="DW23" i="7" s="1"/>
  <c r="DX23" i="7" s="1"/>
  <c r="DY23" i="7" s="1"/>
  <c r="DZ23" i="7" s="1"/>
  <c r="DE23" i="7"/>
  <c r="DO21" i="7"/>
  <c r="DU21" i="7" s="1"/>
  <c r="DV21" i="7" s="1"/>
  <c r="DW21" i="7" s="1"/>
  <c r="DX21" i="7" s="1"/>
  <c r="DY21" i="7" s="1"/>
  <c r="DZ21" i="7" s="1"/>
  <c r="EG21" i="7" s="1"/>
  <c r="DE21" i="7"/>
  <c r="DO19" i="7"/>
  <c r="DU19" i="7" s="1"/>
  <c r="DV19" i="7" s="1"/>
  <c r="DW19" i="7" s="1"/>
  <c r="DX19" i="7" s="1"/>
  <c r="DY19" i="7" s="1"/>
  <c r="DZ19" i="7" s="1"/>
  <c r="DE19" i="7"/>
  <c r="DO17" i="7"/>
  <c r="DE17" i="7"/>
  <c r="DO22" i="7"/>
  <c r="DU22" i="7" s="1"/>
  <c r="DV22" i="7" s="1"/>
  <c r="DW22" i="7" s="1"/>
  <c r="DX22" i="7" s="1"/>
  <c r="DY22" i="7" s="1"/>
  <c r="DZ22" i="7" s="1"/>
  <c r="DE22" i="7"/>
  <c r="DO34" i="7"/>
  <c r="DU34" i="7" s="1"/>
  <c r="DV34" i="7" s="1"/>
  <c r="DW34" i="7" s="1"/>
  <c r="DX34" i="7" s="1"/>
  <c r="DY34" i="7" s="1"/>
  <c r="DE34" i="7"/>
  <c r="DO16" i="7"/>
  <c r="DE16" i="7"/>
  <c r="DO33" i="7"/>
  <c r="DU33" i="7" s="1"/>
  <c r="DV33" i="7" s="1"/>
  <c r="DW33" i="7" s="1"/>
  <c r="DX33" i="7" s="1"/>
  <c r="DY33" i="7" s="1"/>
  <c r="DZ33" i="7" s="1"/>
  <c r="EA33" i="7" s="1"/>
  <c r="EB33" i="7" s="1"/>
  <c r="EC33" i="7" s="1"/>
  <c r="ED33" i="7" s="1"/>
  <c r="DE33" i="7"/>
  <c r="DO15" i="7"/>
  <c r="DE15" i="7"/>
  <c r="DO32" i="7"/>
  <c r="DU32" i="7" s="1"/>
  <c r="DV32" i="7" s="1"/>
  <c r="DW32" i="7" s="1"/>
  <c r="DX32" i="7" s="1"/>
  <c r="DY32" i="7" s="1"/>
  <c r="DZ32" i="7" s="1"/>
  <c r="DE32" i="7"/>
  <c r="DO31" i="7"/>
  <c r="DE31" i="7"/>
  <c r="DO14" i="7"/>
  <c r="DE14" i="7"/>
  <c r="DO18" i="7"/>
  <c r="DE18" i="7"/>
  <c r="DO24" i="7"/>
  <c r="DU24" i="7" s="1"/>
  <c r="DV24" i="7" s="1"/>
  <c r="DW24" i="7" s="1"/>
  <c r="DX24" i="7" s="1"/>
  <c r="DY24" i="7" s="1"/>
  <c r="DZ24" i="7" s="1"/>
  <c r="DE24" i="7"/>
  <c r="DO30" i="7"/>
  <c r="DU30" i="7" s="1"/>
  <c r="DV30" i="7" s="1"/>
  <c r="DE30" i="7"/>
  <c r="DO29" i="7"/>
  <c r="DU29" i="7" s="1"/>
  <c r="DV29" i="7" s="1"/>
  <c r="DW29" i="7" s="1"/>
  <c r="DX29" i="7" s="1"/>
  <c r="DY29" i="7" s="1"/>
  <c r="DZ29" i="7" s="1"/>
  <c r="DE29" i="7"/>
  <c r="DO27" i="7"/>
  <c r="DU27" i="7" s="1"/>
  <c r="DV27" i="7" s="1"/>
  <c r="DW27" i="7" s="1"/>
  <c r="DX27" i="7" s="1"/>
  <c r="DY27" i="7" s="1"/>
  <c r="DZ27" i="7" s="1"/>
  <c r="DE27" i="7"/>
  <c r="DO25" i="7"/>
  <c r="DU25" i="7" s="1"/>
  <c r="DV25" i="7" s="1"/>
  <c r="DW25" i="7" s="1"/>
  <c r="DX25" i="7" s="1"/>
  <c r="DY25" i="7" s="1"/>
  <c r="DZ25" i="7" s="1"/>
  <c r="DE25" i="7"/>
  <c r="DO20" i="7"/>
  <c r="DE20" i="7"/>
  <c r="DO28" i="7"/>
  <c r="DU28" i="7" s="1"/>
  <c r="DV28" i="7" s="1"/>
  <c r="DW28" i="7" s="1"/>
  <c r="DX28" i="7" s="1"/>
  <c r="DY28" i="7" s="1"/>
  <c r="DZ28" i="7" s="1"/>
  <c r="DE28" i="7"/>
  <c r="EA64" i="7"/>
  <c r="EA79" i="7"/>
  <c r="EA65" i="7"/>
  <c r="EA78" i="7"/>
  <c r="EA62" i="7"/>
  <c r="EA61" i="7"/>
  <c r="EA76" i="7"/>
  <c r="EA75" i="7"/>
  <c r="EA74" i="7"/>
  <c r="EA71" i="7"/>
  <c r="EA69" i="7"/>
  <c r="DU46" i="7"/>
  <c r="DV46" i="7" s="1"/>
  <c r="DU62" i="7"/>
  <c r="DV62" i="7" s="1"/>
  <c r="DU54" i="7"/>
  <c r="DV54" i="7" s="1"/>
  <c r="DU38" i="7"/>
  <c r="DV38" i="7" s="1"/>
  <c r="DU52" i="7"/>
  <c r="DV52" i="7" s="1"/>
  <c r="DU61" i="7"/>
  <c r="DV61" i="7" s="1"/>
  <c r="DU74" i="7"/>
  <c r="DV74" i="7" s="1"/>
  <c r="DU66" i="7"/>
  <c r="DV66" i="7" s="1"/>
  <c r="DU53" i="7"/>
  <c r="DV53" i="7" s="1"/>
  <c r="DU65" i="7"/>
  <c r="DV65" i="7" s="1"/>
  <c r="DU75" i="7"/>
  <c r="DV75" i="7" s="1"/>
  <c r="DU57" i="7"/>
  <c r="DV57" i="7" s="1"/>
  <c r="DU49" i="7"/>
  <c r="DV49" i="7" s="1"/>
  <c r="DU41" i="7"/>
  <c r="DV41" i="7" s="1"/>
  <c r="DU68" i="7"/>
  <c r="DV68" i="7" s="1"/>
  <c r="DU72" i="7"/>
  <c r="DV72" i="7" s="1"/>
  <c r="EA46" i="7"/>
  <c r="ET71" i="7"/>
  <c r="DU64" i="7"/>
  <c r="DV64" i="7" s="1"/>
  <c r="ET72" i="7"/>
  <c r="DU47" i="7"/>
  <c r="DV47" i="7" s="1"/>
  <c r="DU77" i="7"/>
  <c r="DV77" i="7" s="1"/>
  <c r="DU69" i="7"/>
  <c r="DV69" i="7" s="1"/>
  <c r="DU45" i="7"/>
  <c r="DV45" i="7" s="1"/>
  <c r="EM36" i="7"/>
  <c r="EM39" i="7"/>
  <c r="GD45" i="7" s="1"/>
  <c r="EM38" i="7"/>
  <c r="GD44" i="7" s="1"/>
  <c r="EA57" i="7"/>
  <c r="EA56" i="7"/>
  <c r="DU63" i="7"/>
  <c r="DV63" i="7" s="1"/>
  <c r="DU40" i="7"/>
  <c r="DV40" i="7" s="1"/>
  <c r="DU56" i="7"/>
  <c r="DV56" i="7" s="1"/>
  <c r="DU80" i="7"/>
  <c r="DV80" i="7" s="1"/>
  <c r="DU73" i="7"/>
  <c r="DV73" i="7" s="1"/>
  <c r="DU60" i="7"/>
  <c r="DV60" i="7" s="1"/>
  <c r="DU78" i="7"/>
  <c r="DV78" i="7" s="1"/>
  <c r="DU58" i="7"/>
  <c r="DV58" i="7" s="1"/>
  <c r="DU50" i="7"/>
  <c r="DV50" i="7" s="1"/>
  <c r="EM37" i="7"/>
  <c r="DU70" i="7"/>
  <c r="DV70" i="7" s="1"/>
  <c r="EA53" i="7"/>
  <c r="EA51" i="7"/>
  <c r="EA37" i="7"/>
  <c r="EA50" i="7"/>
  <c r="EA36" i="7"/>
  <c r="EA49" i="7"/>
  <c r="EA48" i="7"/>
  <c r="EA45" i="7"/>
  <c r="EA38" i="7"/>
  <c r="EA44" i="7"/>
  <c r="EA54" i="7"/>
  <c r="EA52" i="7"/>
  <c r="EA59" i="7"/>
  <c r="EA43" i="7"/>
  <c r="EA42" i="7"/>
  <c r="EA41" i="7"/>
  <c r="DT14" i="7"/>
  <c r="HA14" i="7" s="1"/>
  <c r="EW14" i="7"/>
  <c r="EA40" i="7"/>
  <c r="EA55" i="7"/>
  <c r="EA39" i="7"/>
  <c r="DQ20" i="7"/>
  <c r="EX20" i="7" s="1"/>
  <c r="DU43" i="7"/>
  <c r="DV43" i="7" s="1"/>
  <c r="DU76" i="7"/>
  <c r="DV76" i="7" s="1"/>
  <c r="EW24" i="7"/>
  <c r="EW23" i="7"/>
  <c r="DO35" i="7"/>
  <c r="DU35" i="7" s="1"/>
  <c r="DV35" i="7" s="1"/>
  <c r="EW22" i="7"/>
  <c r="EW21" i="7"/>
  <c r="EW35" i="7"/>
  <c r="EW19" i="7"/>
  <c r="ET70" i="7"/>
  <c r="EW34" i="7"/>
  <c r="DQ14" i="7"/>
  <c r="EX14" i="7" s="1"/>
  <c r="DU39" i="7"/>
  <c r="DV39" i="7" s="1"/>
  <c r="EW33" i="7"/>
  <c r="ET52" i="7"/>
  <c r="EW32" i="7"/>
  <c r="DQ34" i="7"/>
  <c r="EX34" i="7" s="1"/>
  <c r="DU44" i="7"/>
  <c r="DV44" i="7" s="1"/>
  <c r="EW30" i="7"/>
  <c r="EW29" i="7"/>
  <c r="EW28" i="7"/>
  <c r="EW27" i="7"/>
  <c r="DP18" i="7"/>
  <c r="DU42" i="7"/>
  <c r="DV42" i="7" s="1"/>
  <c r="EW26" i="7"/>
  <c r="DU37" i="7"/>
  <c r="DV37" i="7" s="1"/>
  <c r="DU48" i="7"/>
  <c r="DV48" i="7" s="1"/>
  <c r="EW25" i="7"/>
  <c r="DU67" i="7"/>
  <c r="DV67" i="7" s="1"/>
  <c r="DP16" i="7"/>
  <c r="DU51" i="7"/>
  <c r="DV51" i="7" s="1"/>
  <c r="DU55" i="7"/>
  <c r="DV55" i="7" s="1"/>
  <c r="DU79" i="7"/>
  <c r="DV79" i="7" s="1"/>
  <c r="DU59" i="7"/>
  <c r="DV59" i="7" s="1"/>
  <c r="DP17" i="7"/>
  <c r="DP20" i="7"/>
  <c r="DP31" i="7"/>
  <c r="DP15" i="7"/>
  <c r="FA26" i="7" l="1"/>
  <c r="GI26" i="7"/>
  <c r="FA14" i="7"/>
  <c r="GI14" i="7"/>
  <c r="FA29" i="7"/>
  <c r="GI29" i="7"/>
  <c r="FA30" i="7"/>
  <c r="GI30" i="7"/>
  <c r="FA28" i="7"/>
  <c r="GI28" i="7"/>
  <c r="FA19" i="7"/>
  <c r="GI19" i="7"/>
  <c r="FA33" i="7"/>
  <c r="GI33" i="7"/>
  <c r="FA21" i="7"/>
  <c r="GI21" i="7"/>
  <c r="FA25" i="7"/>
  <c r="GI25" i="7"/>
  <c r="FA35" i="7"/>
  <c r="GI35" i="7"/>
  <c r="FA27" i="7"/>
  <c r="GI27" i="7"/>
  <c r="FA34" i="7"/>
  <c r="GI34" i="7"/>
  <c r="FA32" i="7"/>
  <c r="GI32" i="7"/>
  <c r="FA22" i="7"/>
  <c r="GI22" i="7"/>
  <c r="FA23" i="7"/>
  <c r="GI23" i="7"/>
  <c r="FA24" i="7"/>
  <c r="GI24" i="7"/>
  <c r="DD35" i="7"/>
  <c r="DD30" i="7"/>
  <c r="DD33" i="7"/>
  <c r="DD28" i="7"/>
  <c r="DD14" i="7"/>
  <c r="DD17" i="7"/>
  <c r="DD18" i="7"/>
  <c r="DD16" i="7"/>
  <c r="DD20" i="7"/>
  <c r="DD31" i="7"/>
  <c r="DD19" i="7"/>
  <c r="DD29" i="7"/>
  <c r="DD26" i="7"/>
  <c r="DD24" i="7"/>
  <c r="DD25" i="7"/>
  <c r="DD32" i="7"/>
  <c r="DD21" i="7"/>
  <c r="FW41" i="7"/>
  <c r="FX41" i="7" s="1"/>
  <c r="DD34" i="7"/>
  <c r="DD22" i="7"/>
  <c r="DD27" i="7"/>
  <c r="DD15" i="7"/>
  <c r="DD23" i="7"/>
  <c r="BO134" i="7"/>
  <c r="DT135" i="7"/>
  <c r="FA105" i="7" a="1"/>
  <c r="FA105" i="7" s="1"/>
  <c r="FA112" i="7" a="1"/>
  <c r="FA112" i="7" s="1"/>
  <c r="FA107" i="7" a="1"/>
  <c r="FA107" i="7" s="1"/>
  <c r="FA113" i="7" a="1"/>
  <c r="FA113" i="7" s="1"/>
  <c r="FA109" i="7" a="1"/>
  <c r="FA109" i="7" s="1"/>
  <c r="FA106" i="7" a="1"/>
  <c r="FA106" i="7" s="1"/>
  <c r="FA108" i="7" a="1"/>
  <c r="FA108" i="7" s="1"/>
  <c r="FA110" i="7" a="1"/>
  <c r="FA110" i="7" s="1"/>
  <c r="FA104" i="7" a="1"/>
  <c r="FA104" i="7" s="1"/>
  <c r="FA111" i="7" a="1"/>
  <c r="FA111" i="7" s="1"/>
  <c r="FA81" i="7" a="1"/>
  <c r="FA81" i="7" s="1"/>
  <c r="ES121" i="7"/>
  <c r="DY113" i="7"/>
  <c r="DT84" i="7" a="1"/>
  <c r="DT84" i="7" s="1"/>
  <c r="BO113" i="7"/>
  <c r="BO85" i="7"/>
  <c r="CP85" i="7" s="1"/>
  <c r="EG35" i="7"/>
  <c r="DU14" i="7"/>
  <c r="DV14" i="7" s="1"/>
  <c r="DW14" i="7" s="1"/>
  <c r="DX14" i="7" s="1"/>
  <c r="DY14" i="7" s="1"/>
  <c r="DZ14" i="7" s="1"/>
  <c r="EG14" i="7" s="1"/>
  <c r="EP37" i="7"/>
  <c r="EQ37" i="7" s="1"/>
  <c r="ER37" i="7" s="1"/>
  <c r="EP36" i="7"/>
  <c r="EQ36" i="7" s="1"/>
  <c r="ER36" i="7" s="1"/>
  <c r="EP39" i="7"/>
  <c r="EQ39" i="7" s="1"/>
  <c r="ER39" i="7" s="1"/>
  <c r="EP38" i="7"/>
  <c r="EQ38" i="7" s="1"/>
  <c r="ER38" i="7" s="1"/>
  <c r="DZ34" i="7"/>
  <c r="EG34" i="7" s="1"/>
  <c r="ET82" i="7"/>
  <c r="ET81" i="7"/>
  <c r="EG22" i="7"/>
  <c r="EA22" i="7"/>
  <c r="EB22" i="7" s="1"/>
  <c r="EC22" i="7" s="1"/>
  <c r="ED22" i="7" s="1"/>
  <c r="EA25" i="7"/>
  <c r="EB25" i="7" s="1"/>
  <c r="EC25" i="7" s="1"/>
  <c r="ED25" i="7" s="1"/>
  <c r="EG25" i="7"/>
  <c r="EA29" i="7"/>
  <c r="EB29" i="7" s="1"/>
  <c r="EC29" i="7" s="1"/>
  <c r="ED29" i="7" s="1"/>
  <c r="EG29" i="7"/>
  <c r="DW30" i="7"/>
  <c r="DX30" i="7" s="1"/>
  <c r="DY30" i="7" s="1"/>
  <c r="DZ30" i="7" s="1"/>
  <c r="EG23" i="7"/>
  <c r="EA23" i="7"/>
  <c r="EB23" i="7" s="1"/>
  <c r="EC23" i="7" s="1"/>
  <c r="ED23" i="7" s="1"/>
  <c r="EA27" i="7"/>
  <c r="EB27" i="7" s="1"/>
  <c r="EC27" i="7" s="1"/>
  <c r="ED27" i="7" s="1"/>
  <c r="EG27" i="7"/>
  <c r="EA32" i="7"/>
  <c r="EB32" i="7" s="1"/>
  <c r="EC32" i="7" s="1"/>
  <c r="ED32" i="7" s="1"/>
  <c r="EG32" i="7"/>
  <c r="EG19" i="7"/>
  <c r="EA19" i="7"/>
  <c r="EB19" i="7" s="1"/>
  <c r="EC19" i="7" s="1"/>
  <c r="ED19" i="7" s="1"/>
  <c r="EA24" i="7"/>
  <c r="EB24" i="7" s="1"/>
  <c r="EC24" i="7" s="1"/>
  <c r="ED24" i="7" s="1"/>
  <c r="EG24" i="7"/>
  <c r="EG28" i="7"/>
  <c r="EA28" i="7"/>
  <c r="EB28" i="7" s="1"/>
  <c r="EC28" i="7" s="1"/>
  <c r="ED28" i="7" s="1"/>
  <c r="DT31" i="7"/>
  <c r="HA31" i="7" s="1"/>
  <c r="EW31" i="7"/>
  <c r="EG26" i="7"/>
  <c r="EA21" i="7"/>
  <c r="EB21" i="7" s="1"/>
  <c r="EC21" i="7" s="1"/>
  <c r="ED21" i="7" s="1"/>
  <c r="DT20" i="7"/>
  <c r="HA20" i="7" s="1"/>
  <c r="EW20" i="7"/>
  <c r="DT18" i="7"/>
  <c r="HA18" i="7" s="1"/>
  <c r="EW18" i="7"/>
  <c r="DT16" i="7"/>
  <c r="HA16" i="7" s="1"/>
  <c r="EW16" i="7"/>
  <c r="DT17" i="7"/>
  <c r="EW17" i="7"/>
  <c r="EG33" i="7"/>
  <c r="DT15" i="7"/>
  <c r="HA15" i="7" s="1"/>
  <c r="EW15" i="7"/>
  <c r="FA15" i="7" l="1"/>
  <c r="GI15" i="7"/>
  <c r="FA20" i="7"/>
  <c r="GI20" i="7"/>
  <c r="FA17" i="7"/>
  <c r="GI17" i="7"/>
  <c r="FA16" i="7"/>
  <c r="GI16" i="7"/>
  <c r="FA18" i="7"/>
  <c r="GI18" i="7"/>
  <c r="FA31" i="7"/>
  <c r="GI31" i="7"/>
  <c r="ES37" i="7"/>
  <c r="DD37" i="7" s="1"/>
  <c r="FZ41" i="7"/>
  <c r="DU17" i="7"/>
  <c r="DV17" i="7" s="1"/>
  <c r="DW17" i="7" s="1"/>
  <c r="DX17" i="7" s="1"/>
  <c r="DY17" i="7" s="1"/>
  <c r="DZ17" i="7" s="1"/>
  <c r="EA17" i="7" s="1"/>
  <c r="EB17" i="7" s="1"/>
  <c r="EC17" i="7" s="1"/>
  <c r="ED17" i="7" s="1"/>
  <c r="HA17" i="7"/>
  <c r="EE36" i="7"/>
  <c r="EE39" i="7"/>
  <c r="EE38" i="7"/>
  <c r="EE37" i="7"/>
  <c r="BO114" i="7"/>
  <c r="BO86" i="7"/>
  <c r="CP86" i="7" s="1"/>
  <c r="DY114" i="7"/>
  <c r="DT85" i="7" a="1"/>
  <c r="DT85" i="7" s="1"/>
  <c r="ES122" i="7"/>
  <c r="FA82" i="7" a="1"/>
  <c r="FA82" i="7" s="1"/>
  <c r="EA34" i="7"/>
  <c r="EB34" i="7" s="1"/>
  <c r="EC34" i="7" s="1"/>
  <c r="ED34" i="7" s="1"/>
  <c r="ES38" i="7"/>
  <c r="DD38" i="7" s="1"/>
  <c r="ES39" i="7"/>
  <c r="DD39" i="7" s="1"/>
  <c r="ES36" i="7"/>
  <c r="DD36" i="7" s="1"/>
  <c r="EA14" i="7"/>
  <c r="EB14" i="7" s="1"/>
  <c r="EC14" i="7" s="1"/>
  <c r="ED14" i="7" s="1"/>
  <c r="DU18" i="7"/>
  <c r="DV18" i="7" s="1"/>
  <c r="DW18" i="7" s="1"/>
  <c r="DX18" i="7" s="1"/>
  <c r="DY18" i="7" s="1"/>
  <c r="DZ18" i="7" s="1"/>
  <c r="EG18" i="7" s="1"/>
  <c r="EG30" i="7"/>
  <c r="EA30" i="7"/>
  <c r="EB30" i="7" s="1"/>
  <c r="EC30" i="7" s="1"/>
  <c r="ED30" i="7" s="1"/>
  <c r="DU20" i="7"/>
  <c r="DV20" i="7" s="1"/>
  <c r="DW20" i="7" s="1"/>
  <c r="DX20" i="7" s="1"/>
  <c r="DY20" i="7" s="1"/>
  <c r="DZ20" i="7" s="1"/>
  <c r="EG20" i="7" s="1"/>
  <c r="DU31" i="7"/>
  <c r="DU15" i="7"/>
  <c r="DV15" i="7" s="1"/>
  <c r="DW15" i="7" s="1"/>
  <c r="DX15" i="7" s="1"/>
  <c r="DY15" i="7" s="1"/>
  <c r="DZ15" i="7" s="1"/>
  <c r="EG15" i="7" s="1"/>
  <c r="DU16" i="7"/>
  <c r="DV16" i="7" s="1"/>
  <c r="DW16" i="7" s="1"/>
  <c r="DX16" i="7" s="1"/>
  <c r="DY16" i="7" s="1"/>
  <c r="DZ16" i="7" s="1"/>
  <c r="EG16" i="7" s="1"/>
  <c r="ET84" i="7"/>
  <c r="EG17" i="7" l="1"/>
  <c r="GA41" i="7"/>
  <c r="ES123" i="7"/>
  <c r="FA83" i="7" a="1"/>
  <c r="FA83" i="7" s="1"/>
  <c r="DY115" i="7"/>
  <c r="DT86" i="7" a="1"/>
  <c r="DT86" i="7" s="1"/>
  <c r="ET86" i="7" s="1"/>
  <c r="BO115" i="7"/>
  <c r="BO87" i="7"/>
  <c r="CP87" i="7" s="1"/>
  <c r="EU36" i="7"/>
  <c r="EA18" i="7"/>
  <c r="EB18" i="7" s="1"/>
  <c r="EC18" i="7" s="1"/>
  <c r="ED18" i="7" s="1"/>
  <c r="EA16" i="7"/>
  <c r="EB16" i="7" s="1"/>
  <c r="EC16" i="7" s="1"/>
  <c r="ED16" i="7" s="1"/>
  <c r="EA15" i="7"/>
  <c r="EB15" i="7" s="1"/>
  <c r="EC15" i="7" s="1"/>
  <c r="ED15" i="7" s="1"/>
  <c r="DV31" i="7"/>
  <c r="DW31" i="7" s="1"/>
  <c r="DX31" i="7" s="1"/>
  <c r="DY31" i="7" s="1"/>
  <c r="DZ31" i="7" s="1"/>
  <c r="EA20" i="7"/>
  <c r="EB20" i="7" s="1"/>
  <c r="EC20" i="7" s="1"/>
  <c r="ED20" i="7" s="1"/>
  <c r="ET85" i="7"/>
  <c r="BO116" i="7" l="1"/>
  <c r="BO88" i="7"/>
  <c r="CP88" i="7" s="1"/>
  <c r="DY116" i="7"/>
  <c r="DT87" i="7" a="1"/>
  <c r="DT87" i="7" s="1"/>
  <c r="ES124" i="7"/>
  <c r="FA84" i="7" a="1"/>
  <c r="FA84" i="7" s="1"/>
  <c r="EG31" i="7"/>
  <c r="EA31" i="7"/>
  <c r="EB31" i="7" s="1"/>
  <c r="EC31" i="7" s="1"/>
  <c r="ED31" i="7" s="1"/>
  <c r="ES125" i="7" l="1"/>
  <c r="FA85" i="7" a="1"/>
  <c r="FA85" i="7" s="1"/>
  <c r="ET87" i="7"/>
  <c r="DY117" i="7"/>
  <c r="DT88" i="7" a="1"/>
  <c r="DT88" i="7" s="1"/>
  <c r="BO117" i="7"/>
  <c r="BO89" i="7"/>
  <c r="CP89" i="7" s="1"/>
  <c r="BO118" i="7" l="1"/>
  <c r="BO90" i="7"/>
  <c r="CP90" i="7" s="1"/>
  <c r="ET88" i="7"/>
  <c r="DY118" i="7"/>
  <c r="DT89" i="7" a="1"/>
  <c r="DT89" i="7" s="1"/>
  <c r="ES126" i="7"/>
  <c r="FA86" i="7" a="1"/>
  <c r="FA86" i="7" s="1"/>
  <c r="EN13" i="7"/>
  <c r="EO13" i="7"/>
  <c r="EP13" i="7"/>
  <c r="EQ13" i="7"/>
  <c r="ER13" i="7"/>
  <c r="ET13" i="7"/>
  <c r="EU13" i="7"/>
  <c r="EV13" i="7"/>
  <c r="EW13" i="7"/>
  <c r="DH13" i="7"/>
  <c r="DI13" i="7"/>
  <c r="DJ13" i="7"/>
  <c r="DK13" i="7"/>
  <c r="DO13" i="7"/>
  <c r="DP13" i="7"/>
  <c r="DQ13" i="7"/>
  <c r="EX13" i="7" s="1"/>
  <c r="DU13" i="7"/>
  <c r="DV13" i="7"/>
  <c r="DW13" i="7"/>
  <c r="DX13" i="7"/>
  <c r="DY13" i="7"/>
  <c r="DZ13" i="7"/>
  <c r="EA13" i="7"/>
  <c r="EB13" i="7"/>
  <c r="EC13" i="7"/>
  <c r="ED13" i="7"/>
  <c r="EF13" i="7"/>
  <c r="EG13" i="7"/>
  <c r="EH13" i="7"/>
  <c r="EI13" i="7"/>
  <c r="EJ13" i="7"/>
  <c r="EK13" i="7"/>
  <c r="EL13" i="7"/>
  <c r="EM13" i="7"/>
  <c r="DG13" i="7"/>
  <c r="CX13" i="7"/>
  <c r="CY13" i="7"/>
  <c r="CZ13" i="7"/>
  <c r="CW13" i="7"/>
  <c r="CT103" i="7"/>
  <c r="CJ82" i="7"/>
  <c r="CJ83" i="7"/>
  <c r="CJ84" i="7"/>
  <c r="CJ85" i="7"/>
  <c r="CJ86" i="7"/>
  <c r="CJ87" i="7"/>
  <c r="CJ88" i="7"/>
  <c r="CJ89" i="7"/>
  <c r="CJ90" i="7"/>
  <c r="CJ91" i="7"/>
  <c r="CJ92" i="7"/>
  <c r="CJ93" i="7"/>
  <c r="CJ94" i="7"/>
  <c r="CJ95" i="7"/>
  <c r="CJ96" i="7"/>
  <c r="CJ97" i="7"/>
  <c r="CJ98" i="7"/>
  <c r="CJ99" i="7"/>
  <c r="CJ100" i="7"/>
  <c r="CJ101" i="7"/>
  <c r="CJ102" i="7"/>
  <c r="CJ103" i="7"/>
  <c r="CT42" i="7"/>
  <c r="CT43" i="7"/>
  <c r="CT44" i="7"/>
  <c r="CT45" i="7"/>
  <c r="CT46" i="7"/>
  <c r="CT47" i="7"/>
  <c r="CT48" i="7"/>
  <c r="CT49" i="7"/>
  <c r="CT50" i="7"/>
  <c r="CT51" i="7"/>
  <c r="CT52" i="7"/>
  <c r="CT53" i="7"/>
  <c r="CT54" i="7"/>
  <c r="CT55" i="7"/>
  <c r="CT56" i="7"/>
  <c r="CT57" i="7"/>
  <c r="CT58" i="7"/>
  <c r="CT59" i="7"/>
  <c r="CT60" i="7"/>
  <c r="CT61" i="7"/>
  <c r="CT62" i="7"/>
  <c r="CT63" i="7"/>
  <c r="CT64" i="7"/>
  <c r="CT65" i="7"/>
  <c r="CT66" i="7"/>
  <c r="CT67" i="7"/>
  <c r="CT68" i="7"/>
  <c r="CT69" i="7"/>
  <c r="CT70" i="7"/>
  <c r="CT71" i="7"/>
  <c r="CT72" i="7"/>
  <c r="CT73" i="7"/>
  <c r="CT74" i="7"/>
  <c r="CT75" i="7"/>
  <c r="CT76" i="7"/>
  <c r="CT77" i="7"/>
  <c r="CT78" i="7"/>
  <c r="CT79" i="7"/>
  <c r="CT80" i="7"/>
  <c r="CT81" i="7"/>
  <c r="AE80" i="7"/>
  <c r="P89" i="7"/>
  <c r="T89" i="7" s="1"/>
  <c r="Q89" i="7"/>
  <c r="U89" i="7" s="1"/>
  <c r="R89" i="7"/>
  <c r="V89" i="7" s="1"/>
  <c r="S89" i="7"/>
  <c r="W89" i="7" s="1"/>
  <c r="P90" i="7"/>
  <c r="T90" i="7" s="1"/>
  <c r="Q90" i="7"/>
  <c r="U90" i="7" s="1"/>
  <c r="R90" i="7"/>
  <c r="V90" i="7" s="1"/>
  <c r="S90" i="7"/>
  <c r="W90" i="7" s="1"/>
  <c r="CB89" i="7"/>
  <c r="EG89" i="7" s="1"/>
  <c r="CB90" i="7"/>
  <c r="EG90" i="7" s="1"/>
  <c r="CB91" i="7"/>
  <c r="EG91" i="7" s="1"/>
  <c r="CB92" i="7"/>
  <c r="EG92" i="7" s="1"/>
  <c r="CB93" i="7"/>
  <c r="EG93" i="7" s="1"/>
  <c r="CB94" i="7"/>
  <c r="EG94" i="7" s="1"/>
  <c r="CB95" i="7"/>
  <c r="EG95" i="7" s="1"/>
  <c r="CB96" i="7"/>
  <c r="EG96" i="7" s="1"/>
  <c r="CB97" i="7"/>
  <c r="EG97" i="7" s="1"/>
  <c r="CB98" i="7"/>
  <c r="EG98" i="7" s="1"/>
  <c r="CB99" i="7"/>
  <c r="EG99" i="7" s="1"/>
  <c r="CB100" i="7"/>
  <c r="EG100" i="7" s="1"/>
  <c r="CB101" i="7"/>
  <c r="EG101" i="7" s="1"/>
  <c r="CB102" i="7"/>
  <c r="EG102" i="7" s="1"/>
  <c r="CB103" i="7"/>
  <c r="EG103" i="7" s="1"/>
  <c r="CG42" i="7"/>
  <c r="CG43" i="7"/>
  <c r="CG44" i="7"/>
  <c r="CG45" i="7"/>
  <c r="CG46" i="7"/>
  <c r="CG47" i="7"/>
  <c r="CF42" i="7"/>
  <c r="CF43" i="7"/>
  <c r="CF44" i="7"/>
  <c r="CF45" i="7"/>
  <c r="CF46" i="7"/>
  <c r="CE42" i="7"/>
  <c r="CE43" i="7"/>
  <c r="CE44" i="7"/>
  <c r="CE45" i="7"/>
  <c r="CD44" i="7"/>
  <c r="CC42" i="7"/>
  <c r="CD42" i="7"/>
  <c r="CC43" i="7"/>
  <c r="CD43" i="7"/>
  <c r="CD41" i="7"/>
  <c r="CE41" i="7"/>
  <c r="CF41" i="7"/>
  <c r="CG41" i="7"/>
  <c r="EG82" i="7"/>
  <c r="CB83" i="7"/>
  <c r="EG83" i="7" s="1"/>
  <c r="CB84" i="7"/>
  <c r="EG84" i="7" s="1"/>
  <c r="CB85" i="7"/>
  <c r="EG85" i="7" s="1"/>
  <c r="CB86" i="7"/>
  <c r="EG86" i="7" s="1"/>
  <c r="CB87" i="7"/>
  <c r="EG87" i="7" s="1"/>
  <c r="CB88" i="7"/>
  <c r="EG88" i="7" s="1"/>
  <c r="CJ42" i="7"/>
  <c r="CJ43" i="7"/>
  <c r="CJ44" i="7"/>
  <c r="CJ45" i="7"/>
  <c r="CJ46" i="7"/>
  <c r="CJ47" i="7"/>
  <c r="CJ48" i="7"/>
  <c r="CJ49" i="7"/>
  <c r="CJ50" i="7"/>
  <c r="CJ51" i="7"/>
  <c r="CJ52" i="7"/>
  <c r="CJ53" i="7"/>
  <c r="CJ54" i="7"/>
  <c r="CJ55" i="7"/>
  <c r="CJ56" i="7"/>
  <c r="CJ57" i="7"/>
  <c r="CJ58" i="7"/>
  <c r="CJ59" i="7"/>
  <c r="CJ60" i="7"/>
  <c r="CJ61" i="7"/>
  <c r="CJ62" i="7"/>
  <c r="CJ63" i="7"/>
  <c r="CJ64" i="7"/>
  <c r="CJ65" i="7"/>
  <c r="CJ66" i="7"/>
  <c r="CJ67" i="7"/>
  <c r="CJ68" i="7"/>
  <c r="CJ69" i="7"/>
  <c r="CJ70" i="7"/>
  <c r="CJ71" i="7"/>
  <c r="CJ72" i="7"/>
  <c r="CJ73" i="7"/>
  <c r="CJ74" i="7"/>
  <c r="CJ75" i="7"/>
  <c r="CJ76" i="7"/>
  <c r="CJ77" i="7"/>
  <c r="CJ78" i="7"/>
  <c r="CJ79" i="7"/>
  <c r="CJ80" i="7"/>
  <c r="CJ81" i="7"/>
  <c r="CJ41" i="7"/>
  <c r="CI42" i="7"/>
  <c r="CI43" i="7"/>
  <c r="CI44" i="7"/>
  <c r="CI45" i="7"/>
  <c r="CI46" i="7"/>
  <c r="CI47" i="7"/>
  <c r="CI48" i="7"/>
  <c r="CI49" i="7"/>
  <c r="CI50" i="7"/>
  <c r="CI51" i="7"/>
  <c r="CI52" i="7"/>
  <c r="CI53" i="7"/>
  <c r="CI54" i="7"/>
  <c r="CI55" i="7"/>
  <c r="CI56" i="7"/>
  <c r="CI57" i="7"/>
  <c r="CI58" i="7"/>
  <c r="CI59" i="7"/>
  <c r="CI60" i="7"/>
  <c r="CI61" i="7"/>
  <c r="CI62" i="7"/>
  <c r="CI63" i="7"/>
  <c r="CI64" i="7"/>
  <c r="CI65" i="7"/>
  <c r="CI66" i="7"/>
  <c r="CI67" i="7"/>
  <c r="CI68" i="7"/>
  <c r="CI69" i="7"/>
  <c r="CI70" i="7"/>
  <c r="CI71" i="7"/>
  <c r="CI72" i="7"/>
  <c r="CI73" i="7"/>
  <c r="CI74" i="7"/>
  <c r="CI75" i="7"/>
  <c r="CI76" i="7"/>
  <c r="CI77" i="7"/>
  <c r="CI78" i="7"/>
  <c r="CI79" i="7"/>
  <c r="CI80" i="7"/>
  <c r="CI81" i="7"/>
  <c r="CI41" i="7"/>
  <c r="BP42" i="7"/>
  <c r="BQ42" i="7" s="1"/>
  <c r="CP43" i="7"/>
  <c r="BP44" i="7"/>
  <c r="BQ44" i="7" s="1"/>
  <c r="BP45" i="7"/>
  <c r="BQ45" i="7" s="1"/>
  <c r="BP46" i="7"/>
  <c r="BQ46" i="7" s="1"/>
  <c r="BP47" i="7"/>
  <c r="BQ47" i="7" s="1"/>
  <c r="CP48" i="7"/>
  <c r="CP49" i="7"/>
  <c r="BP50" i="7"/>
  <c r="BQ50" i="7" s="1"/>
  <c r="CP51" i="7"/>
  <c r="BP52" i="7"/>
  <c r="BQ52" i="7" s="1"/>
  <c r="BQ53" i="7"/>
  <c r="BP54" i="7"/>
  <c r="BQ54" i="7" s="1"/>
  <c r="BP55" i="7"/>
  <c r="BQ55" i="7" s="1"/>
  <c r="BP56" i="7"/>
  <c r="BQ56" i="7" s="1"/>
  <c r="BP57" i="7"/>
  <c r="BQ57" i="7" s="1"/>
  <c r="BP58" i="7"/>
  <c r="BQ58" i="7" s="1"/>
  <c r="BP59" i="7"/>
  <c r="BQ59" i="7" s="1"/>
  <c r="BP60" i="7"/>
  <c r="BQ60" i="7" s="1"/>
  <c r="BP61" i="7"/>
  <c r="BQ61" i="7" s="1"/>
  <c r="BP62" i="7"/>
  <c r="BQ62" i="7" s="1"/>
  <c r="CP63" i="7"/>
  <c r="BP64" i="7"/>
  <c r="BQ64" i="7" s="1"/>
  <c r="BP65" i="7"/>
  <c r="BQ65" i="7" s="1"/>
  <c r="BP66" i="7"/>
  <c r="BQ66" i="7" s="1"/>
  <c r="BP67" i="7"/>
  <c r="BQ67" i="7" s="1"/>
  <c r="BP68" i="7"/>
  <c r="BQ68" i="7" s="1"/>
  <c r="BP69" i="7"/>
  <c r="BQ69" i="7" s="1"/>
  <c r="BP70" i="7"/>
  <c r="BQ70" i="7" s="1"/>
  <c r="BP71" i="7"/>
  <c r="BQ71" i="7" s="1"/>
  <c r="CP73" i="7"/>
  <c r="BP74" i="7"/>
  <c r="BQ74" i="7" s="1"/>
  <c r="BP75" i="7"/>
  <c r="BQ75" i="7" s="1"/>
  <c r="BP76" i="7"/>
  <c r="BQ76" i="7" s="1"/>
  <c r="BP77" i="7"/>
  <c r="BQ77" i="7" s="1"/>
  <c r="BP78" i="7"/>
  <c r="BQ78" i="7" s="1"/>
  <c r="BP79" i="7"/>
  <c r="BQ79" i="7" s="1"/>
  <c r="BP80" i="7"/>
  <c r="BQ80" i="7" s="1"/>
  <c r="CP81" i="7"/>
  <c r="BZ57" i="7"/>
  <c r="BZ58" i="7"/>
  <c r="BZ59" i="7"/>
  <c r="BZ60" i="7"/>
  <c r="BZ61" i="7"/>
  <c r="BZ62" i="7"/>
  <c r="BZ63" i="7"/>
  <c r="BZ64" i="7"/>
  <c r="BZ65" i="7"/>
  <c r="BZ66" i="7"/>
  <c r="BZ67" i="7"/>
  <c r="BZ68" i="7"/>
  <c r="BZ69" i="7"/>
  <c r="BZ70" i="7"/>
  <c r="BZ71" i="7"/>
  <c r="BZ72" i="7"/>
  <c r="BZ73" i="7"/>
  <c r="BZ74" i="7"/>
  <c r="BZ75" i="7"/>
  <c r="BZ76" i="7"/>
  <c r="BZ77" i="7"/>
  <c r="BZ78" i="7"/>
  <c r="BZ79" i="7"/>
  <c r="BZ80" i="7"/>
  <c r="BZ81" i="7"/>
  <c r="BZ56" i="7"/>
  <c r="BZ41" i="7"/>
  <c r="BZ42" i="7"/>
  <c r="BZ43" i="7"/>
  <c r="BZ44" i="7"/>
  <c r="BZ45" i="7"/>
  <c r="BZ46" i="7"/>
  <c r="BZ47" i="7"/>
  <c r="BZ48" i="7"/>
  <c r="BZ49" i="7"/>
  <c r="BZ50" i="7"/>
  <c r="BZ51" i="7"/>
  <c r="BZ52" i="7"/>
  <c r="BZ53" i="7"/>
  <c r="BZ54" i="7"/>
  <c r="BZ55" i="7"/>
  <c r="BY42" i="7"/>
  <c r="BY43" i="7"/>
  <c r="BY44" i="7"/>
  <c r="BY45" i="7"/>
  <c r="BY46" i="7"/>
  <c r="BY47" i="7"/>
  <c r="BY48" i="7"/>
  <c r="BY49" i="7"/>
  <c r="BY50" i="7"/>
  <c r="BY51" i="7"/>
  <c r="BY52" i="7"/>
  <c r="BY53" i="7"/>
  <c r="BY54" i="7"/>
  <c r="BY55" i="7"/>
  <c r="BY41" i="7"/>
  <c r="BV72" i="7"/>
  <c r="BW42" i="7"/>
  <c r="BU42" i="7" s="1"/>
  <c r="BV42" i="7" s="1"/>
  <c r="BW43" i="7"/>
  <c r="BW44" i="7"/>
  <c r="BU44" i="7" s="1"/>
  <c r="BV44" i="7" s="1"/>
  <c r="BW45" i="7"/>
  <c r="BW46" i="7"/>
  <c r="BU46" i="7" s="1"/>
  <c r="CB46" i="7" s="1"/>
  <c r="BW47" i="7"/>
  <c r="BU47" i="7" s="1"/>
  <c r="BV47" i="7" s="1"/>
  <c r="BW48" i="7"/>
  <c r="BU48" i="7" s="1"/>
  <c r="BV48" i="7" s="1"/>
  <c r="BW49" i="7"/>
  <c r="BU49" i="7" s="1"/>
  <c r="BW50" i="7"/>
  <c r="BU50" i="7" s="1"/>
  <c r="BV50" i="7" s="1"/>
  <c r="BW51" i="7"/>
  <c r="BU51" i="7" s="1"/>
  <c r="BV51" i="7" s="1"/>
  <c r="BW52" i="7"/>
  <c r="BU52" i="7" s="1"/>
  <c r="BV52" i="7" s="1"/>
  <c r="BW53" i="7"/>
  <c r="BU53" i="7" s="1"/>
  <c r="BV53" i="7" s="1"/>
  <c r="BW54" i="7"/>
  <c r="BU54" i="7" s="1"/>
  <c r="BV54" i="7" s="1"/>
  <c r="BW55" i="7"/>
  <c r="BU55" i="7" s="1"/>
  <c r="BV55" i="7" s="1"/>
  <c r="BW56" i="7"/>
  <c r="BU56" i="7" s="1"/>
  <c r="BV56" i="7" s="1"/>
  <c r="BW57" i="7"/>
  <c r="BU57" i="7" s="1"/>
  <c r="BV57" i="7" s="1"/>
  <c r="BW58" i="7"/>
  <c r="BU58" i="7" s="1"/>
  <c r="BV58" i="7" s="1"/>
  <c r="BW59" i="7"/>
  <c r="BU59" i="7" s="1"/>
  <c r="BV59" i="7" s="1"/>
  <c r="BW60" i="7"/>
  <c r="BU60" i="7" s="1"/>
  <c r="BV60" i="7" s="1"/>
  <c r="J106" i="7" s="1"/>
  <c r="BW61" i="7"/>
  <c r="BU61" i="7" s="1"/>
  <c r="BV61" i="7" s="1"/>
  <c r="J107" i="7" s="1"/>
  <c r="BW62" i="7"/>
  <c r="BU62" i="7" s="1"/>
  <c r="BV62" i="7" s="1"/>
  <c r="J108" i="7" s="1"/>
  <c r="BW63" i="7"/>
  <c r="BU63" i="7" s="1"/>
  <c r="BV63" i="7" s="1"/>
  <c r="J109" i="7" s="1"/>
  <c r="BW64" i="7"/>
  <c r="BU64" i="7" s="1"/>
  <c r="BV64" i="7" s="1"/>
  <c r="J110" i="7" s="1"/>
  <c r="BW65" i="7"/>
  <c r="BU65" i="7" s="1"/>
  <c r="BV65" i="7" s="1"/>
  <c r="J111" i="7" s="1"/>
  <c r="BW66" i="7"/>
  <c r="BU66" i="7" s="1"/>
  <c r="BV66" i="7" s="1"/>
  <c r="J112" i="7" s="1"/>
  <c r="BW67" i="7"/>
  <c r="BU67" i="7" s="1"/>
  <c r="BV67" i="7" s="1"/>
  <c r="J113" i="7" s="1"/>
  <c r="BW68" i="7"/>
  <c r="BU68" i="7" s="1"/>
  <c r="BV68" i="7" s="1"/>
  <c r="J114" i="7" s="1"/>
  <c r="BW69" i="7"/>
  <c r="BU69" i="7" s="1"/>
  <c r="BV69" i="7" s="1"/>
  <c r="J115" i="7" s="1"/>
  <c r="BW70" i="7"/>
  <c r="BU70" i="7" s="1"/>
  <c r="BV70" i="7" s="1"/>
  <c r="J116" i="7" s="1"/>
  <c r="BW71" i="7"/>
  <c r="BU71" i="7" s="1"/>
  <c r="BV71" i="7" s="1"/>
  <c r="J117" i="7" s="1"/>
  <c r="BW72" i="7"/>
  <c r="BU72" i="7" s="1"/>
  <c r="BW73" i="7"/>
  <c r="BU73" i="7" s="1"/>
  <c r="BV73" i="7" s="1"/>
  <c r="J118" i="7" s="1"/>
  <c r="BW74" i="7"/>
  <c r="BU74" i="7" s="1"/>
  <c r="BV74" i="7" s="1"/>
  <c r="J119" i="7" s="1"/>
  <c r="BW75" i="7"/>
  <c r="BU75" i="7" s="1"/>
  <c r="BV75" i="7" s="1"/>
  <c r="J120" i="7" s="1"/>
  <c r="BW76" i="7"/>
  <c r="BU76" i="7" s="1"/>
  <c r="BV76" i="7" s="1"/>
  <c r="J121" i="7" s="1"/>
  <c r="BW77" i="7"/>
  <c r="BU77" i="7" s="1"/>
  <c r="BV77" i="7" s="1"/>
  <c r="J122" i="7" s="1"/>
  <c r="BW78" i="7"/>
  <c r="BU78" i="7" s="1"/>
  <c r="BV78" i="7" s="1"/>
  <c r="J123" i="7" s="1"/>
  <c r="BW79" i="7"/>
  <c r="BU79" i="7" s="1"/>
  <c r="BV79" i="7" s="1"/>
  <c r="J124" i="7" s="1"/>
  <c r="BW80" i="7"/>
  <c r="BU80" i="7" s="1"/>
  <c r="BV80" i="7" s="1"/>
  <c r="BW81" i="7"/>
  <c r="BW41" i="7"/>
  <c r="BR40" i="7"/>
  <c r="BT40" i="7" s="1"/>
  <c r="BX40" i="7" s="1"/>
  <c r="BZ40" i="7" s="1"/>
  <c r="CC40" i="7" s="1"/>
  <c r="CE40" i="7" s="1"/>
  <c r="CG40" i="7" s="1"/>
  <c r="CI40" i="7" s="1"/>
  <c r="CK40" i="7" s="1"/>
  <c r="CN40" i="7" s="1"/>
  <c r="CP40" i="7" s="1"/>
  <c r="BR39" i="7"/>
  <c r="BT39" i="7" s="1"/>
  <c r="BX39" i="7" s="1"/>
  <c r="BZ39" i="7" s="1"/>
  <c r="CC39" i="7" s="1"/>
  <c r="CE39" i="7" s="1"/>
  <c r="CG39" i="7" s="1"/>
  <c r="CI39" i="7" s="1"/>
  <c r="CK39" i="7" s="1"/>
  <c r="CN39" i="7" s="1"/>
  <c r="CP39" i="7" s="1"/>
  <c r="BR38" i="7"/>
  <c r="BT38" i="7" s="1"/>
  <c r="BX38" i="7" s="1"/>
  <c r="BZ38" i="7" s="1"/>
  <c r="CC38" i="7" s="1"/>
  <c r="CE38" i="7" s="1"/>
  <c r="CG38" i="7" s="1"/>
  <c r="CI38" i="7" s="1"/>
  <c r="CK38" i="7" s="1"/>
  <c r="CN38" i="7" s="1"/>
  <c r="CP38" i="7" s="1"/>
  <c r="BR37" i="7"/>
  <c r="BT37" i="7" s="1"/>
  <c r="BX37" i="7" s="1"/>
  <c r="BZ37" i="7" s="1"/>
  <c r="CC37" i="7" s="1"/>
  <c r="CE37" i="7" s="1"/>
  <c r="CG37" i="7" s="1"/>
  <c r="CI37" i="7" s="1"/>
  <c r="CK37" i="7" s="1"/>
  <c r="CN37" i="7" s="1"/>
  <c r="CP37" i="7" s="1"/>
  <c r="BR36" i="7"/>
  <c r="BT36" i="7" s="1"/>
  <c r="BX36" i="7" s="1"/>
  <c r="BZ36" i="7" s="1"/>
  <c r="CC36" i="7" s="1"/>
  <c r="CE36" i="7" s="1"/>
  <c r="CG36" i="7" s="1"/>
  <c r="CI36" i="7" s="1"/>
  <c r="CK36" i="7" s="1"/>
  <c r="CN36" i="7" s="1"/>
  <c r="CP36" i="7" s="1"/>
  <c r="BR35" i="7"/>
  <c r="BT35" i="7" s="1"/>
  <c r="BX35" i="7" s="1"/>
  <c r="BZ35" i="7" s="1"/>
  <c r="CC35" i="7" s="1"/>
  <c r="CE35" i="7" s="1"/>
  <c r="CG35" i="7" s="1"/>
  <c r="CI35" i="7" s="1"/>
  <c r="CK35" i="7" s="1"/>
  <c r="CN35" i="7" s="1"/>
  <c r="CP35" i="7" s="1"/>
  <c r="BR34" i="7"/>
  <c r="BT34" i="7" s="1"/>
  <c r="BX34" i="7" s="1"/>
  <c r="BZ34" i="7" s="1"/>
  <c r="CC34" i="7" s="1"/>
  <c r="CE34" i="7" s="1"/>
  <c r="CG34" i="7" s="1"/>
  <c r="CI34" i="7" s="1"/>
  <c r="CK34" i="7" s="1"/>
  <c r="CN34" i="7" s="1"/>
  <c r="CP34" i="7" s="1"/>
  <c r="BR33" i="7"/>
  <c r="BT33" i="7" s="1"/>
  <c r="BX33" i="7" s="1"/>
  <c r="BZ33" i="7" s="1"/>
  <c r="CC33" i="7" s="1"/>
  <c r="CE33" i="7" s="1"/>
  <c r="CG33" i="7" s="1"/>
  <c r="CI33" i="7" s="1"/>
  <c r="CK33" i="7" s="1"/>
  <c r="CN33" i="7" s="1"/>
  <c r="CP33" i="7" s="1"/>
  <c r="BR32" i="7"/>
  <c r="BT32" i="7" s="1"/>
  <c r="BX32" i="7" s="1"/>
  <c r="BZ32" i="7" s="1"/>
  <c r="CC32" i="7" s="1"/>
  <c r="CE32" i="7" s="1"/>
  <c r="CG32" i="7" s="1"/>
  <c r="CI32" i="7" s="1"/>
  <c r="CK32" i="7" s="1"/>
  <c r="CN32" i="7" s="1"/>
  <c r="CP32" i="7" s="1"/>
  <c r="BR31" i="7"/>
  <c r="BT31" i="7" s="1"/>
  <c r="BX31" i="7" s="1"/>
  <c r="BZ31" i="7" s="1"/>
  <c r="CC31" i="7" s="1"/>
  <c r="CE31" i="7" s="1"/>
  <c r="CG31" i="7" s="1"/>
  <c r="CI31" i="7" s="1"/>
  <c r="CK31" i="7" s="1"/>
  <c r="CN31" i="7" s="1"/>
  <c r="CP31" i="7" s="1"/>
  <c r="BR30" i="7"/>
  <c r="BT30" i="7" s="1"/>
  <c r="BX30" i="7" s="1"/>
  <c r="BZ30" i="7" s="1"/>
  <c r="CC30" i="7" s="1"/>
  <c r="CE30" i="7" s="1"/>
  <c r="CG30" i="7" s="1"/>
  <c r="CI30" i="7" s="1"/>
  <c r="CK30" i="7" s="1"/>
  <c r="CN30" i="7" s="1"/>
  <c r="CP30" i="7" s="1"/>
  <c r="BR29" i="7"/>
  <c r="BT29" i="7" s="1"/>
  <c r="BX29" i="7" s="1"/>
  <c r="BZ29" i="7" s="1"/>
  <c r="CC29" i="7" s="1"/>
  <c r="CE29" i="7" s="1"/>
  <c r="CG29" i="7" s="1"/>
  <c r="CI29" i="7" s="1"/>
  <c r="CK29" i="7" s="1"/>
  <c r="CN29" i="7" s="1"/>
  <c r="CP29" i="7" s="1"/>
  <c r="BR28" i="7"/>
  <c r="BT28" i="7" s="1"/>
  <c r="BX28" i="7" s="1"/>
  <c r="BZ28" i="7" s="1"/>
  <c r="CC28" i="7" s="1"/>
  <c r="CE28" i="7" s="1"/>
  <c r="CG28" i="7" s="1"/>
  <c r="CI28" i="7" s="1"/>
  <c r="CK28" i="7" s="1"/>
  <c r="CN28" i="7" s="1"/>
  <c r="CP28" i="7" s="1"/>
  <c r="BR27" i="7"/>
  <c r="BT27" i="7" s="1"/>
  <c r="BX27" i="7" s="1"/>
  <c r="BZ27" i="7" s="1"/>
  <c r="CC27" i="7" s="1"/>
  <c r="CE27" i="7" s="1"/>
  <c r="CG27" i="7" s="1"/>
  <c r="CI27" i="7" s="1"/>
  <c r="CK27" i="7" s="1"/>
  <c r="CN27" i="7" s="1"/>
  <c r="CP27" i="7" s="1"/>
  <c r="BR26" i="7"/>
  <c r="BT26" i="7" s="1"/>
  <c r="BX26" i="7" s="1"/>
  <c r="BZ26" i="7" s="1"/>
  <c r="CC26" i="7" s="1"/>
  <c r="CE26" i="7" s="1"/>
  <c r="CG26" i="7" s="1"/>
  <c r="CI26" i="7" s="1"/>
  <c r="CK26" i="7" s="1"/>
  <c r="CN26" i="7" s="1"/>
  <c r="CP26" i="7" s="1"/>
  <c r="BR25" i="7"/>
  <c r="BT25" i="7" s="1"/>
  <c r="BX25" i="7" s="1"/>
  <c r="BZ25" i="7" s="1"/>
  <c r="CC25" i="7" s="1"/>
  <c r="CE25" i="7" s="1"/>
  <c r="CG25" i="7" s="1"/>
  <c r="CI25" i="7" s="1"/>
  <c r="CK25" i="7" s="1"/>
  <c r="CN25" i="7" s="1"/>
  <c r="CP25" i="7" s="1"/>
  <c r="BR24" i="7"/>
  <c r="BT24" i="7" s="1"/>
  <c r="BX24" i="7" s="1"/>
  <c r="BZ24" i="7" s="1"/>
  <c r="CC24" i="7" s="1"/>
  <c r="CE24" i="7" s="1"/>
  <c r="CG24" i="7" s="1"/>
  <c r="CI24" i="7" s="1"/>
  <c r="CK24" i="7" s="1"/>
  <c r="CN24" i="7" s="1"/>
  <c r="CP24" i="7" s="1"/>
  <c r="BR23" i="7"/>
  <c r="BT23" i="7" s="1"/>
  <c r="BX23" i="7" s="1"/>
  <c r="BZ23" i="7" s="1"/>
  <c r="CC23" i="7" s="1"/>
  <c r="CE23" i="7" s="1"/>
  <c r="CG23" i="7" s="1"/>
  <c r="CI23" i="7" s="1"/>
  <c r="CK23" i="7" s="1"/>
  <c r="CN23" i="7" s="1"/>
  <c r="CP23" i="7" s="1"/>
  <c r="BR22" i="7"/>
  <c r="BT22" i="7" s="1"/>
  <c r="BX22" i="7" s="1"/>
  <c r="BZ22" i="7" s="1"/>
  <c r="CC22" i="7" s="1"/>
  <c r="CE22" i="7" s="1"/>
  <c r="CG22" i="7" s="1"/>
  <c r="CI22" i="7" s="1"/>
  <c r="CK22" i="7" s="1"/>
  <c r="CN22" i="7" s="1"/>
  <c r="CP22" i="7" s="1"/>
  <c r="BR21" i="7"/>
  <c r="BT21" i="7" s="1"/>
  <c r="BX21" i="7" s="1"/>
  <c r="BZ21" i="7" s="1"/>
  <c r="CC21" i="7" s="1"/>
  <c r="CE21" i="7" s="1"/>
  <c r="CG21" i="7" s="1"/>
  <c r="CI21" i="7" s="1"/>
  <c r="CK21" i="7" s="1"/>
  <c r="CN21" i="7" s="1"/>
  <c r="CP21" i="7" s="1"/>
  <c r="BR20" i="7"/>
  <c r="BT20" i="7" s="1"/>
  <c r="BX20" i="7" s="1"/>
  <c r="BZ20" i="7" s="1"/>
  <c r="CC20" i="7" s="1"/>
  <c r="CE20" i="7" s="1"/>
  <c r="CG20" i="7" s="1"/>
  <c r="CI20" i="7" s="1"/>
  <c r="CK20" i="7" s="1"/>
  <c r="CN20" i="7" s="1"/>
  <c r="CP20" i="7" s="1"/>
  <c r="BR19" i="7"/>
  <c r="BT19" i="7" s="1"/>
  <c r="BX19" i="7" s="1"/>
  <c r="BZ19" i="7" s="1"/>
  <c r="CC19" i="7" s="1"/>
  <c r="CE19" i="7" s="1"/>
  <c r="CG19" i="7" s="1"/>
  <c r="CI19" i="7" s="1"/>
  <c r="CK19" i="7" s="1"/>
  <c r="CN19" i="7" s="1"/>
  <c r="CP19" i="7" s="1"/>
  <c r="BR18" i="7"/>
  <c r="BT18" i="7" s="1"/>
  <c r="BX18" i="7" s="1"/>
  <c r="BZ18" i="7" s="1"/>
  <c r="CC18" i="7" s="1"/>
  <c r="CE18" i="7" s="1"/>
  <c r="CG18" i="7" s="1"/>
  <c r="CI18" i="7" s="1"/>
  <c r="CK18" i="7" s="1"/>
  <c r="CN18" i="7" s="1"/>
  <c r="CP18" i="7" s="1"/>
  <c r="BR17" i="7"/>
  <c r="BT17" i="7" s="1"/>
  <c r="BX17" i="7" s="1"/>
  <c r="BZ17" i="7" s="1"/>
  <c r="CC17" i="7" s="1"/>
  <c r="CE17" i="7" s="1"/>
  <c r="CG17" i="7" s="1"/>
  <c r="CI17" i="7" s="1"/>
  <c r="CK17" i="7" s="1"/>
  <c r="CN17" i="7" s="1"/>
  <c r="CP17" i="7" s="1"/>
  <c r="BR16" i="7"/>
  <c r="BT16" i="7" s="1"/>
  <c r="BX16" i="7" s="1"/>
  <c r="BZ16" i="7" s="1"/>
  <c r="CC16" i="7" s="1"/>
  <c r="CE16" i="7" s="1"/>
  <c r="CG16" i="7" s="1"/>
  <c r="CI16" i="7" s="1"/>
  <c r="CK16" i="7" s="1"/>
  <c r="CN16" i="7" s="1"/>
  <c r="CP16" i="7" s="1"/>
  <c r="BR15" i="7"/>
  <c r="BT15" i="7" s="1"/>
  <c r="BX15" i="7" s="1"/>
  <c r="BZ15" i="7" s="1"/>
  <c r="CC15" i="7" s="1"/>
  <c r="CE15" i="7" s="1"/>
  <c r="CG15" i="7" s="1"/>
  <c r="CI15" i="7" s="1"/>
  <c r="CK15" i="7" s="1"/>
  <c r="CN15" i="7" s="1"/>
  <c r="CP15" i="7" s="1"/>
  <c r="BR14" i="7"/>
  <c r="BT14" i="7" s="1"/>
  <c r="BX14" i="7" s="1"/>
  <c r="BZ14" i="7" s="1"/>
  <c r="CC14" i="7" s="1"/>
  <c r="CE14" i="7" s="1"/>
  <c r="CG14" i="7" s="1"/>
  <c r="CI14" i="7" s="1"/>
  <c r="CK14" i="7" s="1"/>
  <c r="CN14" i="7" s="1"/>
  <c r="CP14" i="7" s="1"/>
  <c r="BU81" i="7" l="1"/>
  <c r="BV81" i="7" s="1"/>
  <c r="CV68" i="7"/>
  <c r="HB68" i="7" s="1"/>
  <c r="CV52" i="7"/>
  <c r="HB52" i="7" s="1"/>
  <c r="CV67" i="7"/>
  <c r="HB67" i="7" s="1"/>
  <c r="CV51" i="7"/>
  <c r="HB51" i="7" s="1"/>
  <c r="CV66" i="7"/>
  <c r="HB66" i="7" s="1"/>
  <c r="CV50" i="7"/>
  <c r="HB50" i="7" s="1"/>
  <c r="CV81" i="7"/>
  <c r="HB81" i="7" s="1"/>
  <c r="CV65" i="7"/>
  <c r="HB65" i="7" s="1"/>
  <c r="CV49" i="7"/>
  <c r="HB49" i="7" s="1"/>
  <c r="CV80" i="7"/>
  <c r="HB80" i="7" s="1"/>
  <c r="CV64" i="7"/>
  <c r="HB64" i="7" s="1"/>
  <c r="CV48" i="7"/>
  <c r="HB48" i="7" s="1"/>
  <c r="CV79" i="7"/>
  <c r="HB79" i="7" s="1"/>
  <c r="CV63" i="7"/>
  <c r="HB63" i="7" s="1"/>
  <c r="CV47" i="7"/>
  <c r="HB47" i="7" s="1"/>
  <c r="CV78" i="7"/>
  <c r="HB78" i="7" s="1"/>
  <c r="CV62" i="7"/>
  <c r="HB62" i="7" s="1"/>
  <c r="CV46" i="7"/>
  <c r="HB46" i="7" s="1"/>
  <c r="CV77" i="7"/>
  <c r="HB77" i="7" s="1"/>
  <c r="CV61" i="7"/>
  <c r="HB61" i="7" s="1"/>
  <c r="CV45" i="7"/>
  <c r="HB45" i="7" s="1"/>
  <c r="CV76" i="7"/>
  <c r="HB76" i="7" s="1"/>
  <c r="CV60" i="7"/>
  <c r="HB60" i="7" s="1"/>
  <c r="CV44" i="7"/>
  <c r="HB44" i="7" s="1"/>
  <c r="FU44" i="7"/>
  <c r="CV75" i="7"/>
  <c r="HB75" i="7" s="1"/>
  <c r="CV59" i="7"/>
  <c r="HB59" i="7" s="1"/>
  <c r="CV43" i="7"/>
  <c r="HB43" i="7" s="1"/>
  <c r="FU43" i="7"/>
  <c r="CV74" i="7"/>
  <c r="HB74" i="7" s="1"/>
  <c r="CV58" i="7"/>
  <c r="HB58" i="7" s="1"/>
  <c r="CV42" i="7"/>
  <c r="HB42" i="7" s="1"/>
  <c r="FU42" i="7"/>
  <c r="CV73" i="7"/>
  <c r="HB73" i="7" s="1"/>
  <c r="CV57" i="7"/>
  <c r="HB57" i="7" s="1"/>
  <c r="CV56" i="7"/>
  <c r="HB56" i="7" s="1"/>
  <c r="CV71" i="7"/>
  <c r="HB71" i="7" s="1"/>
  <c r="CV55" i="7"/>
  <c r="HB55" i="7" s="1"/>
  <c r="CV70" i="7"/>
  <c r="HB70" i="7" s="1"/>
  <c r="CV54" i="7"/>
  <c r="HB54" i="7" s="1"/>
  <c r="CV69" i="7"/>
  <c r="HB69" i="7" s="1"/>
  <c r="CV53" i="7"/>
  <c r="HB53" i="7" s="1"/>
  <c r="ES127" i="7"/>
  <c r="FA87" i="7" a="1"/>
  <c r="FA87" i="7" s="1"/>
  <c r="ET89" i="7"/>
  <c r="DY119" i="7"/>
  <c r="DT90" i="7" a="1"/>
  <c r="DT90" i="7" s="1"/>
  <c r="BO119" i="7"/>
  <c r="BO91" i="7"/>
  <c r="CP91" i="7" s="1"/>
  <c r="CV72" i="7"/>
  <c r="CT84" i="7"/>
  <c r="CT90" i="7"/>
  <c r="CT89" i="7"/>
  <c r="CT82" i="7"/>
  <c r="CT83" i="7"/>
  <c r="CT85" i="7"/>
  <c r="CT86" i="7"/>
  <c r="CT87" i="7"/>
  <c r="CT88" i="7"/>
  <c r="CT91" i="7"/>
  <c r="CT98" i="7"/>
  <c r="CT100" i="7"/>
  <c r="CT92" i="7"/>
  <c r="CT101" i="7"/>
  <c r="CT93" i="7"/>
  <c r="CT94" i="7"/>
  <c r="CT99" i="7"/>
  <c r="CT95" i="7"/>
  <c r="CT96" i="7"/>
  <c r="CT97" i="7"/>
  <c r="CT102" i="7"/>
  <c r="CB81" i="7"/>
  <c r="EG81" i="7" s="1"/>
  <c r="EG80" i="7"/>
  <c r="CB80" i="7"/>
  <c r="BP72" i="7"/>
  <c r="BQ72" i="7" s="1"/>
  <c r="BU41" i="7"/>
  <c r="BV41" i="7" s="1"/>
  <c r="BP81" i="7"/>
  <c r="BQ81" i="7" s="1"/>
  <c r="CP79" i="7"/>
  <c r="CP47" i="7"/>
  <c r="BV46" i="7"/>
  <c r="CH42" i="7"/>
  <c r="CP71" i="7"/>
  <c r="CP68" i="7"/>
  <c r="BP63" i="7"/>
  <c r="BQ63" i="7" s="1"/>
  <c r="BP51" i="7"/>
  <c r="BQ51" i="7" s="1"/>
  <c r="CP55" i="7"/>
  <c r="CP52" i="7"/>
  <c r="CH41" i="7"/>
  <c r="CH43" i="7"/>
  <c r="BP49" i="7"/>
  <c r="BQ49" i="7" s="1"/>
  <c r="CP67" i="7"/>
  <c r="BP48" i="7"/>
  <c r="BQ48" i="7" s="1"/>
  <c r="CP66" i="7"/>
  <c r="CP50" i="7"/>
  <c r="CP65" i="7"/>
  <c r="BP43" i="7"/>
  <c r="BQ43" i="7" s="1"/>
  <c r="CP80" i="7"/>
  <c r="CP64" i="7"/>
  <c r="CP78" i="7"/>
  <c r="CP62" i="7"/>
  <c r="CP46" i="7"/>
  <c r="CP77" i="7"/>
  <c r="CP61" i="7"/>
  <c r="CP45" i="7"/>
  <c r="BP73" i="7"/>
  <c r="BQ73" i="7" s="1"/>
  <c r="CB48" i="7"/>
  <c r="CP76" i="7"/>
  <c r="CP60" i="7"/>
  <c r="CP44" i="7"/>
  <c r="CP75" i="7"/>
  <c r="CP59" i="7"/>
  <c r="CP74" i="7"/>
  <c r="CP58" i="7"/>
  <c r="CP42" i="7"/>
  <c r="CP57" i="7"/>
  <c r="CP72" i="7"/>
  <c r="CP56" i="7"/>
  <c r="CP70" i="7"/>
  <c r="CP54" i="7"/>
  <c r="CP69" i="7"/>
  <c r="CP53" i="7"/>
  <c r="BV49" i="7"/>
  <c r="CB49" i="7"/>
  <c r="CB53" i="7"/>
  <c r="CB52" i="7"/>
  <c r="CB51" i="7"/>
  <c r="CB50" i="7"/>
  <c r="CB47" i="7"/>
  <c r="BU45" i="7"/>
  <c r="BU43" i="7"/>
  <c r="CB44" i="7"/>
  <c r="CB42" i="7"/>
  <c r="FW42" i="7" l="1"/>
  <c r="FZ42" i="7" s="1"/>
  <c r="FW44" i="7"/>
  <c r="FX42" i="7"/>
  <c r="CV10" i="7"/>
  <c r="CV106" i="7"/>
  <c r="FW43" i="7"/>
  <c r="CV105" i="7"/>
  <c r="HB72" i="7"/>
  <c r="BO120" i="7"/>
  <c r="BO92" i="7"/>
  <c r="CP92" i="7" s="1"/>
  <c r="ET90" i="7"/>
  <c r="DY120" i="7"/>
  <c r="DT91" i="7" a="1"/>
  <c r="DT91" i="7" s="1"/>
  <c r="CV104" i="7"/>
  <c r="CP106" i="7"/>
  <c r="CP107" i="7"/>
  <c r="CP105" i="7"/>
  <c r="CP104" i="7"/>
  <c r="ES128" i="7"/>
  <c r="FA88" i="7" a="1"/>
  <c r="FA88" i="7" s="1"/>
  <c r="CB41" i="7"/>
  <c r="CK41" i="7" s="1"/>
  <c r="CL41" i="7" s="1"/>
  <c r="CO41" i="7" s="1"/>
  <c r="CK42" i="7"/>
  <c r="BV45" i="7"/>
  <c r="CB45" i="7"/>
  <c r="BV43" i="7"/>
  <c r="CB43" i="7"/>
  <c r="CK43" i="7" s="1"/>
  <c r="CL43" i="7" s="1"/>
  <c r="GA42" i="7" l="1"/>
  <c r="FX44" i="7"/>
  <c r="FZ44" i="7"/>
  <c r="GA44" i="7" s="1"/>
  <c r="FX43" i="7"/>
  <c r="FZ43" i="7"/>
  <c r="GA43" i="7" s="1"/>
  <c r="CL42" i="7"/>
  <c r="CN42" i="7" s="1"/>
  <c r="CM42" i="7"/>
  <c r="CM41" i="7"/>
  <c r="CM43" i="7"/>
  <c r="CV107" i="7"/>
  <c r="CP109" i="7"/>
  <c r="ES129" i="7"/>
  <c r="FA89" i="7" a="1"/>
  <c r="FA89" i="7" s="1"/>
  <c r="ET91" i="7"/>
  <c r="DY121" i="7"/>
  <c r="DT92" i="7" a="1"/>
  <c r="DT92" i="7" s="1"/>
  <c r="BO121" i="7"/>
  <c r="BO93" i="7"/>
  <c r="CP93" i="7" s="1"/>
  <c r="CQ41" i="7"/>
  <c r="AY41" i="7"/>
  <c r="CN41" i="7"/>
  <c r="CO43" i="7"/>
  <c r="AY43" i="7" s="1"/>
  <c r="CN43" i="7"/>
  <c r="CO42" i="7" l="1"/>
  <c r="AY42" i="7" s="1"/>
  <c r="BO122" i="7"/>
  <c r="BO94" i="7"/>
  <c r="CP94" i="7" s="1"/>
  <c r="ES130" i="7"/>
  <c r="FA90" i="7" a="1"/>
  <c r="FA90" i="7" s="1"/>
  <c r="ET92" i="7"/>
  <c r="DY122" i="7"/>
  <c r="DT93" i="7" a="1"/>
  <c r="DT93" i="7" s="1"/>
  <c r="CP110" i="7"/>
  <c r="CV109" i="7"/>
  <c r="CV82" i="7" s="1"/>
  <c r="HB82" i="7" s="1"/>
  <c r="CP111" i="7" l="1"/>
  <c r="CV110" i="7"/>
  <c r="CV83" i="7" s="1"/>
  <c r="ET93" i="7"/>
  <c r="DY123" i="7"/>
  <c r="DT94" i="7" a="1"/>
  <c r="DT94" i="7" s="1"/>
  <c r="ES131" i="7"/>
  <c r="FA91" i="7" a="1"/>
  <c r="FA91" i="7" s="1"/>
  <c r="BO123" i="7"/>
  <c r="BO95" i="7"/>
  <c r="CP95" i="7" s="1"/>
  <c r="BM40" i="7"/>
  <c r="CT40" i="7" s="1"/>
  <c r="BL40" i="7"/>
  <c r="BK40" i="7"/>
  <c r="BM39" i="7"/>
  <c r="CT39" i="7" s="1"/>
  <c r="BL39" i="7"/>
  <c r="BK39" i="7"/>
  <c r="BM38" i="7"/>
  <c r="CT38" i="7" s="1"/>
  <c r="BL38" i="7"/>
  <c r="BK38" i="7"/>
  <c r="BM37" i="7"/>
  <c r="CT37" i="7" s="1"/>
  <c r="BL37" i="7"/>
  <c r="BK37" i="7"/>
  <c r="BM36" i="7"/>
  <c r="CT36" i="7" s="1"/>
  <c r="BL36" i="7"/>
  <c r="BK36" i="7"/>
  <c r="BM35" i="7"/>
  <c r="CT35" i="7" s="1"/>
  <c r="BL35" i="7"/>
  <c r="BK35" i="7"/>
  <c r="BM34" i="7"/>
  <c r="CT34" i="7" s="1"/>
  <c r="BL34" i="7"/>
  <c r="BK34" i="7"/>
  <c r="BM33" i="7"/>
  <c r="CT33" i="7" s="1"/>
  <c r="BL33" i="7"/>
  <c r="BK33" i="7"/>
  <c r="BM32" i="7"/>
  <c r="CT32" i="7" s="1"/>
  <c r="BL32" i="7"/>
  <c r="BK32" i="7"/>
  <c r="BM31" i="7"/>
  <c r="CT31" i="7" s="1"/>
  <c r="BL31" i="7"/>
  <c r="BK31" i="7"/>
  <c r="BM30" i="7"/>
  <c r="CT30" i="7" s="1"/>
  <c r="BL30" i="7"/>
  <c r="BK30" i="7"/>
  <c r="BM29" i="7"/>
  <c r="CT29" i="7" s="1"/>
  <c r="BL29" i="7"/>
  <c r="BK29" i="7"/>
  <c r="BM28" i="7"/>
  <c r="CT28" i="7" s="1"/>
  <c r="BL28" i="7"/>
  <c r="BK28" i="7"/>
  <c r="BM27" i="7"/>
  <c r="CT27" i="7" s="1"/>
  <c r="BL27" i="7"/>
  <c r="BK27" i="7"/>
  <c r="BM26" i="7"/>
  <c r="CT26" i="7" s="1"/>
  <c r="BL26" i="7"/>
  <c r="BK26" i="7"/>
  <c r="BM25" i="7"/>
  <c r="CT25" i="7" s="1"/>
  <c r="BL25" i="7"/>
  <c r="BK25" i="7"/>
  <c r="BM24" i="7"/>
  <c r="CT24" i="7" s="1"/>
  <c r="BL24" i="7"/>
  <c r="BK24" i="7"/>
  <c r="BM23" i="7"/>
  <c r="CT23" i="7" s="1"/>
  <c r="BL23" i="7"/>
  <c r="BK23" i="7"/>
  <c r="BM22" i="7"/>
  <c r="CT22" i="7" s="1"/>
  <c r="BL22" i="7"/>
  <c r="BK22" i="7"/>
  <c r="BM21" i="7"/>
  <c r="CT21" i="7" s="1"/>
  <c r="BL21" i="7"/>
  <c r="BK21" i="7"/>
  <c r="BM20" i="7"/>
  <c r="CT20" i="7" s="1"/>
  <c r="BL20" i="7"/>
  <c r="BK20" i="7"/>
  <c r="BM19" i="7"/>
  <c r="CT19" i="7" s="1"/>
  <c r="BL19" i="7"/>
  <c r="BK19" i="7"/>
  <c r="BM18" i="7"/>
  <c r="CT18" i="7" s="1"/>
  <c r="BL18" i="7"/>
  <c r="BK18" i="7"/>
  <c r="BM17" i="7"/>
  <c r="CT17" i="7" s="1"/>
  <c r="BL17" i="7"/>
  <c r="BK17" i="7"/>
  <c r="BM16" i="7"/>
  <c r="CT16" i="7" s="1"/>
  <c r="BL16" i="7"/>
  <c r="BK16" i="7"/>
  <c r="BM15" i="7"/>
  <c r="CT15" i="7" s="1"/>
  <c r="BL15" i="7"/>
  <c r="BK15" i="7"/>
  <c r="BM14" i="7"/>
  <c r="CT14" i="7" s="1"/>
  <c r="BL14" i="7"/>
  <c r="BK14" i="7"/>
  <c r="BH15" i="7"/>
  <c r="BA15" i="7" s="1"/>
  <c r="FT15" i="7" s="1"/>
  <c r="BI15" i="7"/>
  <c r="BQ15" i="7" s="1"/>
  <c r="BJ15" i="7"/>
  <c r="BH16" i="7"/>
  <c r="BA16" i="7" s="1"/>
  <c r="FT16" i="7" s="1"/>
  <c r="BI16" i="7"/>
  <c r="BQ16" i="7" s="1"/>
  <c r="BJ16" i="7"/>
  <c r="BH17" i="7"/>
  <c r="BA17" i="7" s="1"/>
  <c r="FT17" i="7" s="1"/>
  <c r="BI17" i="7"/>
  <c r="BQ17" i="7" s="1"/>
  <c r="BJ17" i="7"/>
  <c r="BH18" i="7"/>
  <c r="BA18" i="7" s="1"/>
  <c r="FT18" i="7" s="1"/>
  <c r="BI18" i="7"/>
  <c r="BQ18" i="7" s="1"/>
  <c r="BJ18" i="7"/>
  <c r="BH19" i="7"/>
  <c r="BA19" i="7" s="1"/>
  <c r="FT19" i="7" s="1"/>
  <c r="BI19" i="7"/>
  <c r="BQ19" i="7" s="1"/>
  <c r="BJ19" i="7"/>
  <c r="BH20" i="7"/>
  <c r="BA20" i="7" s="1"/>
  <c r="FT20" i="7" s="1"/>
  <c r="BI20" i="7"/>
  <c r="BQ20" i="7" s="1"/>
  <c r="BJ20" i="7"/>
  <c r="BH21" i="7"/>
  <c r="BA21" i="7" s="1"/>
  <c r="FT21" i="7" s="1"/>
  <c r="BI21" i="7"/>
  <c r="BQ21" i="7" s="1"/>
  <c r="BJ21" i="7"/>
  <c r="BH22" i="7"/>
  <c r="BA22" i="7" s="1"/>
  <c r="FT22" i="7" s="1"/>
  <c r="BI22" i="7"/>
  <c r="BQ22" i="7" s="1"/>
  <c r="BJ22" i="7"/>
  <c r="BH23" i="7"/>
  <c r="BA23" i="7" s="1"/>
  <c r="FT23" i="7" s="1"/>
  <c r="BI23" i="7"/>
  <c r="BQ23" i="7" s="1"/>
  <c r="BJ23" i="7"/>
  <c r="BH24" i="7"/>
  <c r="BA24" i="7" s="1"/>
  <c r="FT24" i="7" s="1"/>
  <c r="BI24" i="7"/>
  <c r="BQ24" i="7" s="1"/>
  <c r="BJ24" i="7"/>
  <c r="BH25" i="7"/>
  <c r="BA25" i="7" s="1"/>
  <c r="FT25" i="7" s="1"/>
  <c r="BI25" i="7"/>
  <c r="BQ25" i="7" s="1"/>
  <c r="BJ25" i="7"/>
  <c r="BH26" i="7"/>
  <c r="BA26" i="7" s="1"/>
  <c r="FT26" i="7" s="1"/>
  <c r="BI26" i="7"/>
  <c r="BQ26" i="7" s="1"/>
  <c r="BJ26" i="7"/>
  <c r="BH27" i="7"/>
  <c r="BA27" i="7" s="1"/>
  <c r="FT27" i="7" s="1"/>
  <c r="BI27" i="7"/>
  <c r="BQ27" i="7" s="1"/>
  <c r="BJ27" i="7"/>
  <c r="BH28" i="7"/>
  <c r="BA28" i="7" s="1"/>
  <c r="FT28" i="7" s="1"/>
  <c r="BI28" i="7"/>
  <c r="BQ28" i="7" s="1"/>
  <c r="BJ28" i="7"/>
  <c r="BH29" i="7"/>
  <c r="BA29" i="7" s="1"/>
  <c r="FT29" i="7" s="1"/>
  <c r="BI29" i="7"/>
  <c r="BQ29" i="7" s="1"/>
  <c r="BJ29" i="7"/>
  <c r="BH30" i="7"/>
  <c r="BA30" i="7" s="1"/>
  <c r="FT30" i="7" s="1"/>
  <c r="BI30" i="7"/>
  <c r="BQ30" i="7" s="1"/>
  <c r="BJ30" i="7"/>
  <c r="BH31" i="7"/>
  <c r="BA31" i="7" s="1"/>
  <c r="FT31" i="7" s="1"/>
  <c r="BI31" i="7"/>
  <c r="BQ31" i="7" s="1"/>
  <c r="BJ31" i="7"/>
  <c r="BH32" i="7"/>
  <c r="BA32" i="7" s="1"/>
  <c r="FT32" i="7" s="1"/>
  <c r="BI32" i="7"/>
  <c r="BQ32" i="7" s="1"/>
  <c r="BJ32" i="7"/>
  <c r="BH33" i="7"/>
  <c r="BA33" i="7" s="1"/>
  <c r="FT33" i="7" s="1"/>
  <c r="BI33" i="7"/>
  <c r="BQ33" i="7" s="1"/>
  <c r="BJ33" i="7"/>
  <c r="BH34" i="7"/>
  <c r="BA34" i="7" s="1"/>
  <c r="FT34" i="7" s="1"/>
  <c r="BI34" i="7"/>
  <c r="BQ34" i="7" s="1"/>
  <c r="BJ34" i="7"/>
  <c r="BH35" i="7"/>
  <c r="BA35" i="7" s="1"/>
  <c r="FT35" i="7" s="1"/>
  <c r="BI35" i="7"/>
  <c r="BQ35" i="7" s="1"/>
  <c r="BJ35" i="7"/>
  <c r="BH36" i="7"/>
  <c r="BA36" i="7" s="1"/>
  <c r="FT36" i="7" s="1"/>
  <c r="BI36" i="7"/>
  <c r="BQ36" i="7" s="1"/>
  <c r="BJ36" i="7"/>
  <c r="BH37" i="7"/>
  <c r="BA37" i="7" s="1"/>
  <c r="FT37" i="7" s="1"/>
  <c r="BI37" i="7"/>
  <c r="BQ37" i="7" s="1"/>
  <c r="BJ37" i="7"/>
  <c r="BH38" i="7"/>
  <c r="BA38" i="7" s="1"/>
  <c r="FT38" i="7" s="1"/>
  <c r="BI38" i="7"/>
  <c r="BQ38" i="7" s="1"/>
  <c r="BJ38" i="7"/>
  <c r="BH39" i="7"/>
  <c r="BA39" i="7" s="1"/>
  <c r="FT39" i="7" s="1"/>
  <c r="BI39" i="7"/>
  <c r="BQ39" i="7" s="1"/>
  <c r="BJ39" i="7"/>
  <c r="BH40" i="7"/>
  <c r="BA40" i="7" s="1"/>
  <c r="FT40" i="7" s="1"/>
  <c r="BI40" i="7"/>
  <c r="BQ40" i="7" s="1"/>
  <c r="BJ40" i="7"/>
  <c r="BI14" i="7"/>
  <c r="BQ14" i="7" s="1"/>
  <c r="BJ14" i="7"/>
  <c r="BH14" i="7"/>
  <c r="BA14" i="7" s="1"/>
  <c r="FT14" i="7" s="1"/>
  <c r="BJ42" i="7"/>
  <c r="BJ43" i="7"/>
  <c r="BJ44" i="7"/>
  <c r="BJ45" i="7"/>
  <c r="BJ46" i="7"/>
  <c r="BJ47" i="7"/>
  <c r="BJ48" i="7"/>
  <c r="BJ49" i="7"/>
  <c r="BJ50" i="7"/>
  <c r="BJ51" i="7"/>
  <c r="BJ52" i="7"/>
  <c r="BJ53" i="7"/>
  <c r="BJ54" i="7"/>
  <c r="BJ55" i="7"/>
  <c r="BJ56" i="7"/>
  <c r="BJ57" i="7"/>
  <c r="BJ58" i="7"/>
  <c r="BJ59" i="7"/>
  <c r="BJ60" i="7"/>
  <c r="BJ61" i="7"/>
  <c r="BJ62" i="7"/>
  <c r="BJ63" i="7"/>
  <c r="BJ64" i="7"/>
  <c r="BJ65" i="7"/>
  <c r="BJ66" i="7"/>
  <c r="BJ67" i="7"/>
  <c r="BJ68" i="7"/>
  <c r="BJ69" i="7"/>
  <c r="BJ70" i="7"/>
  <c r="BJ71" i="7"/>
  <c r="BJ72" i="7"/>
  <c r="BJ73" i="7"/>
  <c r="BJ74" i="7"/>
  <c r="BJ75" i="7"/>
  <c r="BJ76" i="7"/>
  <c r="BJ77" i="7"/>
  <c r="BJ78" i="7"/>
  <c r="BJ79" i="7"/>
  <c r="BJ80" i="7"/>
  <c r="BJ81" i="7"/>
  <c r="BJ41" i="7"/>
  <c r="GC29" i="7" l="1"/>
  <c r="GC26" i="7"/>
  <c r="GC30" i="7"/>
  <c r="GC33" i="7"/>
  <c r="GC27" i="7"/>
  <c r="GC17" i="7"/>
  <c r="GC22" i="7"/>
  <c r="GC28" i="7"/>
  <c r="GC14" i="7"/>
  <c r="GC18" i="7"/>
  <c r="GC32" i="7"/>
  <c r="GC34" i="7"/>
  <c r="GC24" i="7"/>
  <c r="GC23" i="7"/>
  <c r="GC16" i="7"/>
  <c r="GC25" i="7"/>
  <c r="GC15" i="7"/>
  <c r="GC31" i="7"/>
  <c r="GC35" i="7"/>
  <c r="GC19" i="7"/>
  <c r="GC20" i="7"/>
  <c r="GC21" i="7"/>
  <c r="BO17" i="7"/>
  <c r="BS17" i="7" s="1"/>
  <c r="BW17" i="7" s="1"/>
  <c r="BY17" i="7" s="1"/>
  <c r="CB17" i="7" s="1"/>
  <c r="CD17" i="7" s="1"/>
  <c r="CF17" i="7" s="1"/>
  <c r="CH17" i="7" s="1"/>
  <c r="CJ17" i="7" s="1"/>
  <c r="CL17" i="7" s="1"/>
  <c r="CO17" i="7" s="1"/>
  <c r="AY17" i="7" s="1"/>
  <c r="FY17" i="7"/>
  <c r="BO33" i="7"/>
  <c r="CS33" i="7" s="1"/>
  <c r="CV33" i="7" s="1"/>
  <c r="HB33" i="7" s="1"/>
  <c r="FY33" i="7"/>
  <c r="BO28" i="7"/>
  <c r="CS28" i="7" s="1"/>
  <c r="FY28" i="7"/>
  <c r="BO18" i="7"/>
  <c r="CS18" i="7" s="1"/>
  <c r="CV18" i="7" s="1"/>
  <c r="HB18" i="7" s="1"/>
  <c r="FY18" i="7"/>
  <c r="BO24" i="7"/>
  <c r="FY24" i="7"/>
  <c r="BO40" i="7"/>
  <c r="FY40" i="7"/>
  <c r="BO19" i="7"/>
  <c r="BS19" i="7" s="1"/>
  <c r="BW19" i="7" s="1"/>
  <c r="BY19" i="7" s="1"/>
  <c r="CB19" i="7" s="1"/>
  <c r="CD19" i="7" s="1"/>
  <c r="CF19" i="7" s="1"/>
  <c r="CH19" i="7" s="1"/>
  <c r="CJ19" i="7" s="1"/>
  <c r="CL19" i="7" s="1"/>
  <c r="CO19" i="7" s="1"/>
  <c r="AY19" i="7" s="1"/>
  <c r="FY19" i="7"/>
  <c r="BO35" i="7"/>
  <c r="BS35" i="7" s="1"/>
  <c r="BU35" i="7" s="1"/>
  <c r="BV35" i="7" s="1"/>
  <c r="FY35" i="7"/>
  <c r="FY14" i="7"/>
  <c r="BO30" i="7"/>
  <c r="CS30" i="7" s="1"/>
  <c r="CV30" i="7" s="1"/>
  <c r="HB30" i="7" s="1"/>
  <c r="FY30" i="7"/>
  <c r="BO29" i="7"/>
  <c r="CS29" i="7" s="1"/>
  <c r="CV29" i="7" s="1"/>
  <c r="HB29" i="7" s="1"/>
  <c r="FY29" i="7"/>
  <c r="BO25" i="7"/>
  <c r="BS25" i="7" s="1"/>
  <c r="BW25" i="7" s="1"/>
  <c r="BY25" i="7" s="1"/>
  <c r="CB25" i="7" s="1"/>
  <c r="CD25" i="7" s="1"/>
  <c r="CF25" i="7" s="1"/>
  <c r="CH25" i="7" s="1"/>
  <c r="CJ25" i="7" s="1"/>
  <c r="CL25" i="7" s="1"/>
  <c r="CO25" i="7" s="1"/>
  <c r="AY25" i="7" s="1"/>
  <c r="FY25" i="7"/>
  <c r="BO39" i="7"/>
  <c r="BS39" i="7" s="1"/>
  <c r="BU39" i="7" s="1"/>
  <c r="BV39" i="7" s="1"/>
  <c r="FY39" i="7"/>
  <c r="BO20" i="7"/>
  <c r="BS20" i="7" s="1"/>
  <c r="BU20" i="7" s="1"/>
  <c r="BV20" i="7" s="1"/>
  <c r="FY20" i="7"/>
  <c r="BO36" i="7"/>
  <c r="CS36" i="7" s="1"/>
  <c r="CV36" i="7" s="1"/>
  <c r="HB36" i="7" s="1"/>
  <c r="FY36" i="7"/>
  <c r="BO23" i="7"/>
  <c r="BS23" i="7" s="1"/>
  <c r="BW23" i="7" s="1"/>
  <c r="BY23" i="7" s="1"/>
  <c r="CB23" i="7" s="1"/>
  <c r="CD23" i="7" s="1"/>
  <c r="CF23" i="7" s="1"/>
  <c r="CH23" i="7" s="1"/>
  <c r="CJ23" i="7" s="1"/>
  <c r="CL23" i="7" s="1"/>
  <c r="CO23" i="7" s="1"/>
  <c r="AY23" i="7" s="1"/>
  <c r="FY23" i="7"/>
  <c r="BO15" i="7"/>
  <c r="BS15" i="7" s="1"/>
  <c r="BU15" i="7" s="1"/>
  <c r="BV15" i="7" s="1"/>
  <c r="FY15" i="7"/>
  <c r="BO31" i="7"/>
  <c r="BS31" i="7" s="1"/>
  <c r="BW31" i="7" s="1"/>
  <c r="BY31" i="7" s="1"/>
  <c r="CB31" i="7" s="1"/>
  <c r="CD31" i="7" s="1"/>
  <c r="CF31" i="7" s="1"/>
  <c r="CH31" i="7" s="1"/>
  <c r="CJ31" i="7" s="1"/>
  <c r="CL31" i="7" s="1"/>
  <c r="CO31" i="7" s="1"/>
  <c r="AY31" i="7" s="1"/>
  <c r="FY31" i="7"/>
  <c r="BO34" i="7"/>
  <c r="CS34" i="7" s="1"/>
  <c r="CV34" i="7" s="1"/>
  <c r="HB34" i="7" s="1"/>
  <c r="FY34" i="7"/>
  <c r="BO26" i="7"/>
  <c r="BS26" i="7" s="1"/>
  <c r="BW26" i="7" s="1"/>
  <c r="BY26" i="7" s="1"/>
  <c r="CB26" i="7" s="1"/>
  <c r="CD26" i="7" s="1"/>
  <c r="CF26" i="7" s="1"/>
  <c r="CH26" i="7" s="1"/>
  <c r="CJ26" i="7" s="1"/>
  <c r="CL26" i="7" s="1"/>
  <c r="CO26" i="7" s="1"/>
  <c r="AY26" i="7" s="1"/>
  <c r="FY26" i="7"/>
  <c r="BO21" i="7"/>
  <c r="BS21" i="7" s="1"/>
  <c r="BU21" i="7" s="1"/>
  <c r="BV21" i="7" s="1"/>
  <c r="FY21" i="7"/>
  <c r="BO37" i="7"/>
  <c r="BS37" i="7" s="1"/>
  <c r="BU37" i="7" s="1"/>
  <c r="BV37" i="7" s="1"/>
  <c r="FY37" i="7"/>
  <c r="BO27" i="7"/>
  <c r="BS27" i="7" s="1"/>
  <c r="BW27" i="7" s="1"/>
  <c r="BY27" i="7" s="1"/>
  <c r="CB27" i="7" s="1"/>
  <c r="CD27" i="7" s="1"/>
  <c r="CF27" i="7" s="1"/>
  <c r="CH27" i="7" s="1"/>
  <c r="CJ27" i="7" s="1"/>
  <c r="CL27" i="7" s="1"/>
  <c r="CO27" i="7" s="1"/>
  <c r="AY27" i="7" s="1"/>
  <c r="FY27" i="7"/>
  <c r="BO16" i="7"/>
  <c r="BS16" i="7" s="1"/>
  <c r="BW16" i="7" s="1"/>
  <c r="BY16" i="7" s="1"/>
  <c r="CB16" i="7" s="1"/>
  <c r="CD16" i="7" s="1"/>
  <c r="CF16" i="7" s="1"/>
  <c r="CH16" i="7" s="1"/>
  <c r="CJ16" i="7" s="1"/>
  <c r="CL16" i="7" s="1"/>
  <c r="CO16" i="7" s="1"/>
  <c r="AY16" i="7" s="1"/>
  <c r="FY16" i="7"/>
  <c r="BO32" i="7"/>
  <c r="CS32" i="7" s="1"/>
  <c r="CV32" i="7" s="1"/>
  <c r="HB32" i="7" s="1"/>
  <c r="FY32" i="7"/>
  <c r="BO22" i="7"/>
  <c r="BS22" i="7" s="1"/>
  <c r="BW22" i="7" s="1"/>
  <c r="BY22" i="7" s="1"/>
  <c r="CB22" i="7" s="1"/>
  <c r="CD22" i="7" s="1"/>
  <c r="CF22" i="7" s="1"/>
  <c r="CH22" i="7" s="1"/>
  <c r="CJ22" i="7" s="1"/>
  <c r="CL22" i="7" s="1"/>
  <c r="CO22" i="7" s="1"/>
  <c r="AY22" i="7" s="1"/>
  <c r="FY22" i="7"/>
  <c r="BO38" i="7"/>
  <c r="BS38" i="7" s="1"/>
  <c r="BW38" i="7" s="1"/>
  <c r="BY38" i="7" s="1"/>
  <c r="CB38" i="7" s="1"/>
  <c r="CD38" i="7" s="1"/>
  <c r="CF38" i="7" s="1"/>
  <c r="CH38" i="7" s="1"/>
  <c r="CJ38" i="7" s="1"/>
  <c r="CL38" i="7" s="1"/>
  <c r="CO38" i="7" s="1"/>
  <c r="AY38" i="7" s="1"/>
  <c r="FY38" i="7"/>
  <c r="FU32" i="7"/>
  <c r="FU26" i="7"/>
  <c r="FU38" i="7"/>
  <c r="FU37" i="7"/>
  <c r="FU14" i="7"/>
  <c r="FU20" i="7"/>
  <c r="FU30" i="7"/>
  <c r="FU16" i="7"/>
  <c r="FU25" i="7"/>
  <c r="FU40" i="7"/>
  <c r="FU22" i="7"/>
  <c r="FU36" i="7"/>
  <c r="FU29" i="7"/>
  <c r="FU27" i="7"/>
  <c r="FU35" i="7"/>
  <c r="FU34" i="7"/>
  <c r="FU18" i="7"/>
  <c r="FU15" i="7"/>
  <c r="FU19" i="7"/>
  <c r="FU24" i="7"/>
  <c r="FU39" i="7"/>
  <c r="FU23" i="7"/>
  <c r="FU31" i="7"/>
  <c r="FU28" i="7"/>
  <c r="FU21" i="7"/>
  <c r="FU33" i="7"/>
  <c r="FU17" i="7"/>
  <c r="FW17" i="7" s="1"/>
  <c r="BO124" i="7"/>
  <c r="BO96" i="7"/>
  <c r="CP96" i="7" s="1"/>
  <c r="ES132" i="7"/>
  <c r="FA92" i="7" a="1"/>
  <c r="FA92" i="7" s="1"/>
  <c r="ET94" i="7"/>
  <c r="DY124" i="7"/>
  <c r="DT95" i="7" a="1"/>
  <c r="DT95" i="7" s="1"/>
  <c r="CP112" i="7"/>
  <c r="CV111" i="7"/>
  <c r="CV84" i="7" s="1"/>
  <c r="BS40" i="7"/>
  <c r="BW40" i="7" s="1"/>
  <c r="BY40" i="7" s="1"/>
  <c r="CB40" i="7" s="1"/>
  <c r="CD40" i="7" s="1"/>
  <c r="CF40" i="7" s="1"/>
  <c r="CH40" i="7" s="1"/>
  <c r="CJ40" i="7" s="1"/>
  <c r="CL40" i="7" s="1"/>
  <c r="CO40" i="7" s="1"/>
  <c r="AY40" i="7" s="1"/>
  <c r="CS40" i="7"/>
  <c r="CV40" i="7" s="1"/>
  <c r="HB40" i="7" s="1"/>
  <c r="BS24" i="7"/>
  <c r="BW24" i="7" s="1"/>
  <c r="BY24" i="7" s="1"/>
  <c r="CB24" i="7" s="1"/>
  <c r="CD24" i="7" s="1"/>
  <c r="CF24" i="7" s="1"/>
  <c r="CH24" i="7" s="1"/>
  <c r="CJ24" i="7" s="1"/>
  <c r="CL24" i="7" s="1"/>
  <c r="CO24" i="7" s="1"/>
  <c r="AY24" i="7" s="1"/>
  <c r="CS24" i="7"/>
  <c r="CV24" i="7" s="1"/>
  <c r="HB24" i="7" s="1"/>
  <c r="BS14" i="7"/>
  <c r="BU14" i="7" s="1"/>
  <c r="BV14" i="7" s="1"/>
  <c r="CS14" i="7"/>
  <c r="CV14" i="7" s="1"/>
  <c r="HB14" i="7" s="1"/>
  <c r="BS30" i="7"/>
  <c r="BW30" i="7" s="1"/>
  <c r="BY30" i="7" s="1"/>
  <c r="CB30" i="7" s="1"/>
  <c r="CD30" i="7" s="1"/>
  <c r="CF30" i="7" s="1"/>
  <c r="CH30" i="7" s="1"/>
  <c r="CJ30" i="7" s="1"/>
  <c r="CL30" i="7" s="1"/>
  <c r="CO30" i="7" s="1"/>
  <c r="AY30" i="7" s="1"/>
  <c r="BP41" i="7"/>
  <c r="BQ41" i="7" s="1"/>
  <c r="AP11" i="7"/>
  <c r="X15" i="7"/>
  <c r="AH15" i="7" s="1"/>
  <c r="X16" i="7"/>
  <c r="AH16" i="7" s="1"/>
  <c r="X17" i="7"/>
  <c r="AH17" i="7" s="1"/>
  <c r="X18" i="7"/>
  <c r="AH18" i="7" s="1"/>
  <c r="X19" i="7"/>
  <c r="AH19" i="7" s="1"/>
  <c r="X20" i="7"/>
  <c r="AH20" i="7" s="1"/>
  <c r="X21" i="7"/>
  <c r="AH21" i="7" s="1"/>
  <c r="X22" i="7"/>
  <c r="AH22" i="7" s="1"/>
  <c r="X23" i="7"/>
  <c r="AH23" i="7" s="1"/>
  <c r="X24" i="7"/>
  <c r="AH24" i="7" s="1"/>
  <c r="X25" i="7"/>
  <c r="AH25" i="7" s="1"/>
  <c r="X26" i="7"/>
  <c r="AH26" i="7" s="1"/>
  <c r="X27" i="7"/>
  <c r="AH27" i="7" s="1"/>
  <c r="X28" i="7"/>
  <c r="AH28" i="7" s="1"/>
  <c r="X29" i="7"/>
  <c r="AH29" i="7" s="1"/>
  <c r="X30" i="7"/>
  <c r="AH30" i="7" s="1"/>
  <c r="X31" i="7"/>
  <c r="AH31" i="7" s="1"/>
  <c r="X32" i="7"/>
  <c r="AH32" i="7" s="1"/>
  <c r="X33" i="7"/>
  <c r="AH33" i="7" s="1"/>
  <c r="X34" i="7"/>
  <c r="AH34" i="7" s="1"/>
  <c r="X35" i="7"/>
  <c r="AH35" i="7" s="1"/>
  <c r="X36" i="7"/>
  <c r="AH36" i="7" s="1"/>
  <c r="X37" i="7"/>
  <c r="AH37" i="7" s="1"/>
  <c r="X38" i="7"/>
  <c r="AH38" i="7" s="1"/>
  <c r="X39" i="7"/>
  <c r="AH39" i="7" s="1"/>
  <c r="X40" i="7"/>
  <c r="AH40" i="7" s="1"/>
  <c r="X41" i="7"/>
  <c r="AH41" i="7" s="1"/>
  <c r="X42" i="7"/>
  <c r="AH42" i="7" s="1"/>
  <c r="X43" i="7"/>
  <c r="AH43" i="7" s="1"/>
  <c r="X44" i="7"/>
  <c r="AH44" i="7" s="1"/>
  <c r="X45" i="7"/>
  <c r="AH45" i="7" s="1"/>
  <c r="X46" i="7"/>
  <c r="AH46" i="7" s="1"/>
  <c r="X47" i="7"/>
  <c r="AH47" i="7" s="1"/>
  <c r="X48" i="7"/>
  <c r="AH48" i="7" s="1"/>
  <c r="X49" i="7"/>
  <c r="AH49" i="7" s="1"/>
  <c r="X50" i="7"/>
  <c r="AH50" i="7" s="1"/>
  <c r="X51" i="7"/>
  <c r="AH51" i="7" s="1"/>
  <c r="X52" i="7"/>
  <c r="AH52" i="7" s="1"/>
  <c r="X53" i="7"/>
  <c r="AH53" i="7" s="1"/>
  <c r="X54" i="7"/>
  <c r="AH54" i="7" s="1"/>
  <c r="X55" i="7"/>
  <c r="AH55" i="7" s="1"/>
  <c r="X56" i="7"/>
  <c r="AH56" i="7" s="1"/>
  <c r="X57" i="7"/>
  <c r="AH57" i="7" s="1"/>
  <c r="X58" i="7"/>
  <c r="AH58" i="7" s="1"/>
  <c r="X59" i="7"/>
  <c r="AH59" i="7" s="1"/>
  <c r="X60" i="7"/>
  <c r="AH60" i="7" s="1"/>
  <c r="X61" i="7"/>
  <c r="AH61" i="7" s="1"/>
  <c r="X62" i="7"/>
  <c r="AH62" i="7" s="1"/>
  <c r="X63" i="7"/>
  <c r="AH63" i="7" s="1"/>
  <c r="X64" i="7"/>
  <c r="AH64" i="7" s="1"/>
  <c r="X65" i="7"/>
  <c r="AH65" i="7" s="1"/>
  <c r="X66" i="7"/>
  <c r="AH66" i="7" s="1"/>
  <c r="X67" i="7"/>
  <c r="AH67" i="7" s="1"/>
  <c r="X68" i="7"/>
  <c r="AH68" i="7" s="1"/>
  <c r="X69" i="7"/>
  <c r="AH69" i="7" s="1"/>
  <c r="X70" i="7"/>
  <c r="AH70" i="7" s="1"/>
  <c r="X71" i="7"/>
  <c r="AH71" i="7" s="1"/>
  <c r="X72" i="7"/>
  <c r="AH72" i="7" s="1"/>
  <c r="X73" i="7"/>
  <c r="AH73" i="7" s="1"/>
  <c r="X74" i="7"/>
  <c r="AH74" i="7" s="1"/>
  <c r="X75" i="7"/>
  <c r="AH75" i="7" s="1"/>
  <c r="X76" i="7"/>
  <c r="AH76" i="7" s="1"/>
  <c r="X77" i="7"/>
  <c r="AH77" i="7" s="1"/>
  <c r="X78" i="7"/>
  <c r="AH78" i="7" s="1"/>
  <c r="X79" i="7"/>
  <c r="AH79" i="7" s="1"/>
  <c r="X80" i="7"/>
  <c r="AH80" i="7" s="1"/>
  <c r="AT109" i="7" s="1"/>
  <c r="CZ109" i="7" s="1"/>
  <c r="X81" i="7"/>
  <c r="AH81" i="7" s="1"/>
  <c r="AT110" i="7" s="1"/>
  <c r="CZ110" i="7" s="1"/>
  <c r="X82" i="7"/>
  <c r="AH82" i="7" s="1"/>
  <c r="AT111" i="7" s="1"/>
  <c r="CZ111" i="7" s="1"/>
  <c r="X83" i="7"/>
  <c r="AH83" i="7" s="1"/>
  <c r="AT112" i="7" s="1"/>
  <c r="CZ112" i="7" s="1"/>
  <c r="X84" i="7"/>
  <c r="AH84" i="7" s="1"/>
  <c r="AT113" i="7" s="1"/>
  <c r="CZ113" i="7" s="1"/>
  <c r="X85" i="7"/>
  <c r="AH85" i="7" s="1"/>
  <c r="AT114" i="7" s="1"/>
  <c r="CZ114" i="7" s="1"/>
  <c r="X86" i="7"/>
  <c r="AH86" i="7" s="1"/>
  <c r="AT115" i="7" s="1"/>
  <c r="CZ115" i="7" s="1"/>
  <c r="X87" i="7"/>
  <c r="AH87" i="7" s="1"/>
  <c r="AT116" i="7" s="1"/>
  <c r="CZ116" i="7" s="1"/>
  <c r="X88" i="7"/>
  <c r="AH88" i="7" s="1"/>
  <c r="AT117" i="7" s="1"/>
  <c r="CZ117" i="7" s="1"/>
  <c r="X14" i="7"/>
  <c r="AH14" i="7" s="1"/>
  <c r="AE81" i="7"/>
  <c r="AE82" i="7"/>
  <c r="AE83" i="7"/>
  <c r="AE84" i="7"/>
  <c r="AE85" i="7"/>
  <c r="AE86" i="7"/>
  <c r="AE89" i="7"/>
  <c r="AE90" i="7"/>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8" i="9"/>
  <c r="GF33" i="7" l="1"/>
  <c r="CV28" i="7"/>
  <c r="HB28" i="7" s="1"/>
  <c r="GF18" i="7"/>
  <c r="GH18" i="7" s="1"/>
  <c r="GF20" i="7"/>
  <c r="GF29" i="7"/>
  <c r="GJ29" i="7" s="1"/>
  <c r="GK29" i="7" s="1"/>
  <c r="GF22" i="7"/>
  <c r="GH22" i="7" s="1"/>
  <c r="GF32" i="7"/>
  <c r="GJ32" i="7" s="1"/>
  <c r="GK32" i="7" s="1"/>
  <c r="BS29" i="7"/>
  <c r="BW29" i="7" s="1"/>
  <c r="BY29" i="7" s="1"/>
  <c r="CB29" i="7" s="1"/>
  <c r="CD29" i="7" s="1"/>
  <c r="CF29" i="7" s="1"/>
  <c r="CH29" i="7" s="1"/>
  <c r="CJ29" i="7" s="1"/>
  <c r="CL29" i="7" s="1"/>
  <c r="CO29" i="7" s="1"/>
  <c r="AY29" i="7" s="1"/>
  <c r="GF34" i="7"/>
  <c r="GH34" i="7" s="1"/>
  <c r="GF19" i="7"/>
  <c r="GF24" i="7"/>
  <c r="GJ24" i="7" s="1"/>
  <c r="GK24" i="7" s="1"/>
  <c r="FW32" i="7"/>
  <c r="FZ32" i="7" s="1"/>
  <c r="GA32" i="7" s="1"/>
  <c r="GF16" i="7"/>
  <c r="GJ16" i="7" s="1"/>
  <c r="GK16" i="7" s="1"/>
  <c r="CS39" i="7"/>
  <c r="CV39" i="7" s="1"/>
  <c r="HB39" i="7" s="1"/>
  <c r="GH20" i="7"/>
  <c r="GJ20" i="7"/>
  <c r="GK20" i="7" s="1"/>
  <c r="GH24" i="7"/>
  <c r="FW31" i="7"/>
  <c r="FX31" i="7" s="1"/>
  <c r="GF25" i="7"/>
  <c r="GF35" i="7"/>
  <c r="GF14" i="7"/>
  <c r="GF21" i="7"/>
  <c r="BS34" i="7"/>
  <c r="BW34" i="7" s="1"/>
  <c r="BY34" i="7" s="1"/>
  <c r="CB34" i="7" s="1"/>
  <c r="CD34" i="7" s="1"/>
  <c r="CF34" i="7" s="1"/>
  <c r="CH34" i="7" s="1"/>
  <c r="CJ34" i="7" s="1"/>
  <c r="CL34" i="7" s="1"/>
  <c r="CO34" i="7" s="1"/>
  <c r="AY34" i="7" s="1"/>
  <c r="CS16" i="7"/>
  <c r="CV16" i="7" s="1"/>
  <c r="HB16" i="7" s="1"/>
  <c r="GF28" i="7"/>
  <c r="GF31" i="7"/>
  <c r="GF23" i="7"/>
  <c r="CS15" i="7"/>
  <c r="CV15" i="7" s="1"/>
  <c r="HB15" i="7" s="1"/>
  <c r="GF17" i="7"/>
  <c r="GF15" i="7"/>
  <c r="CS26" i="7"/>
  <c r="CV26" i="7" s="1"/>
  <c r="HB26" i="7" s="1"/>
  <c r="CS20" i="7"/>
  <c r="CV20" i="7" s="1"/>
  <c r="HB20" i="7" s="1"/>
  <c r="GF27" i="7"/>
  <c r="GH19" i="7"/>
  <c r="GJ19" i="7"/>
  <c r="GK19" i="7" s="1"/>
  <c r="GH16" i="7"/>
  <c r="FW30" i="7"/>
  <c r="FX30" i="7" s="1"/>
  <c r="GH33" i="7"/>
  <c r="GJ33" i="7"/>
  <c r="GK33" i="7" s="1"/>
  <c r="BS18" i="7"/>
  <c r="BW18" i="7" s="1"/>
  <c r="BY18" i="7" s="1"/>
  <c r="CB18" i="7" s="1"/>
  <c r="CD18" i="7" s="1"/>
  <c r="CF18" i="7" s="1"/>
  <c r="CH18" i="7" s="1"/>
  <c r="CJ18" i="7" s="1"/>
  <c r="CL18" i="7" s="1"/>
  <c r="CO18" i="7" s="1"/>
  <c r="AY18" i="7" s="1"/>
  <c r="CS25" i="7"/>
  <c r="CV25" i="7" s="1"/>
  <c r="HB25" i="7" s="1"/>
  <c r="BS28" i="7"/>
  <c r="BU28" i="7" s="1"/>
  <c r="BV28" i="7" s="1"/>
  <c r="GF30" i="7"/>
  <c r="GF26" i="7"/>
  <c r="BS33" i="7"/>
  <c r="BW33" i="7" s="1"/>
  <c r="BY33" i="7" s="1"/>
  <c r="CB33" i="7" s="1"/>
  <c r="CD33" i="7" s="1"/>
  <c r="CF33" i="7" s="1"/>
  <c r="CH33" i="7" s="1"/>
  <c r="CJ33" i="7" s="1"/>
  <c r="CL33" i="7" s="1"/>
  <c r="CO33" i="7" s="1"/>
  <c r="AY33" i="7" s="1"/>
  <c r="BS32" i="7"/>
  <c r="BW32" i="7" s="1"/>
  <c r="BY32" i="7" s="1"/>
  <c r="CB32" i="7" s="1"/>
  <c r="CD32" i="7" s="1"/>
  <c r="CF32" i="7" s="1"/>
  <c r="CH32" i="7" s="1"/>
  <c r="CJ32" i="7" s="1"/>
  <c r="CL32" i="7" s="1"/>
  <c r="CO32" i="7" s="1"/>
  <c r="AY32" i="7" s="1"/>
  <c r="FW25" i="7"/>
  <c r="FX25" i="7" s="1"/>
  <c r="CS17" i="7"/>
  <c r="CV17" i="7" s="1"/>
  <c r="HB17" i="7" s="1"/>
  <c r="CS38" i="7"/>
  <c r="CV38" i="7" s="1"/>
  <c r="HB38" i="7" s="1"/>
  <c r="FW36" i="7"/>
  <c r="FX36" i="7" s="1"/>
  <c r="CS23" i="7"/>
  <c r="CV23" i="7" s="1"/>
  <c r="HB23" i="7" s="1"/>
  <c r="FW26" i="7"/>
  <c r="FZ26" i="7" s="1"/>
  <c r="GA26" i="7" s="1"/>
  <c r="FW33" i="7"/>
  <c r="FZ33" i="7" s="1"/>
  <c r="GA33" i="7" s="1"/>
  <c r="FW15" i="7"/>
  <c r="FX15" i="7" s="1"/>
  <c r="FW40" i="7"/>
  <c r="FX40" i="7" s="1"/>
  <c r="CS37" i="7"/>
  <c r="CV37" i="7" s="1"/>
  <c r="HB37" i="7" s="1"/>
  <c r="CS35" i="7"/>
  <c r="CV35" i="7" s="1"/>
  <c r="HB35" i="7" s="1"/>
  <c r="FW28" i="7"/>
  <c r="FX28" i="7" s="1"/>
  <c r="FW16" i="7"/>
  <c r="FX16" i="7" s="1"/>
  <c r="FW23" i="7"/>
  <c r="FX23" i="7" s="1"/>
  <c r="FW27" i="7"/>
  <c r="FX27" i="7" s="1"/>
  <c r="BS36" i="7"/>
  <c r="BU36" i="7" s="1"/>
  <c r="BV36" i="7" s="1"/>
  <c r="CS22" i="7"/>
  <c r="CV22" i="7" s="1"/>
  <c r="HB22" i="7" s="1"/>
  <c r="FX17" i="7"/>
  <c r="FZ17" i="7"/>
  <c r="GA17" i="7" s="1"/>
  <c r="CS19" i="7"/>
  <c r="CV19" i="7" s="1"/>
  <c r="HB19" i="7" s="1"/>
  <c r="CS21" i="7"/>
  <c r="CV21" i="7" s="1"/>
  <c r="HB21" i="7" s="1"/>
  <c r="CS27" i="7"/>
  <c r="CV27" i="7" s="1"/>
  <c r="HB27" i="7" s="1"/>
  <c r="CS31" i="7"/>
  <c r="CV31" i="7" s="1"/>
  <c r="HB31" i="7" s="1"/>
  <c r="FW34" i="7"/>
  <c r="FW35" i="7"/>
  <c r="FW20" i="7"/>
  <c r="FW39" i="7"/>
  <c r="FW29" i="7"/>
  <c r="FW14" i="7"/>
  <c r="FW24" i="7"/>
  <c r="FW37" i="7"/>
  <c r="FW19" i="7"/>
  <c r="FW22" i="7"/>
  <c r="FW38" i="7"/>
  <c r="FW21" i="7"/>
  <c r="FW18" i="7"/>
  <c r="CP113" i="7"/>
  <c r="CV112" i="7"/>
  <c r="CV85" i="7" s="1"/>
  <c r="ET95" i="7"/>
  <c r="DY125" i="7"/>
  <c r="DT96" i="7" a="1"/>
  <c r="DT96" i="7" s="1"/>
  <c r="ES133" i="7"/>
  <c r="FA93" i="7" a="1"/>
  <c r="FA93" i="7" s="1"/>
  <c r="BO125" i="7"/>
  <c r="BO97" i="7"/>
  <c r="CP97" i="7" s="1"/>
  <c r="BU24" i="7"/>
  <c r="BV24" i="7" s="1"/>
  <c r="BU23" i="7"/>
  <c r="BV23" i="7" s="1"/>
  <c r="BU17" i="7"/>
  <c r="BV17" i="7" s="1"/>
  <c r="BW39" i="7"/>
  <c r="BY39" i="7" s="1"/>
  <c r="CB39" i="7" s="1"/>
  <c r="CD39" i="7" s="1"/>
  <c r="CF39" i="7" s="1"/>
  <c r="CH39" i="7" s="1"/>
  <c r="CJ39" i="7" s="1"/>
  <c r="CL39" i="7" s="1"/>
  <c r="CO39" i="7" s="1"/>
  <c r="AY39" i="7" s="1"/>
  <c r="BW20" i="7"/>
  <c r="BY20" i="7" s="1"/>
  <c r="CB20" i="7" s="1"/>
  <c r="CD20" i="7" s="1"/>
  <c r="CF20" i="7" s="1"/>
  <c r="CH20" i="7" s="1"/>
  <c r="CJ20" i="7" s="1"/>
  <c r="CL20" i="7" s="1"/>
  <c r="CO20" i="7" s="1"/>
  <c r="AY20" i="7" s="1"/>
  <c r="BU22" i="7"/>
  <c r="BV22" i="7" s="1"/>
  <c r="BU25" i="7"/>
  <c r="BV25" i="7" s="1"/>
  <c r="BW15" i="7"/>
  <c r="BY15" i="7" s="1"/>
  <c r="CB15" i="7" s="1"/>
  <c r="CD15" i="7" s="1"/>
  <c r="CF15" i="7" s="1"/>
  <c r="CH15" i="7" s="1"/>
  <c r="CJ15" i="7" s="1"/>
  <c r="CL15" i="7" s="1"/>
  <c r="CO15" i="7" s="1"/>
  <c r="AY15" i="7" s="1"/>
  <c r="BU27" i="7"/>
  <c r="BV27" i="7" s="1"/>
  <c r="BW37" i="7"/>
  <c r="BY37" i="7" s="1"/>
  <c r="CB37" i="7" s="1"/>
  <c r="CD37" i="7" s="1"/>
  <c r="CF37" i="7" s="1"/>
  <c r="CH37" i="7" s="1"/>
  <c r="CJ37" i="7" s="1"/>
  <c r="CL37" i="7" s="1"/>
  <c r="CO37" i="7" s="1"/>
  <c r="AY37" i="7" s="1"/>
  <c r="BU31" i="7"/>
  <c r="BV31" i="7" s="1"/>
  <c r="BU30" i="7"/>
  <c r="BV30" i="7" s="1"/>
  <c r="BW35" i="7"/>
  <c r="BY35" i="7" s="1"/>
  <c r="CB35" i="7" s="1"/>
  <c r="CD35" i="7" s="1"/>
  <c r="CF35" i="7" s="1"/>
  <c r="CH35" i="7" s="1"/>
  <c r="CJ35" i="7" s="1"/>
  <c r="CL35" i="7" s="1"/>
  <c r="CO35" i="7" s="1"/>
  <c r="AY35" i="7" s="1"/>
  <c r="BU19" i="7"/>
  <c r="BV19" i="7" s="1"/>
  <c r="BU40" i="7"/>
  <c r="BV40" i="7" s="1"/>
  <c r="BW14" i="7"/>
  <c r="BY14" i="7" s="1"/>
  <c r="CB14" i="7" s="1"/>
  <c r="CD14" i="7" s="1"/>
  <c r="CF14" i="7" s="1"/>
  <c r="CH14" i="7" s="1"/>
  <c r="CJ14" i="7" s="1"/>
  <c r="CL14" i="7" s="1"/>
  <c r="CO14" i="7" s="1"/>
  <c r="AY14" i="7" s="1"/>
  <c r="BW21" i="7"/>
  <c r="BY21" i="7" s="1"/>
  <c r="CB21" i="7" s="1"/>
  <c r="CD21" i="7" s="1"/>
  <c r="CF21" i="7" s="1"/>
  <c r="CH21" i="7" s="1"/>
  <c r="CJ21" i="7" s="1"/>
  <c r="CL21" i="7" s="1"/>
  <c r="CO21" i="7" s="1"/>
  <c r="AY21" i="7" s="1"/>
  <c r="BU26" i="7"/>
  <c r="BV26" i="7" s="1"/>
  <c r="BU16" i="7"/>
  <c r="BV16" i="7" s="1"/>
  <c r="BU38" i="7"/>
  <c r="BV38" i="7" s="1"/>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14" i="7"/>
  <c r="O83" i="7"/>
  <c r="P83" i="7"/>
  <c r="Q83" i="7"/>
  <c r="U83" i="7" s="1"/>
  <c r="R83" i="7"/>
  <c r="V83" i="7" s="1"/>
  <c r="S83" i="7"/>
  <c r="W83" i="7" s="1"/>
  <c r="O84" i="7"/>
  <c r="P84" i="7"/>
  <c r="Q84" i="7"/>
  <c r="R84" i="7"/>
  <c r="V84" i="7" s="1"/>
  <c r="S84" i="7"/>
  <c r="W84" i="7" s="1"/>
  <c r="O85" i="7"/>
  <c r="P85" i="7"/>
  <c r="Q85" i="7"/>
  <c r="R85" i="7"/>
  <c r="S85" i="7"/>
  <c r="W85" i="7" s="1"/>
  <c r="O86" i="7"/>
  <c r="P86" i="7"/>
  <c r="Q86" i="7"/>
  <c r="R86" i="7"/>
  <c r="S86" i="7"/>
  <c r="W86" i="7" s="1"/>
  <c r="O87" i="7"/>
  <c r="P87" i="7"/>
  <c r="T87" i="7" s="1"/>
  <c r="Q87" i="7"/>
  <c r="U87" i="7" s="1"/>
  <c r="R87" i="7"/>
  <c r="V87" i="7" s="1"/>
  <c r="S87" i="7"/>
  <c r="W87" i="7" s="1"/>
  <c r="O88" i="7"/>
  <c r="P88" i="7"/>
  <c r="Q88" i="7"/>
  <c r="R88" i="7"/>
  <c r="S88" i="7"/>
  <c r="P80" i="7"/>
  <c r="T80" i="7" s="1"/>
  <c r="Q80" i="7"/>
  <c r="U80" i="7" s="1"/>
  <c r="R80" i="7"/>
  <c r="V80" i="7" s="1"/>
  <c r="S80" i="7"/>
  <c r="W80" i="7" s="1"/>
  <c r="P81" i="7"/>
  <c r="T81" i="7" s="1"/>
  <c r="Q81" i="7"/>
  <c r="U81" i="7" s="1"/>
  <c r="R81" i="7"/>
  <c r="V81" i="7" s="1"/>
  <c r="S81" i="7"/>
  <c r="W81" i="7" s="1"/>
  <c r="P82" i="7"/>
  <c r="T82" i="7" s="1"/>
  <c r="Q82" i="7"/>
  <c r="U82" i="7" s="1"/>
  <c r="R82" i="7"/>
  <c r="V82" i="7" s="1"/>
  <c r="S82" i="7"/>
  <c r="W82" i="7" s="1"/>
  <c r="O80" i="7"/>
  <c r="O81" i="7"/>
  <c r="O82" i="7"/>
  <c r="P67" i="7"/>
  <c r="Q67" i="7"/>
  <c r="R67" i="7"/>
  <c r="S67" i="7"/>
  <c r="P68" i="7"/>
  <c r="Q68" i="7"/>
  <c r="R68" i="7"/>
  <c r="S68" i="7"/>
  <c r="P69" i="7"/>
  <c r="Q69" i="7"/>
  <c r="R69" i="7"/>
  <c r="S69" i="7"/>
  <c r="P70" i="7"/>
  <c r="Q70" i="7"/>
  <c r="R70" i="7"/>
  <c r="S70" i="7"/>
  <c r="P71" i="7"/>
  <c r="Q71" i="7"/>
  <c r="R71" i="7"/>
  <c r="S71" i="7"/>
  <c r="P72" i="7"/>
  <c r="Q72" i="7"/>
  <c r="R72" i="7"/>
  <c r="S72" i="7"/>
  <c r="P73" i="7"/>
  <c r="Q73" i="7"/>
  <c r="R73" i="7"/>
  <c r="S73" i="7"/>
  <c r="P74" i="7"/>
  <c r="Q74" i="7"/>
  <c r="R74" i="7"/>
  <c r="S74" i="7"/>
  <c r="P75" i="7"/>
  <c r="Q75" i="7"/>
  <c r="R75" i="7"/>
  <c r="S75" i="7"/>
  <c r="P76" i="7"/>
  <c r="Q76" i="7"/>
  <c r="R76" i="7"/>
  <c r="S76" i="7"/>
  <c r="P77" i="7"/>
  <c r="Q77" i="7"/>
  <c r="R77" i="7"/>
  <c r="S77" i="7"/>
  <c r="P78" i="7"/>
  <c r="Q78" i="7"/>
  <c r="R78" i="7"/>
  <c r="S78" i="7"/>
  <c r="P79" i="7"/>
  <c r="Q79" i="7"/>
  <c r="R79" i="7"/>
  <c r="S79" i="7"/>
  <c r="Q66" i="7"/>
  <c r="R66" i="7"/>
  <c r="S66" i="7"/>
  <c r="P66"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14" i="7"/>
  <c r="L13" i="7"/>
  <c r="M13" i="7"/>
  <c r="K13" i="7"/>
  <c r="G14" i="4"/>
  <c r="K13" i="4"/>
  <c r="P81" i="4"/>
  <c r="P13" i="4"/>
  <c r="L13" i="4"/>
  <c r="GD33" i="5"/>
  <c r="GD34" i="5"/>
  <c r="GD35" i="5"/>
  <c r="GD36" i="5"/>
  <c r="GD37" i="5"/>
  <c r="GD38" i="5"/>
  <c r="GD39" i="5"/>
  <c r="GD40" i="5"/>
  <c r="GD41" i="5"/>
  <c r="GD42" i="5"/>
  <c r="GD43" i="5"/>
  <c r="GD44" i="5"/>
  <c r="GD45" i="5"/>
  <c r="GD46" i="5"/>
  <c r="GD47" i="5"/>
  <c r="GD48" i="5"/>
  <c r="GD49" i="5"/>
  <c r="GD50" i="5"/>
  <c r="GD51" i="5"/>
  <c r="GD52" i="5"/>
  <c r="GD53" i="5"/>
  <c r="GD54" i="5"/>
  <c r="GD55" i="5"/>
  <c r="GD56" i="5"/>
  <c r="GD57" i="5"/>
  <c r="GD58" i="5"/>
  <c r="GD59" i="5"/>
  <c r="GD60" i="5"/>
  <c r="GD61" i="5"/>
  <c r="GD62" i="5"/>
  <c r="GD63" i="5"/>
  <c r="GD64" i="5"/>
  <c r="GD65" i="5"/>
  <c r="GD66" i="5"/>
  <c r="GD67" i="5"/>
  <c r="GD68" i="5"/>
  <c r="GD69" i="5"/>
  <c r="GD70" i="5"/>
  <c r="GD71" i="5"/>
  <c r="GD72" i="5"/>
  <c r="GD73" i="5"/>
  <c r="GD74" i="5"/>
  <c r="GD75" i="5"/>
  <c r="GD76" i="5"/>
  <c r="GD77" i="5"/>
  <c r="GD78" i="5"/>
  <c r="GD79" i="5"/>
  <c r="GD80" i="5"/>
  <c r="GD81" i="5"/>
  <c r="GD82" i="5"/>
  <c r="GD83" i="5"/>
  <c r="GD84" i="5"/>
  <c r="GD85" i="5"/>
  <c r="GD86" i="5"/>
  <c r="GD87" i="5"/>
  <c r="GD88" i="5"/>
  <c r="GD89" i="5"/>
  <c r="GD90" i="5"/>
  <c r="GD91" i="5"/>
  <c r="GD92" i="5"/>
  <c r="GD93" i="5"/>
  <c r="GD94" i="5"/>
  <c r="GD95" i="5"/>
  <c r="GD96" i="5"/>
  <c r="GD97" i="5"/>
  <c r="GD32" i="5"/>
  <c r="FT34" i="5"/>
  <c r="FT35" i="5"/>
  <c r="FT36" i="5"/>
  <c r="FT37" i="5"/>
  <c r="FT38" i="5"/>
  <c r="FT39" i="5"/>
  <c r="FT40" i="5"/>
  <c r="FT41" i="5"/>
  <c r="FT42" i="5"/>
  <c r="FT43" i="5"/>
  <c r="FT44" i="5"/>
  <c r="FT45" i="5"/>
  <c r="FT46" i="5"/>
  <c r="FT47" i="5"/>
  <c r="FT48" i="5"/>
  <c r="FT49" i="5"/>
  <c r="FT50" i="5"/>
  <c r="FT51" i="5"/>
  <c r="FT52" i="5"/>
  <c r="FT53" i="5"/>
  <c r="FT54" i="5"/>
  <c r="FT55" i="5"/>
  <c r="FT56" i="5"/>
  <c r="FT57" i="5"/>
  <c r="FT58" i="5"/>
  <c r="FT59" i="5"/>
  <c r="FT60" i="5"/>
  <c r="FT61" i="5"/>
  <c r="FT62" i="5"/>
  <c r="FT63" i="5"/>
  <c r="FT64" i="5"/>
  <c r="FT65" i="5"/>
  <c r="FT66" i="5"/>
  <c r="FT67" i="5"/>
  <c r="FT68" i="5"/>
  <c r="FT69" i="5"/>
  <c r="FT70" i="5"/>
  <c r="FT71" i="5"/>
  <c r="FT72" i="5"/>
  <c r="FT73" i="5"/>
  <c r="FT74" i="5"/>
  <c r="FT75" i="5"/>
  <c r="FT76" i="5"/>
  <c r="FT77" i="5"/>
  <c r="FT78" i="5"/>
  <c r="FT79" i="5"/>
  <c r="FT80" i="5"/>
  <c r="FT81" i="5"/>
  <c r="FT82" i="5"/>
  <c r="FT83" i="5"/>
  <c r="FT84" i="5"/>
  <c r="FT85" i="5"/>
  <c r="FT86" i="5"/>
  <c r="FT87" i="5"/>
  <c r="FT88" i="5"/>
  <c r="FT89" i="5"/>
  <c r="FT90" i="5"/>
  <c r="FT91" i="5"/>
  <c r="FT92" i="5"/>
  <c r="FT93" i="5"/>
  <c r="FT94" i="5"/>
  <c r="FT95" i="5"/>
  <c r="FT96" i="5"/>
  <c r="FT97" i="5"/>
  <c r="FT98" i="5"/>
  <c r="FT33" i="5"/>
  <c r="FJ34" i="5"/>
  <c r="FJ35" i="5"/>
  <c r="FJ36" i="5"/>
  <c r="FJ37" i="5"/>
  <c r="FJ38" i="5"/>
  <c r="FJ39" i="5"/>
  <c r="FJ40" i="5"/>
  <c r="FJ41" i="5"/>
  <c r="FJ42" i="5"/>
  <c r="FJ43" i="5"/>
  <c r="FJ44" i="5"/>
  <c r="FJ45" i="5"/>
  <c r="FJ46" i="5"/>
  <c r="FJ47" i="5"/>
  <c r="FJ48" i="5"/>
  <c r="FJ49" i="5"/>
  <c r="FJ50" i="5"/>
  <c r="FJ51" i="5"/>
  <c r="FJ52" i="5"/>
  <c r="FJ53" i="5"/>
  <c r="FJ54" i="5"/>
  <c r="FJ55" i="5"/>
  <c r="FJ56" i="5"/>
  <c r="FJ57" i="5"/>
  <c r="FJ58" i="5"/>
  <c r="FJ59" i="5"/>
  <c r="FJ60" i="5"/>
  <c r="FJ61" i="5"/>
  <c r="FJ62" i="5"/>
  <c r="FJ63" i="5"/>
  <c r="FJ64" i="5"/>
  <c r="FJ65" i="5"/>
  <c r="FJ66" i="5"/>
  <c r="FJ67" i="5"/>
  <c r="FJ68" i="5"/>
  <c r="FJ69" i="5"/>
  <c r="FJ70" i="5"/>
  <c r="FJ71" i="5"/>
  <c r="FJ72" i="5"/>
  <c r="FJ73" i="5"/>
  <c r="FJ74" i="5"/>
  <c r="FJ75" i="5"/>
  <c r="FJ76" i="5"/>
  <c r="FJ77" i="5"/>
  <c r="FJ78" i="5"/>
  <c r="FJ79" i="5"/>
  <c r="FJ80" i="5"/>
  <c r="FJ81" i="5"/>
  <c r="FJ82" i="5"/>
  <c r="FJ83" i="5"/>
  <c r="FJ84" i="5"/>
  <c r="FJ85" i="5"/>
  <c r="FJ86" i="5"/>
  <c r="FJ87" i="5"/>
  <c r="FJ88" i="5"/>
  <c r="FJ89" i="5"/>
  <c r="FJ90" i="5"/>
  <c r="FJ91" i="5"/>
  <c r="FJ92" i="5"/>
  <c r="FJ93" i="5"/>
  <c r="FJ94" i="5"/>
  <c r="FJ95" i="5"/>
  <c r="FJ96" i="5"/>
  <c r="FJ97" i="5"/>
  <c r="FJ98" i="5"/>
  <c r="FJ33" i="5"/>
  <c r="EY33" i="5"/>
  <c r="EY34" i="5"/>
  <c r="EY35" i="5"/>
  <c r="EY36" i="5"/>
  <c r="EY37" i="5"/>
  <c r="EY38" i="5"/>
  <c r="EY39" i="5"/>
  <c r="EY40" i="5"/>
  <c r="EY41" i="5"/>
  <c r="EY42" i="5"/>
  <c r="EY43" i="5"/>
  <c r="EY44" i="5"/>
  <c r="EY45" i="5"/>
  <c r="EY46" i="5"/>
  <c r="EY47" i="5"/>
  <c r="EY48" i="5"/>
  <c r="EY49" i="5"/>
  <c r="EY50" i="5"/>
  <c r="EY51" i="5"/>
  <c r="EY52" i="5"/>
  <c r="EY53" i="5"/>
  <c r="EY54" i="5"/>
  <c r="EY55" i="5"/>
  <c r="EY56" i="5"/>
  <c r="EY57" i="5"/>
  <c r="EY58" i="5"/>
  <c r="EY59" i="5"/>
  <c r="EY60" i="5"/>
  <c r="EY61" i="5"/>
  <c r="EY62" i="5"/>
  <c r="EY63" i="5"/>
  <c r="EY64" i="5"/>
  <c r="EY65" i="5"/>
  <c r="EY66" i="5"/>
  <c r="EY67" i="5"/>
  <c r="EY68" i="5"/>
  <c r="EY69" i="5"/>
  <c r="EY70" i="5"/>
  <c r="EY71" i="5"/>
  <c r="EY72" i="5"/>
  <c r="EY73" i="5"/>
  <c r="EY74" i="5"/>
  <c r="EY75" i="5"/>
  <c r="EY76" i="5"/>
  <c r="EY77" i="5"/>
  <c r="EY78" i="5"/>
  <c r="EY79" i="5"/>
  <c r="EY80" i="5"/>
  <c r="EY81" i="5"/>
  <c r="EY82" i="5"/>
  <c r="EY83" i="5"/>
  <c r="EY84" i="5"/>
  <c r="EY85" i="5"/>
  <c r="EY86" i="5"/>
  <c r="EY87" i="5"/>
  <c r="EY88" i="5"/>
  <c r="EY89" i="5"/>
  <c r="EY90" i="5"/>
  <c r="EY91" i="5"/>
  <c r="EY92" i="5"/>
  <c r="EY93" i="5"/>
  <c r="EY94" i="5"/>
  <c r="EY95" i="5"/>
  <c r="EY96" i="5"/>
  <c r="EY32" i="5"/>
  <c r="EN33" i="5"/>
  <c r="EN34" i="5"/>
  <c r="EN35" i="5"/>
  <c r="EN36" i="5"/>
  <c r="EN37" i="5"/>
  <c r="EN38" i="5"/>
  <c r="EN39" i="5"/>
  <c r="EN40" i="5"/>
  <c r="EN41" i="5"/>
  <c r="EN42" i="5"/>
  <c r="EN43" i="5"/>
  <c r="EN44" i="5"/>
  <c r="EN45" i="5"/>
  <c r="EN46" i="5"/>
  <c r="EN47" i="5"/>
  <c r="EN48" i="5"/>
  <c r="EN49" i="5"/>
  <c r="EN50" i="5"/>
  <c r="EN51" i="5"/>
  <c r="EN52" i="5"/>
  <c r="EN53" i="5"/>
  <c r="EN54" i="5"/>
  <c r="EN55" i="5"/>
  <c r="EN56" i="5"/>
  <c r="EN57" i="5"/>
  <c r="EN58" i="5"/>
  <c r="EN59" i="5"/>
  <c r="EN60" i="5"/>
  <c r="EN61" i="5"/>
  <c r="EN62" i="5"/>
  <c r="EN63" i="5"/>
  <c r="EN64" i="5"/>
  <c r="EN65" i="5"/>
  <c r="EN66" i="5"/>
  <c r="EN67" i="5"/>
  <c r="EN68" i="5"/>
  <c r="EN69" i="5"/>
  <c r="EN70" i="5"/>
  <c r="EN71" i="5"/>
  <c r="EN72" i="5"/>
  <c r="EN73" i="5"/>
  <c r="EN74" i="5"/>
  <c r="EN75" i="5"/>
  <c r="EN76" i="5"/>
  <c r="EN77" i="5"/>
  <c r="EN78" i="5"/>
  <c r="EN79" i="5"/>
  <c r="EN80" i="5"/>
  <c r="EN81" i="5"/>
  <c r="EN82" i="5"/>
  <c r="EN83" i="5"/>
  <c r="EN84" i="5"/>
  <c r="EN85" i="5"/>
  <c r="EN86" i="5"/>
  <c r="EN87" i="5"/>
  <c r="EN88" i="5"/>
  <c r="EN89" i="5"/>
  <c r="EN90" i="5"/>
  <c r="EN91" i="5"/>
  <c r="EN92" i="5"/>
  <c r="EN93" i="5"/>
  <c r="EN94" i="5"/>
  <c r="EN95" i="5"/>
  <c r="EN96" i="5"/>
  <c r="EN97" i="5"/>
  <c r="EN32" i="5"/>
  <c r="ED35" i="5"/>
  <c r="ED36" i="5"/>
  <c r="ED37" i="5"/>
  <c r="ED38" i="5"/>
  <c r="ED39" i="5"/>
  <c r="ED40" i="5"/>
  <c r="ED41" i="5"/>
  <c r="ED42" i="5"/>
  <c r="ED43" i="5"/>
  <c r="ED44" i="5"/>
  <c r="ED45" i="5"/>
  <c r="ED46" i="5"/>
  <c r="ED47" i="5"/>
  <c r="ED48" i="5"/>
  <c r="ED49" i="5"/>
  <c r="ED50" i="5"/>
  <c r="ED51" i="5"/>
  <c r="ED52" i="5"/>
  <c r="ED53" i="5"/>
  <c r="ED54" i="5"/>
  <c r="ED55" i="5"/>
  <c r="ED56" i="5"/>
  <c r="ED57" i="5"/>
  <c r="ED58" i="5"/>
  <c r="ED59" i="5"/>
  <c r="ED60" i="5"/>
  <c r="ED61" i="5"/>
  <c r="ED62" i="5"/>
  <c r="ED63" i="5"/>
  <c r="ED64" i="5"/>
  <c r="ED65" i="5"/>
  <c r="ED66" i="5"/>
  <c r="ED67" i="5"/>
  <c r="ED68" i="5"/>
  <c r="ED69" i="5"/>
  <c r="ED70" i="5"/>
  <c r="ED71" i="5"/>
  <c r="ED72" i="5"/>
  <c r="ED73" i="5"/>
  <c r="ED74" i="5"/>
  <c r="ED75" i="5"/>
  <c r="ED76" i="5"/>
  <c r="ED77" i="5"/>
  <c r="ED78" i="5"/>
  <c r="ED79" i="5"/>
  <c r="ED80" i="5"/>
  <c r="ED81" i="5"/>
  <c r="ED82" i="5"/>
  <c r="ED83" i="5"/>
  <c r="ED84" i="5"/>
  <c r="ED85" i="5"/>
  <c r="ED86" i="5"/>
  <c r="ED87" i="5"/>
  <c r="ED88" i="5"/>
  <c r="ED89" i="5"/>
  <c r="ED90" i="5"/>
  <c r="ED91" i="5"/>
  <c r="ED92" i="5"/>
  <c r="ED93" i="5"/>
  <c r="ED94" i="5"/>
  <c r="ED95" i="5"/>
  <c r="ED96" i="5"/>
  <c r="ED97" i="5"/>
  <c r="ED98" i="5"/>
  <c r="ED99" i="5"/>
  <c r="ED34" i="5"/>
  <c r="DR36" i="5"/>
  <c r="DR37" i="5"/>
  <c r="DR38" i="5"/>
  <c r="DR39" i="5"/>
  <c r="DR40" i="5"/>
  <c r="DR41" i="5"/>
  <c r="DR42" i="5"/>
  <c r="DR43" i="5"/>
  <c r="DR44" i="5"/>
  <c r="DR45" i="5"/>
  <c r="DR46" i="5"/>
  <c r="DR47" i="5"/>
  <c r="DR48" i="5"/>
  <c r="DR49" i="5"/>
  <c r="DR50" i="5"/>
  <c r="DR51" i="5"/>
  <c r="DR52" i="5"/>
  <c r="DR53" i="5"/>
  <c r="DR54" i="5"/>
  <c r="DR55" i="5"/>
  <c r="DR56" i="5"/>
  <c r="DR57" i="5"/>
  <c r="DR58" i="5"/>
  <c r="DR59" i="5"/>
  <c r="DR60" i="5"/>
  <c r="DR61" i="5"/>
  <c r="DR62" i="5"/>
  <c r="DR63" i="5"/>
  <c r="DR64" i="5"/>
  <c r="DR65" i="5"/>
  <c r="DR66" i="5"/>
  <c r="DR67" i="5"/>
  <c r="DR68" i="5"/>
  <c r="DR69" i="5"/>
  <c r="DR70" i="5"/>
  <c r="DR71" i="5"/>
  <c r="DR72" i="5"/>
  <c r="DR73" i="5"/>
  <c r="DR74" i="5"/>
  <c r="DR75" i="5"/>
  <c r="DR76" i="5"/>
  <c r="DR77" i="5"/>
  <c r="DR78" i="5"/>
  <c r="DR79" i="5"/>
  <c r="DR80" i="5"/>
  <c r="DR81" i="5"/>
  <c r="DR82" i="5"/>
  <c r="DR83" i="5"/>
  <c r="DR84" i="5"/>
  <c r="DR85" i="5"/>
  <c r="DR86" i="5"/>
  <c r="DR87" i="5"/>
  <c r="DR88" i="5"/>
  <c r="DR89" i="5"/>
  <c r="DR90" i="5"/>
  <c r="DR91" i="5"/>
  <c r="DR92" i="5"/>
  <c r="DR93" i="5"/>
  <c r="DR94" i="5"/>
  <c r="DR95" i="5"/>
  <c r="DR96" i="5"/>
  <c r="DR97" i="5"/>
  <c r="DR98" i="5"/>
  <c r="DR99" i="5"/>
  <c r="DR100" i="5"/>
  <c r="DR101" i="5"/>
  <c r="DR35" i="5"/>
  <c r="DH20" i="5"/>
  <c r="AG2" i="5"/>
  <c r="K10" i="3"/>
  <c r="GH32" i="7" l="1"/>
  <c r="GJ18" i="7"/>
  <c r="GK18" i="7" s="1"/>
  <c r="GJ34" i="7"/>
  <c r="GK34" i="7" s="1"/>
  <c r="GJ22" i="7"/>
  <c r="GK22" i="7" s="1"/>
  <c r="GH29" i="7"/>
  <c r="FX32" i="7"/>
  <c r="BU29" i="7"/>
  <c r="BV29" i="7" s="1"/>
  <c r="FZ31" i="7"/>
  <c r="GA31" i="7" s="1"/>
  <c r="BU34" i="7"/>
  <c r="BV34" i="7" s="1"/>
  <c r="GH26" i="7"/>
  <c r="GJ26" i="7"/>
  <c r="GK26" i="7" s="1"/>
  <c r="GH30" i="7"/>
  <c r="GJ30" i="7"/>
  <c r="GK30" i="7" s="1"/>
  <c r="GH27" i="7"/>
  <c r="GJ27" i="7"/>
  <c r="GK27" i="7" s="1"/>
  <c r="GH15" i="7"/>
  <c r="GJ15" i="7"/>
  <c r="GK15" i="7" s="1"/>
  <c r="GH17" i="7"/>
  <c r="GJ17" i="7"/>
  <c r="GK17" i="7" s="1"/>
  <c r="FZ30" i="7"/>
  <c r="GA30" i="7" s="1"/>
  <c r="GH23" i="7"/>
  <c r="GJ23" i="7"/>
  <c r="GK23" i="7" s="1"/>
  <c r="GH31" i="7"/>
  <c r="GJ31" i="7"/>
  <c r="GK31" i="7" s="1"/>
  <c r="BU32" i="7"/>
  <c r="BV32" i="7" s="1"/>
  <c r="GH28" i="7"/>
  <c r="GJ28" i="7"/>
  <c r="GK28" i="7" s="1"/>
  <c r="FZ36" i="7"/>
  <c r="GA36" i="7" s="1"/>
  <c r="GH21" i="7"/>
  <c r="GJ21" i="7"/>
  <c r="GK21" i="7" s="1"/>
  <c r="GJ14" i="7"/>
  <c r="GK14" i="7" s="1"/>
  <c r="GH14" i="7"/>
  <c r="BU18" i="7"/>
  <c r="BV18" i="7" s="1"/>
  <c r="FZ25" i="7"/>
  <c r="GA25" i="7" s="1"/>
  <c r="GJ35" i="7"/>
  <c r="GK35" i="7" s="1"/>
  <c r="GH35" i="7"/>
  <c r="BW28" i="7"/>
  <c r="BY28" i="7" s="1"/>
  <c r="CB28" i="7" s="1"/>
  <c r="CD28" i="7" s="1"/>
  <c r="CF28" i="7" s="1"/>
  <c r="CH28" i="7" s="1"/>
  <c r="CJ28" i="7" s="1"/>
  <c r="CL28" i="7" s="1"/>
  <c r="CO28" i="7" s="1"/>
  <c r="AY28" i="7" s="1"/>
  <c r="FX26" i="7"/>
  <c r="GH25" i="7"/>
  <c r="GJ25" i="7"/>
  <c r="GK25" i="7" s="1"/>
  <c r="BU33" i="7"/>
  <c r="BV33" i="7" s="1"/>
  <c r="FZ16" i="7"/>
  <c r="GA16" i="7" s="1"/>
  <c r="FZ23" i="7"/>
  <c r="GA23" i="7" s="1"/>
  <c r="FZ28" i="7"/>
  <c r="GA28" i="7" s="1"/>
  <c r="FX33" i="7"/>
  <c r="FZ27" i="7"/>
  <c r="GA27" i="7" s="1"/>
  <c r="BW36" i="7"/>
  <c r="BY36" i="7" s="1"/>
  <c r="CB36" i="7" s="1"/>
  <c r="CD36" i="7" s="1"/>
  <c r="CF36" i="7" s="1"/>
  <c r="CH36" i="7" s="1"/>
  <c r="CJ36" i="7" s="1"/>
  <c r="CL36" i="7" s="1"/>
  <c r="CO36" i="7" s="1"/>
  <c r="AY36" i="7" s="1"/>
  <c r="FZ40" i="7"/>
  <c r="GA40" i="7" s="1"/>
  <c r="FZ15" i="7"/>
  <c r="GA15" i="7" s="1"/>
  <c r="FX18" i="7"/>
  <c r="FZ18" i="7"/>
  <c r="GA18" i="7" s="1"/>
  <c r="FX19" i="7"/>
  <c r="FZ19" i="7"/>
  <c r="GA19" i="7" s="1"/>
  <c r="FX37" i="7"/>
  <c r="FZ37" i="7"/>
  <c r="GA37" i="7" s="1"/>
  <c r="FX24" i="7"/>
  <c r="FZ24" i="7"/>
  <c r="GA24" i="7" s="1"/>
  <c r="FX22" i="7"/>
  <c r="FZ22" i="7"/>
  <c r="GA22" i="7" s="1"/>
  <c r="FX14" i="7"/>
  <c r="FZ14" i="7"/>
  <c r="GA14" i="7" s="1"/>
  <c r="FX21" i="7"/>
  <c r="FZ21" i="7"/>
  <c r="GA21" i="7" s="1"/>
  <c r="FX29" i="7"/>
  <c r="FZ29" i="7"/>
  <c r="GA29" i="7" s="1"/>
  <c r="FX39" i="7"/>
  <c r="FZ39" i="7"/>
  <c r="GA39" i="7" s="1"/>
  <c r="FX20" i="7"/>
  <c r="FZ20" i="7"/>
  <c r="GA20" i="7" s="1"/>
  <c r="FX38" i="7"/>
  <c r="FZ38" i="7"/>
  <c r="GA38" i="7" s="1"/>
  <c r="FX35" i="7"/>
  <c r="FZ35" i="7"/>
  <c r="GA35" i="7" s="1"/>
  <c r="FX34" i="7"/>
  <c r="FZ34" i="7"/>
  <c r="GA34" i="7" s="1"/>
  <c r="BO126" i="7"/>
  <c r="BO98" i="7"/>
  <c r="CP98" i="7" s="1"/>
  <c r="ES134" i="7"/>
  <c r="FA94" i="7" a="1"/>
  <c r="FA94" i="7" s="1"/>
  <c r="ET96" i="7"/>
  <c r="DY126" i="7"/>
  <c r="DT97" i="7" a="1"/>
  <c r="DT97" i="7" s="1"/>
  <c r="CP114" i="7"/>
  <c r="CV113" i="7"/>
  <c r="CV86" i="7" s="1"/>
  <c r="AV2" i="5"/>
  <c r="BC2" i="5"/>
  <c r="CH44" i="7"/>
  <c r="U85" i="7"/>
  <c r="Z85" i="7"/>
  <c r="Q16" i="7"/>
  <c r="U88" i="7"/>
  <c r="Z88" i="7"/>
  <c r="T85" i="7"/>
  <c r="Y85" i="7"/>
  <c r="P16" i="7"/>
  <c r="T88" i="7"/>
  <c r="Y88" i="7"/>
  <c r="R56" i="7"/>
  <c r="R103" i="7" s="1"/>
  <c r="V103" i="7" s="1"/>
  <c r="V88" i="7"/>
  <c r="AA88" i="7"/>
  <c r="AB87" i="7"/>
  <c r="Z87" i="7"/>
  <c r="T84" i="7"/>
  <c r="Y84" i="7"/>
  <c r="Y87" i="7"/>
  <c r="U84" i="7"/>
  <c r="Z84" i="7"/>
  <c r="AA87" i="7"/>
  <c r="AB86" i="7"/>
  <c r="AA86" i="7"/>
  <c r="V86" i="7"/>
  <c r="Z86" i="7"/>
  <c r="U86" i="7"/>
  <c r="Y83" i="7"/>
  <c r="T83" i="7"/>
  <c r="T86" i="7"/>
  <c r="Y86" i="7"/>
  <c r="S16" i="7"/>
  <c r="W88" i="7"/>
  <c r="AB88" i="7"/>
  <c r="V85" i="7"/>
  <c r="AA85" i="7"/>
  <c r="R62" i="7"/>
  <c r="R54" i="7"/>
  <c r="P51" i="7"/>
  <c r="P49" i="7"/>
  <c r="P44" i="7"/>
  <c r="P56" i="7"/>
  <c r="P98" i="7" s="1"/>
  <c r="T98" i="7" s="1"/>
  <c r="P53" i="7"/>
  <c r="P39" i="7"/>
  <c r="P33" i="7"/>
  <c r="R30" i="7"/>
  <c r="P28" i="7"/>
  <c r="R26" i="7"/>
  <c r="P65" i="7"/>
  <c r="P23" i="7"/>
  <c r="P64" i="7"/>
  <c r="P17" i="7"/>
  <c r="P63" i="7"/>
  <c r="P59" i="7"/>
  <c r="R48" i="7"/>
  <c r="R24" i="7"/>
  <c r="S63" i="7"/>
  <c r="R47" i="7"/>
  <c r="R23" i="7"/>
  <c r="R63" i="7"/>
  <c r="R46" i="7"/>
  <c r="R44" i="7"/>
  <c r="R19" i="7"/>
  <c r="R18" i="7"/>
  <c r="S59" i="7"/>
  <c r="R40" i="7"/>
  <c r="R59" i="7"/>
  <c r="R39" i="7"/>
  <c r="R15" i="7"/>
  <c r="R58" i="7"/>
  <c r="R36" i="7"/>
  <c r="R35" i="7"/>
  <c r="R55" i="7"/>
  <c r="R34" i="7"/>
  <c r="R28" i="7"/>
  <c r="R50" i="7"/>
  <c r="R64" i="7"/>
  <c r="S55" i="7"/>
  <c r="S102" i="7" s="1"/>
  <c r="W102" i="7" s="1"/>
  <c r="P47" i="7"/>
  <c r="P36" i="7"/>
  <c r="P25" i="7"/>
  <c r="P15" i="7"/>
  <c r="P55" i="7"/>
  <c r="P45" i="7"/>
  <c r="P35" i="7"/>
  <c r="P24" i="7"/>
  <c r="R52" i="7"/>
  <c r="R22" i="7"/>
  <c r="P61" i="7"/>
  <c r="P52" i="7"/>
  <c r="P43" i="7"/>
  <c r="P32" i="7"/>
  <c r="P21" i="7"/>
  <c r="R60" i="7"/>
  <c r="S51" i="7"/>
  <c r="S98" i="7" s="1"/>
  <c r="W98" i="7" s="1"/>
  <c r="R42" i="7"/>
  <c r="R31" i="7"/>
  <c r="R20" i="7"/>
  <c r="R43" i="7"/>
  <c r="R32" i="7"/>
  <c r="P60" i="7"/>
  <c r="R51" i="7"/>
  <c r="P41" i="7"/>
  <c r="P31" i="7"/>
  <c r="P20" i="7"/>
  <c r="P40" i="7"/>
  <c r="P29" i="7"/>
  <c r="P19" i="7"/>
  <c r="P14" i="7"/>
  <c r="R27" i="7"/>
  <c r="P57" i="7"/>
  <c r="P48" i="7"/>
  <c r="R38" i="7"/>
  <c r="R16" i="7"/>
  <c r="R14" i="7"/>
  <c r="S47" i="7"/>
  <c r="S94" i="7" s="1"/>
  <c r="W94" i="7" s="1"/>
  <c r="P37" i="7"/>
  <c r="P27" i="7"/>
  <c r="S43" i="7"/>
  <c r="S39" i="7"/>
  <c r="S35" i="7"/>
  <c r="S31" i="7"/>
  <c r="S27" i="7"/>
  <c r="S23" i="7"/>
  <c r="S19" i="7"/>
  <c r="S15" i="7"/>
  <c r="Q63" i="7"/>
  <c r="Q59" i="7"/>
  <c r="Q101" i="7" s="1"/>
  <c r="U101" i="7" s="1"/>
  <c r="Q55" i="7"/>
  <c r="Q51" i="7"/>
  <c r="Q47" i="7"/>
  <c r="Q43" i="7"/>
  <c r="Q39" i="7"/>
  <c r="Q35" i="7"/>
  <c r="Q31" i="7"/>
  <c r="Q27" i="7"/>
  <c r="Q23" i="7"/>
  <c r="Q19" i="7"/>
  <c r="Q15" i="7"/>
  <c r="S62" i="7"/>
  <c r="S58" i="7"/>
  <c r="S54" i="7"/>
  <c r="S101" i="7" s="1"/>
  <c r="W101" i="7" s="1"/>
  <c r="S50" i="7"/>
  <c r="S97" i="7" s="1"/>
  <c r="W97" i="7" s="1"/>
  <c r="S46" i="7"/>
  <c r="S93" i="7" s="1"/>
  <c r="W93" i="7" s="1"/>
  <c r="S42" i="7"/>
  <c r="S38" i="7"/>
  <c r="S34" i="7"/>
  <c r="S30" i="7"/>
  <c r="S26" i="7"/>
  <c r="S22" i="7"/>
  <c r="S18" i="7"/>
  <c r="S14" i="7"/>
  <c r="Q62" i="7"/>
  <c r="Q58" i="7"/>
  <c r="Q54" i="7"/>
  <c r="Q96" i="7" s="1"/>
  <c r="U96" i="7" s="1"/>
  <c r="Q50" i="7"/>
  <c r="Q46" i="7"/>
  <c r="Q42" i="7"/>
  <c r="Q38" i="7"/>
  <c r="Q34" i="7"/>
  <c r="Q30" i="7"/>
  <c r="Q26" i="7"/>
  <c r="Q22" i="7"/>
  <c r="Q18" i="7"/>
  <c r="Q14" i="7"/>
  <c r="P62" i="7"/>
  <c r="P58" i="7"/>
  <c r="P54" i="7"/>
  <c r="P50" i="7"/>
  <c r="P46" i="7"/>
  <c r="P42" i="7"/>
  <c r="P38" i="7"/>
  <c r="P34" i="7"/>
  <c r="P30" i="7"/>
  <c r="P26" i="7"/>
  <c r="P22" i="7"/>
  <c r="P18" i="7"/>
  <c r="S65" i="7"/>
  <c r="S61" i="7"/>
  <c r="S57" i="7"/>
  <c r="S53" i="7"/>
  <c r="S100" i="7" s="1"/>
  <c r="W100" i="7" s="1"/>
  <c r="S49" i="7"/>
  <c r="S45" i="7"/>
  <c r="S92" i="7" s="1"/>
  <c r="W92" i="7" s="1"/>
  <c r="S41" i="7"/>
  <c r="S37" i="7"/>
  <c r="S33" i="7"/>
  <c r="S29" i="7"/>
  <c r="S25" i="7"/>
  <c r="S21" i="7"/>
  <c r="S17" i="7"/>
  <c r="R65" i="7"/>
  <c r="R61" i="7"/>
  <c r="R57" i="7"/>
  <c r="R53" i="7"/>
  <c r="R100" i="7" s="1"/>
  <c r="V100" i="7" s="1"/>
  <c r="R49" i="7"/>
  <c r="R45" i="7"/>
  <c r="R41" i="7"/>
  <c r="R37" i="7"/>
  <c r="R33" i="7"/>
  <c r="R29" i="7"/>
  <c r="R25" i="7"/>
  <c r="R21" i="7"/>
  <c r="R17" i="7"/>
  <c r="Q65" i="7"/>
  <c r="Q61" i="7"/>
  <c r="Q57" i="7"/>
  <c r="Q99" i="7" s="1"/>
  <c r="U99" i="7" s="1"/>
  <c r="Q53" i="7"/>
  <c r="Q49" i="7"/>
  <c r="Q91" i="7" s="1"/>
  <c r="U91" i="7" s="1"/>
  <c r="Q45" i="7"/>
  <c r="Q41" i="7"/>
  <c r="Q37" i="7"/>
  <c r="Q33" i="7"/>
  <c r="Q29" i="7"/>
  <c r="Q25" i="7"/>
  <c r="Q21" i="7"/>
  <c r="Q17" i="7"/>
  <c r="S64" i="7"/>
  <c r="S60" i="7"/>
  <c r="S56" i="7"/>
  <c r="S52" i="7"/>
  <c r="S99" i="7" s="1"/>
  <c r="W99" i="7" s="1"/>
  <c r="S48" i="7"/>
  <c r="S44" i="7"/>
  <c r="S40" i="7"/>
  <c r="S36" i="7"/>
  <c r="S32" i="7"/>
  <c r="S28" i="7"/>
  <c r="S24" i="7"/>
  <c r="S20" i="7"/>
  <c r="Q64" i="7"/>
  <c r="Q60" i="7"/>
  <c r="Q56" i="7"/>
  <c r="Q98" i="7" s="1"/>
  <c r="U98" i="7" s="1"/>
  <c r="Q52" i="7"/>
  <c r="Q94" i="7" s="1"/>
  <c r="U94" i="7" s="1"/>
  <c r="Q48" i="7"/>
  <c r="Q44" i="7"/>
  <c r="Q40" i="7"/>
  <c r="Q36" i="7"/>
  <c r="Q32" i="7"/>
  <c r="Q28" i="7"/>
  <c r="Q24" i="7"/>
  <c r="Q20" i="7"/>
  <c r="BT2" i="5"/>
  <c r="P76" i="3"/>
  <c r="Y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10" i="3"/>
  <c r="O76" i="3"/>
  <c r="N76" i="3"/>
  <c r="S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10" i="3"/>
  <c r="O10" i="3"/>
  <c r="P10" i="3"/>
  <c r="L10" i="3"/>
  <c r="EY97" i="5"/>
  <c r="DE33" i="5"/>
  <c r="DE34" i="5"/>
  <c r="DE35" i="5"/>
  <c r="DE36" i="5"/>
  <c r="DE37" i="5"/>
  <c r="DE38" i="5"/>
  <c r="DE39" i="5"/>
  <c r="DE40" i="5"/>
  <c r="DE41" i="5"/>
  <c r="DE42" i="5"/>
  <c r="DE43" i="5"/>
  <c r="DE44" i="5"/>
  <c r="DE45" i="5"/>
  <c r="DE46" i="5"/>
  <c r="DE47" i="5"/>
  <c r="DE48" i="5"/>
  <c r="DE49" i="5"/>
  <c r="DE50" i="5"/>
  <c r="DE51" i="5"/>
  <c r="DE52" i="5"/>
  <c r="DE53" i="5"/>
  <c r="DE54" i="5"/>
  <c r="DE55" i="5"/>
  <c r="DE56" i="5"/>
  <c r="DE57" i="5"/>
  <c r="DE58" i="5"/>
  <c r="DE59" i="5"/>
  <c r="DE60" i="5"/>
  <c r="DE61" i="5"/>
  <c r="DE62" i="5"/>
  <c r="DE63" i="5"/>
  <c r="DE64" i="5"/>
  <c r="DE65" i="5"/>
  <c r="DE66" i="5"/>
  <c r="DE67" i="5"/>
  <c r="DE68" i="5"/>
  <c r="DE69" i="5"/>
  <c r="DE70" i="5"/>
  <c r="DE71" i="5"/>
  <c r="DE72" i="5"/>
  <c r="DE73" i="5"/>
  <c r="DE74" i="5"/>
  <c r="DE75" i="5"/>
  <c r="DE76" i="5"/>
  <c r="DE77" i="5"/>
  <c r="DE78" i="5"/>
  <c r="DE79" i="5"/>
  <c r="DE80" i="5"/>
  <c r="DE81" i="5"/>
  <c r="DE82" i="5"/>
  <c r="DE83" i="5"/>
  <c r="DE84" i="5"/>
  <c r="DE85" i="5"/>
  <c r="DE86" i="5"/>
  <c r="DE87" i="5"/>
  <c r="DE88" i="5"/>
  <c r="DE89" i="5"/>
  <c r="DE90" i="5"/>
  <c r="DE91" i="5"/>
  <c r="DE92" i="5"/>
  <c r="DE93" i="5"/>
  <c r="DE94" i="5"/>
  <c r="DE95" i="5"/>
  <c r="DE96" i="5"/>
  <c r="DE32" i="5"/>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11" i="3"/>
  <c r="O12" i="3"/>
  <c r="O13" i="3"/>
  <c r="O14" i="3"/>
  <c r="O15" i="3"/>
  <c r="O16" i="3"/>
  <c r="CK44" i="7" l="1"/>
  <c r="CL44" i="7" s="1"/>
  <c r="CO44" i="7" s="1"/>
  <c r="AY44" i="7" s="1"/>
  <c r="Y52" i="3"/>
  <c r="BT44" i="5" s="1"/>
  <c r="Y68" i="3"/>
  <c r="BT60" i="5" s="1"/>
  <c r="Y72" i="3"/>
  <c r="BT64" i="5" s="1"/>
  <c r="Y56" i="3"/>
  <c r="BT48" i="5" s="1"/>
  <c r="Y40" i="3"/>
  <c r="BT32" i="5" s="1"/>
  <c r="Y24" i="3"/>
  <c r="BT16" i="5" s="1"/>
  <c r="Y70" i="3"/>
  <c r="BT62" i="5" s="1"/>
  <c r="Y54" i="3"/>
  <c r="BT46" i="5" s="1"/>
  <c r="Y38" i="3"/>
  <c r="BT30" i="5" s="1"/>
  <c r="Y22" i="3"/>
  <c r="BT14" i="5" s="1"/>
  <c r="Y71" i="3"/>
  <c r="BT63" i="5" s="1"/>
  <c r="Y69" i="3"/>
  <c r="BT61" i="5" s="1"/>
  <c r="Y53" i="3"/>
  <c r="BT45" i="5" s="1"/>
  <c r="Y37" i="3"/>
  <c r="BT29" i="5" s="1"/>
  <c r="Y21" i="3"/>
  <c r="BT13" i="5" s="1"/>
  <c r="Y39" i="3"/>
  <c r="BT31" i="5" s="1"/>
  <c r="Y64" i="3"/>
  <c r="BT56" i="5" s="1"/>
  <c r="Y48" i="3"/>
  <c r="BT40" i="5" s="1"/>
  <c r="Y32" i="3"/>
  <c r="BT24" i="5" s="1"/>
  <c r="Y20" i="3"/>
  <c r="BT12" i="5" s="1"/>
  <c r="Y63" i="3"/>
  <c r="BT55" i="5" s="1"/>
  <c r="Y47" i="3"/>
  <c r="BT39" i="5" s="1"/>
  <c r="Y31" i="3"/>
  <c r="BT23" i="5" s="1"/>
  <c r="Y15" i="3"/>
  <c r="BT7" i="5" s="1"/>
  <c r="Y23" i="3"/>
  <c r="BT15" i="5" s="1"/>
  <c r="Y62" i="3"/>
  <c r="BT54" i="5" s="1"/>
  <c r="Y46" i="3"/>
  <c r="BT38" i="5" s="1"/>
  <c r="Y30" i="3"/>
  <c r="BT22" i="5" s="1"/>
  <c r="Y14" i="3"/>
  <c r="BT6" i="5" s="1"/>
  <c r="Y61" i="3"/>
  <c r="BT53" i="5" s="1"/>
  <c r="Y45" i="3"/>
  <c r="BT37" i="5" s="1"/>
  <c r="Y29" i="3"/>
  <c r="BT21" i="5" s="1"/>
  <c r="Y13" i="3"/>
  <c r="BT5" i="5" s="1"/>
  <c r="Y76" i="3"/>
  <c r="BT68" i="5" s="1"/>
  <c r="Y60" i="3"/>
  <c r="BT52" i="5" s="1"/>
  <c r="Y44" i="3"/>
  <c r="BT36" i="5" s="1"/>
  <c r="Y28" i="3"/>
  <c r="BT20" i="5" s="1"/>
  <c r="Y12" i="3"/>
  <c r="BT4" i="5" s="1"/>
  <c r="Y55" i="3"/>
  <c r="BT47" i="5" s="1"/>
  <c r="Y36" i="3"/>
  <c r="BT28" i="5" s="1"/>
  <c r="Y75" i="3"/>
  <c r="BT67" i="5" s="1"/>
  <c r="Y59" i="3"/>
  <c r="BT51" i="5" s="1"/>
  <c r="Y43" i="3"/>
  <c r="BT35" i="5" s="1"/>
  <c r="Y27" i="3"/>
  <c r="BT19" i="5" s="1"/>
  <c r="Y25" i="3"/>
  <c r="BT17" i="5" s="1"/>
  <c r="Y74" i="3"/>
  <c r="BT66" i="5" s="1"/>
  <c r="Y58" i="3"/>
  <c r="BT50" i="5" s="1"/>
  <c r="Y42" i="3"/>
  <c r="BT34" i="5" s="1"/>
  <c r="Y26" i="3"/>
  <c r="BT18" i="5" s="1"/>
  <c r="Y67" i="3"/>
  <c r="BT59" i="5" s="1"/>
  <c r="Y51" i="3"/>
  <c r="BT43" i="5" s="1"/>
  <c r="Y35" i="3"/>
  <c r="BT27" i="5" s="1"/>
  <c r="Y19" i="3"/>
  <c r="BT11" i="5" s="1"/>
  <c r="Y66" i="3"/>
  <c r="BT58" i="5" s="1"/>
  <c r="Y50" i="3"/>
  <c r="BT42" i="5" s="1"/>
  <c r="Y34" i="3"/>
  <c r="BT26" i="5" s="1"/>
  <c r="Y18" i="3"/>
  <c r="BT10" i="5" s="1"/>
  <c r="Y65" i="3"/>
  <c r="BT57" i="5" s="1"/>
  <c r="Y49" i="3"/>
  <c r="BT41" i="5" s="1"/>
  <c r="Y33" i="3"/>
  <c r="BT25" i="5" s="1"/>
  <c r="Y17" i="3"/>
  <c r="BT9" i="5" s="1"/>
  <c r="Y16" i="3"/>
  <c r="BT8" i="5" s="1"/>
  <c r="Y11" i="3"/>
  <c r="BT3" i="5" s="1"/>
  <c r="Y73" i="3"/>
  <c r="BT65" i="5" s="1"/>
  <c r="Y57" i="3"/>
  <c r="BT49" i="5" s="1"/>
  <c r="Y41" i="3"/>
  <c r="BT33" i="5" s="1"/>
  <c r="CP115" i="7"/>
  <c r="CV114" i="7"/>
  <c r="CV87" i="7" s="1"/>
  <c r="ET97" i="7"/>
  <c r="DY127" i="7"/>
  <c r="DT98" i="7" a="1"/>
  <c r="DT98" i="7" s="1"/>
  <c r="ES135" i="7"/>
  <c r="FA95" i="7" a="1"/>
  <c r="FA95" i="7" s="1"/>
  <c r="BO127" i="7"/>
  <c r="BO99" i="7"/>
  <c r="CP99" i="7" s="1"/>
  <c r="Q97" i="7"/>
  <c r="U97" i="7" s="1"/>
  <c r="R93" i="7"/>
  <c r="V93" i="7" s="1"/>
  <c r="S95" i="7"/>
  <c r="W95" i="7" s="1"/>
  <c r="Q103" i="7"/>
  <c r="U103" i="7" s="1"/>
  <c r="R97" i="7"/>
  <c r="V97" i="7" s="1"/>
  <c r="Q95" i="7"/>
  <c r="U95" i="7" s="1"/>
  <c r="Q92" i="7"/>
  <c r="U92" i="7" s="1"/>
  <c r="P91" i="7"/>
  <c r="T91" i="7" s="1"/>
  <c r="R101" i="7"/>
  <c r="V101" i="7" s="1"/>
  <c r="AC88" i="7"/>
  <c r="AD88" i="7" s="1"/>
  <c r="S103" i="7"/>
  <c r="W103" i="7" s="1"/>
  <c r="P97" i="7"/>
  <c r="T97" i="7" s="1"/>
  <c r="Q100" i="7"/>
  <c r="U100" i="7" s="1"/>
  <c r="R94" i="7"/>
  <c r="V94" i="7" s="1"/>
  <c r="AC87" i="7"/>
  <c r="AD87" i="7" s="1"/>
  <c r="P92" i="7"/>
  <c r="T92" i="7" s="1"/>
  <c r="P96" i="7"/>
  <c r="T96" i="7" s="1"/>
  <c r="P95" i="7"/>
  <c r="T95" i="7" s="1"/>
  <c r="P100" i="7"/>
  <c r="T100" i="7" s="1"/>
  <c r="P99" i="7"/>
  <c r="T99" i="7" s="1"/>
  <c r="P94" i="7"/>
  <c r="T94" i="7" s="1"/>
  <c r="R91" i="7"/>
  <c r="V91" i="7" s="1"/>
  <c r="R98" i="7"/>
  <c r="V98" i="7" s="1"/>
  <c r="S91" i="7"/>
  <c r="W91" i="7" s="1"/>
  <c r="P102" i="7"/>
  <c r="T102" i="7" s="1"/>
  <c r="Q102" i="7"/>
  <c r="U102" i="7" s="1"/>
  <c r="S96" i="7"/>
  <c r="W96" i="7" s="1"/>
  <c r="P103" i="7"/>
  <c r="T103" i="7" s="1"/>
  <c r="R95" i="7"/>
  <c r="V95" i="7" s="1"/>
  <c r="AC86" i="7"/>
  <c r="AD86" i="7" s="1"/>
  <c r="R92" i="7"/>
  <c r="V92" i="7" s="1"/>
  <c r="R99" i="7"/>
  <c r="V99" i="7" s="1"/>
  <c r="R102" i="7"/>
  <c r="V102" i="7" s="1"/>
  <c r="P101" i="7"/>
  <c r="T101" i="7" s="1"/>
  <c r="P93" i="7"/>
  <c r="T93" i="7" s="1"/>
  <c r="R96" i="7"/>
  <c r="V96" i="7" s="1"/>
  <c r="Q93" i="7"/>
  <c r="U93" i="7" s="1"/>
  <c r="S11" i="3"/>
  <c r="S39" i="3"/>
  <c r="S23" i="3"/>
  <c r="S71" i="3"/>
  <c r="S72" i="3"/>
  <c r="S56" i="3"/>
  <c r="S40" i="3"/>
  <c r="S24" i="3"/>
  <c r="S55" i="3"/>
  <c r="S69" i="3"/>
  <c r="S53" i="3"/>
  <c r="S37" i="3"/>
  <c r="S21" i="3"/>
  <c r="S52" i="3"/>
  <c r="S36" i="3"/>
  <c r="S20" i="3"/>
  <c r="S67" i="3"/>
  <c r="S51" i="3"/>
  <c r="S35" i="3"/>
  <c r="S43" i="3"/>
  <c r="S66" i="3"/>
  <c r="S50" i="3"/>
  <c r="S34" i="3"/>
  <c r="S18" i="3"/>
  <c r="S42" i="3"/>
  <c r="S68" i="3"/>
  <c r="S65" i="3"/>
  <c r="S49" i="3"/>
  <c r="S33" i="3"/>
  <c r="S17" i="3"/>
  <c r="S64" i="3"/>
  <c r="S48" i="3"/>
  <c r="S32" i="3"/>
  <c r="S16" i="3"/>
  <c r="S26" i="3"/>
  <c r="S63" i="3"/>
  <c r="S47" i="3"/>
  <c r="S31" i="3"/>
  <c r="S15" i="3"/>
  <c r="S62" i="3"/>
  <c r="S46" i="3"/>
  <c r="S30" i="3"/>
  <c r="S25" i="3"/>
  <c r="S74" i="3"/>
  <c r="S61" i="3"/>
  <c r="S45" i="3"/>
  <c r="S29" i="3"/>
  <c r="S13" i="3"/>
  <c r="S58" i="3"/>
  <c r="S70" i="3"/>
  <c r="S54" i="3"/>
  <c r="S38" i="3"/>
  <c r="S22" i="3"/>
  <c r="S19" i="3"/>
  <c r="W11" i="3"/>
  <c r="S14" i="3"/>
  <c r="S76" i="3"/>
  <c r="S60" i="3"/>
  <c r="S44" i="3"/>
  <c r="S28" i="3"/>
  <c r="S12" i="3"/>
  <c r="S75" i="3"/>
  <c r="S59" i="3"/>
  <c r="S27" i="3"/>
  <c r="S73" i="3"/>
  <c r="S57" i="3"/>
  <c r="S41" i="3"/>
  <c r="AA10"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U10" i="3"/>
  <c r="S9" i="3"/>
  <c r="AA9" i="3" s="1"/>
  <c r="BV2" i="5" s="1"/>
  <c r="Q2" i="5" s="1"/>
  <c r="AZ2" i="5" s="1"/>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U51" i="1"/>
  <c r="V51" i="1"/>
  <c r="S54" i="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3" i="5"/>
  <c r="CM44" i="7" l="1"/>
  <c r="CP116" i="7"/>
  <c r="CV115" i="7"/>
  <c r="CV88" i="7" s="1"/>
  <c r="ES136" i="7"/>
  <c r="FA96" i="7" a="1"/>
  <c r="FA96" i="7" s="1"/>
  <c r="ET98" i="7"/>
  <c r="DY128" i="7"/>
  <c r="DT99" i="7" a="1"/>
  <c r="DT99" i="7" s="1"/>
  <c r="BO128" i="7"/>
  <c r="BO100" i="7"/>
  <c r="CP100" i="7" s="1"/>
  <c r="U68" i="3"/>
  <c r="U52" i="3"/>
  <c r="U36" i="3"/>
  <c r="U20" i="3"/>
  <c r="AA27" i="3"/>
  <c r="BV19" i="5" s="1"/>
  <c r="Q19" i="5" s="1"/>
  <c r="AA11" i="3"/>
  <c r="BV3" i="5" s="1"/>
  <c r="Q3" i="5" s="1"/>
  <c r="AA75" i="3"/>
  <c r="BV67" i="5" s="1"/>
  <c r="Q67" i="5" s="1"/>
  <c r="AZ67" i="5" s="1"/>
  <c r="AA46" i="3"/>
  <c r="BV38" i="5" s="1"/>
  <c r="Q38" i="5" s="1"/>
  <c r="AZ38" i="5" s="1"/>
  <c r="AA23" i="3"/>
  <c r="BV15" i="5" s="1"/>
  <c r="Q15" i="5" s="1"/>
  <c r="U66" i="3"/>
  <c r="AA70" i="3"/>
  <c r="BV62" i="5" s="1"/>
  <c r="Q62" i="5" s="1"/>
  <c r="AZ62" i="5" s="1"/>
  <c r="U35" i="3"/>
  <c r="AA45" i="3"/>
  <c r="BV37" i="5" s="1"/>
  <c r="Q37" i="5" s="1"/>
  <c r="AZ37" i="5" s="1"/>
  <c r="AA64" i="3"/>
  <c r="BV56" i="5" s="1"/>
  <c r="Q56" i="5" s="1"/>
  <c r="AZ56" i="5" s="1"/>
  <c r="AA41" i="3"/>
  <c r="BV33" i="5" s="1"/>
  <c r="Q33" i="5" s="1"/>
  <c r="AA17" i="3"/>
  <c r="BV9" i="5" s="1"/>
  <c r="Q9" i="5" s="1"/>
  <c r="AA63" i="3"/>
  <c r="BV55" i="5" s="1"/>
  <c r="Q55" i="5" s="1"/>
  <c r="AZ55" i="5" s="1"/>
  <c r="AA40" i="3"/>
  <c r="BV32" i="5" s="1"/>
  <c r="Q32" i="5" s="1"/>
  <c r="AA16" i="3"/>
  <c r="BV8" i="5" s="1"/>
  <c r="Q8" i="5" s="1"/>
  <c r="AA69" i="3"/>
  <c r="BV61" i="5" s="1"/>
  <c r="Q61" i="5" s="1"/>
  <c r="AZ61" i="5" s="1"/>
  <c r="AA22" i="3"/>
  <c r="BV14" i="5" s="1"/>
  <c r="Q14" i="5" s="1"/>
  <c r="U48" i="3"/>
  <c r="U62" i="3"/>
  <c r="U14" i="3"/>
  <c r="AA62" i="3"/>
  <c r="BV54" i="5" s="1"/>
  <c r="Q54" i="5" s="1"/>
  <c r="AZ54" i="5" s="1"/>
  <c r="AA39" i="3"/>
  <c r="BV31" i="5" s="1"/>
  <c r="Q31" i="5" s="1"/>
  <c r="AA15" i="3"/>
  <c r="BV7" i="5" s="1"/>
  <c r="Q7" i="5" s="1"/>
  <c r="AA24" i="3"/>
  <c r="BV16" i="5" s="1"/>
  <c r="Q16" i="5" s="1"/>
  <c r="U51" i="3"/>
  <c r="U18" i="3"/>
  <c r="AA65" i="3"/>
  <c r="BV57" i="5" s="1"/>
  <c r="Q57" i="5" s="1"/>
  <c r="AZ57" i="5" s="1"/>
  <c r="U30" i="3"/>
  <c r="AA61" i="3"/>
  <c r="BV53" i="5" s="1"/>
  <c r="Q53" i="5" s="1"/>
  <c r="AZ53" i="5" s="1"/>
  <c r="AA38" i="3"/>
  <c r="BV30" i="5" s="1"/>
  <c r="Q30" i="5" s="1"/>
  <c r="AA14" i="3"/>
  <c r="BV6" i="5" s="1"/>
  <c r="Q6" i="5" s="1"/>
  <c r="U67" i="3"/>
  <c r="U50" i="3"/>
  <c r="AA21" i="3"/>
  <c r="BV13" i="5" s="1"/>
  <c r="Q13" i="5" s="1"/>
  <c r="U46" i="3"/>
  <c r="U15" i="3"/>
  <c r="AA59" i="3"/>
  <c r="BV51" i="5" s="1"/>
  <c r="Q51" i="5" s="1"/>
  <c r="AZ51" i="5" s="1"/>
  <c r="AA37" i="3"/>
  <c r="BV29" i="5" s="1"/>
  <c r="Q29" i="5" s="1"/>
  <c r="AA20" i="3"/>
  <c r="BV12" i="5" s="1"/>
  <c r="Q12" i="5" s="1"/>
  <c r="U64" i="3"/>
  <c r="AA57" i="3"/>
  <c r="BV49" i="5" s="1"/>
  <c r="Q49" i="5" s="1"/>
  <c r="AZ49" i="5" s="1"/>
  <c r="AA33" i="3"/>
  <c r="BV25" i="5" s="1"/>
  <c r="Q25" i="5" s="1"/>
  <c r="AA47" i="3"/>
  <c r="BV39" i="5" s="1"/>
  <c r="Q39" i="5" s="1"/>
  <c r="AZ39" i="5" s="1"/>
  <c r="U19" i="3"/>
  <c r="AA68" i="3"/>
  <c r="BV60" i="5" s="1"/>
  <c r="Q60" i="5" s="1"/>
  <c r="AZ60" i="5" s="1"/>
  <c r="AA56" i="3"/>
  <c r="BV48" i="5" s="1"/>
  <c r="Q48" i="5" s="1"/>
  <c r="AZ48" i="5" s="1"/>
  <c r="AA32" i="3"/>
  <c r="BV24" i="5" s="1"/>
  <c r="Q24" i="5" s="1"/>
  <c r="AA76" i="3"/>
  <c r="BV68" i="5" s="1"/>
  <c r="Q68" i="5" s="1"/>
  <c r="AZ68" i="5" s="1"/>
  <c r="U34" i="3"/>
  <c r="AA43" i="3"/>
  <c r="BV35" i="5" s="1"/>
  <c r="Q35" i="5" s="1"/>
  <c r="U57" i="3"/>
  <c r="U41" i="3"/>
  <c r="U25" i="3"/>
  <c r="AA55" i="3"/>
  <c r="BV47" i="5" s="1"/>
  <c r="Q47" i="5" s="1"/>
  <c r="AZ47" i="5" s="1"/>
  <c r="AA31" i="3"/>
  <c r="BV23" i="5" s="1"/>
  <c r="Q23" i="5" s="1"/>
  <c r="U74" i="3"/>
  <c r="U73" i="3"/>
  <c r="U72" i="3"/>
  <c r="U56" i="3"/>
  <c r="U40" i="3"/>
  <c r="U24" i="3"/>
  <c r="AA54" i="3"/>
  <c r="BV46" i="5" s="1"/>
  <c r="Q46" i="5" s="1"/>
  <c r="AZ46" i="5" s="1"/>
  <c r="AA30" i="3"/>
  <c r="BV22" i="5" s="1"/>
  <c r="Q22" i="5" s="1"/>
  <c r="U16" i="3"/>
  <c r="U58" i="3"/>
  <c r="AA73" i="3"/>
  <c r="BV65" i="5" s="1"/>
  <c r="Q65" i="5" s="1"/>
  <c r="AZ65" i="5" s="1"/>
  <c r="AA53" i="3"/>
  <c r="BV45" i="5" s="1"/>
  <c r="Q45" i="5" s="1"/>
  <c r="AZ45" i="5" s="1"/>
  <c r="AA29" i="3"/>
  <c r="BV21" i="5" s="1"/>
  <c r="Q21" i="5" s="1"/>
  <c r="U26" i="3"/>
  <c r="U70" i="3"/>
  <c r="U54" i="3"/>
  <c r="U38" i="3"/>
  <c r="U29" i="3"/>
  <c r="AA72" i="3"/>
  <c r="BV64" i="5" s="1"/>
  <c r="Q64" i="5" s="1"/>
  <c r="AZ64" i="5" s="1"/>
  <c r="AA49" i="3"/>
  <c r="BV41" i="5" s="1"/>
  <c r="Q41" i="5" s="1"/>
  <c r="AZ41" i="5" s="1"/>
  <c r="U32" i="3"/>
  <c r="U42" i="3"/>
  <c r="U69" i="3"/>
  <c r="U53" i="3"/>
  <c r="U37" i="3"/>
  <c r="U21" i="3"/>
  <c r="AA71" i="3"/>
  <c r="BV63" i="5" s="1"/>
  <c r="Q63" i="5" s="1"/>
  <c r="AZ63" i="5" s="1"/>
  <c r="AA48" i="3"/>
  <c r="BV40" i="5" s="1"/>
  <c r="Q40" i="5" s="1"/>
  <c r="AZ40" i="5" s="1"/>
  <c r="AA25" i="3"/>
  <c r="BV17" i="5" s="1"/>
  <c r="Q17" i="5" s="1"/>
  <c r="U76" i="3"/>
  <c r="U60" i="3"/>
  <c r="U44" i="3"/>
  <c r="U28" i="3"/>
  <c r="U12" i="3"/>
  <c r="AA67" i="3"/>
  <c r="BV59" i="5" s="1"/>
  <c r="Q59" i="5" s="1"/>
  <c r="AZ59" i="5" s="1"/>
  <c r="AA51" i="3"/>
  <c r="BV43" i="5" s="1"/>
  <c r="Q43" i="5" s="1"/>
  <c r="AZ43" i="5" s="1"/>
  <c r="AA35" i="3"/>
  <c r="BV27" i="5" s="1"/>
  <c r="Q27" i="5" s="1"/>
  <c r="AA19" i="3"/>
  <c r="BV11" i="5" s="1"/>
  <c r="Q11" i="5" s="1"/>
  <c r="U75" i="3"/>
  <c r="U59" i="3"/>
  <c r="U43" i="3"/>
  <c r="U27" i="3"/>
  <c r="AA66" i="3"/>
  <c r="BV58" i="5" s="1"/>
  <c r="Q58" i="5" s="1"/>
  <c r="AZ58" i="5" s="1"/>
  <c r="AA50" i="3"/>
  <c r="BV42" i="5" s="1"/>
  <c r="Q42" i="5" s="1"/>
  <c r="AZ42" i="5" s="1"/>
  <c r="AA34" i="3"/>
  <c r="BV26" i="5" s="1"/>
  <c r="Q26" i="5" s="1"/>
  <c r="AA18" i="3"/>
  <c r="BV10" i="5" s="1"/>
  <c r="Q10" i="5" s="1"/>
  <c r="U23" i="3"/>
  <c r="U71" i="3"/>
  <c r="U55" i="3"/>
  <c r="U39" i="3"/>
  <c r="U22" i="3"/>
  <c r="AA13" i="3"/>
  <c r="BV5" i="5" s="1"/>
  <c r="Q5" i="5" s="1"/>
  <c r="U13" i="3"/>
  <c r="AA60" i="3"/>
  <c r="BV52" i="5" s="1"/>
  <c r="Q52" i="5" s="1"/>
  <c r="AZ52" i="5" s="1"/>
  <c r="AA44" i="3"/>
  <c r="BV36" i="5" s="1"/>
  <c r="Q36" i="5" s="1"/>
  <c r="AA28" i="3"/>
  <c r="BV20" i="5" s="1"/>
  <c r="Q20" i="5" s="1"/>
  <c r="AA12" i="3"/>
  <c r="BV4" i="5" s="1"/>
  <c r="Q4" i="5" s="1"/>
  <c r="U61" i="3"/>
  <c r="AA58" i="3"/>
  <c r="BV50" i="5" s="1"/>
  <c r="Q50" i="5" s="1"/>
  <c r="AZ50" i="5" s="1"/>
  <c r="AA26" i="3"/>
  <c r="BV18" i="5" s="1"/>
  <c r="Q18" i="5" s="1"/>
  <c r="U45" i="3"/>
  <c r="AA74" i="3"/>
  <c r="BV66" i="5" s="1"/>
  <c r="Q66" i="5" s="1"/>
  <c r="AZ66" i="5" s="1"/>
  <c r="AA42" i="3"/>
  <c r="BV34" i="5" s="1"/>
  <c r="Q34" i="5" s="1"/>
  <c r="U11" i="3"/>
  <c r="U65" i="3"/>
  <c r="U49" i="3"/>
  <c r="U33" i="3"/>
  <c r="U17" i="3"/>
  <c r="U63" i="3"/>
  <c r="U47" i="3"/>
  <c r="U31" i="3"/>
  <c r="AA52" i="3"/>
  <c r="BV44" i="5" s="1"/>
  <c r="Q44" i="5" s="1"/>
  <c r="AZ44" i="5" s="1"/>
  <c r="AA36" i="3"/>
  <c r="BV28" i="5" s="1"/>
  <c r="Q28" i="5" s="1"/>
  <c r="E3" i="6"/>
  <c r="E4" i="6"/>
  <c r="E5" i="6"/>
  <c r="E6" i="6"/>
  <c r="E7" i="6"/>
  <c r="E8" i="6"/>
  <c r="E9" i="6"/>
  <c r="E10" i="6"/>
  <c r="E11" i="6"/>
  <c r="E12" i="6"/>
  <c r="E13" i="6"/>
  <c r="E14" i="6"/>
  <c r="E15" i="6"/>
  <c r="E16" i="6"/>
  <c r="E17" i="6"/>
  <c r="E18" i="6"/>
  <c r="G18" i="6" s="1"/>
  <c r="E19" i="6"/>
  <c r="E20" i="6"/>
  <c r="E21" i="6"/>
  <c r="E22" i="6"/>
  <c r="E23" i="6"/>
  <c r="E24" i="6"/>
  <c r="E25" i="6"/>
  <c r="E26" i="6"/>
  <c r="E27" i="6"/>
  <c r="E28" i="6"/>
  <c r="E29" i="6"/>
  <c r="E30" i="6"/>
  <c r="E31" i="6"/>
  <c r="E32" i="6"/>
  <c r="E33" i="6"/>
  <c r="E34" i="6"/>
  <c r="G34" i="6" s="1"/>
  <c r="E35" i="6"/>
  <c r="E36" i="6"/>
  <c r="H36" i="6" s="1"/>
  <c r="Q36" i="6" s="1"/>
  <c r="E37" i="6"/>
  <c r="E38" i="6"/>
  <c r="E39" i="6"/>
  <c r="E40" i="6"/>
  <c r="E41" i="6"/>
  <c r="E42" i="6"/>
  <c r="E43" i="6"/>
  <c r="H43" i="6" s="1"/>
  <c r="Q43" i="6" s="1"/>
  <c r="E44" i="6"/>
  <c r="H44" i="6" s="1"/>
  <c r="Q44" i="6" s="1"/>
  <c r="E45" i="6"/>
  <c r="E46" i="6"/>
  <c r="E47" i="6"/>
  <c r="E48" i="6"/>
  <c r="E49" i="6"/>
  <c r="E50" i="6"/>
  <c r="G50" i="6" s="1"/>
  <c r="E51" i="6"/>
  <c r="E52" i="6"/>
  <c r="G52" i="6" s="1"/>
  <c r="E53" i="6"/>
  <c r="H53" i="6" s="1"/>
  <c r="Q53" i="6" s="1"/>
  <c r="E54" i="6"/>
  <c r="H54" i="6" s="1"/>
  <c r="Q54" i="6" s="1"/>
  <c r="E55" i="6"/>
  <c r="E56" i="6"/>
  <c r="E57" i="6"/>
  <c r="E58" i="6"/>
  <c r="E59" i="6"/>
  <c r="E60" i="6"/>
  <c r="E61" i="6"/>
  <c r="G61" i="6" s="1"/>
  <c r="E62" i="6"/>
  <c r="E63" i="6"/>
  <c r="E64" i="6"/>
  <c r="E65" i="6"/>
  <c r="E66" i="6"/>
  <c r="H66" i="6" s="1"/>
  <c r="Q66" i="6" s="1"/>
  <c r="E67" i="6"/>
  <c r="H67" i="6" s="1"/>
  <c r="Q67" i="6" s="1"/>
  <c r="E68" i="6"/>
  <c r="H68" i="6" s="1"/>
  <c r="E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J68" i="6"/>
  <c r="I68" i="6"/>
  <c r="F68" i="6"/>
  <c r="D68" i="6"/>
  <c r="C68" i="6"/>
  <c r="R67" i="6"/>
  <c r="J67" i="6"/>
  <c r="I67" i="6"/>
  <c r="D67" i="6"/>
  <c r="C67" i="6"/>
  <c r="F67" i="6" s="1"/>
  <c r="R66" i="6"/>
  <c r="D66" i="6"/>
  <c r="I66" i="6" s="1"/>
  <c r="J66" i="6" s="1"/>
  <c r="C66" i="6"/>
  <c r="F66" i="6" s="1"/>
  <c r="R65" i="6"/>
  <c r="I65" i="6"/>
  <c r="J65" i="6" s="1"/>
  <c r="H65" i="6"/>
  <c r="Q65" i="6" s="1"/>
  <c r="G65" i="6"/>
  <c r="F65" i="6"/>
  <c r="D65" i="6"/>
  <c r="C65" i="6"/>
  <c r="R64" i="6"/>
  <c r="J64" i="6"/>
  <c r="I64" i="6"/>
  <c r="H64" i="6"/>
  <c r="Q64" i="6" s="1"/>
  <c r="G64" i="6"/>
  <c r="F64" i="6"/>
  <c r="D64" i="6"/>
  <c r="C64" i="6"/>
  <c r="R63" i="6"/>
  <c r="J63" i="6"/>
  <c r="I63" i="6"/>
  <c r="H63" i="6"/>
  <c r="Q63" i="6" s="1"/>
  <c r="D63" i="6"/>
  <c r="C63" i="6"/>
  <c r="F63" i="6" s="1"/>
  <c r="R62" i="6"/>
  <c r="H62" i="6"/>
  <c r="Q62" i="6" s="1"/>
  <c r="D62" i="6"/>
  <c r="I62" i="6" s="1"/>
  <c r="J62" i="6" s="1"/>
  <c r="C62" i="6"/>
  <c r="F62" i="6" s="1"/>
  <c r="R61" i="6"/>
  <c r="I61" i="6"/>
  <c r="J61" i="6" s="1"/>
  <c r="H61" i="6"/>
  <c r="Q61" i="6" s="1"/>
  <c r="F61" i="6"/>
  <c r="D61" i="6"/>
  <c r="C61" i="6"/>
  <c r="R60" i="6"/>
  <c r="J60" i="6"/>
  <c r="I60" i="6"/>
  <c r="H60" i="6"/>
  <c r="Q60" i="6" s="1"/>
  <c r="G60" i="6"/>
  <c r="F60" i="6"/>
  <c r="D60" i="6"/>
  <c r="C60" i="6"/>
  <c r="R59" i="6"/>
  <c r="J59" i="6"/>
  <c r="I59" i="6"/>
  <c r="H59" i="6"/>
  <c r="Q59" i="6" s="1"/>
  <c r="D59" i="6"/>
  <c r="C59" i="6"/>
  <c r="F59" i="6" s="1"/>
  <c r="R58" i="6"/>
  <c r="H58" i="6"/>
  <c r="Q58" i="6" s="1"/>
  <c r="D58" i="6"/>
  <c r="I58" i="6" s="1"/>
  <c r="J58" i="6" s="1"/>
  <c r="C58" i="6"/>
  <c r="F58" i="6" s="1"/>
  <c r="R57" i="6"/>
  <c r="I57" i="6"/>
  <c r="J57" i="6" s="1"/>
  <c r="H57" i="6"/>
  <c r="Q57" i="6" s="1"/>
  <c r="G57" i="6"/>
  <c r="F57" i="6"/>
  <c r="D57" i="6"/>
  <c r="C57" i="6"/>
  <c r="R56" i="6"/>
  <c r="J56" i="6"/>
  <c r="I56" i="6"/>
  <c r="H56" i="6"/>
  <c r="Q56" i="6" s="1"/>
  <c r="G56" i="6"/>
  <c r="F56" i="6"/>
  <c r="D56" i="6"/>
  <c r="C56" i="6"/>
  <c r="R55" i="6"/>
  <c r="J55" i="6"/>
  <c r="I55" i="6"/>
  <c r="H55" i="6"/>
  <c r="Q55" i="6" s="1"/>
  <c r="G55" i="6"/>
  <c r="D55" i="6"/>
  <c r="C55" i="6"/>
  <c r="F55" i="6" s="1"/>
  <c r="R54" i="6"/>
  <c r="G54" i="6"/>
  <c r="F54" i="6"/>
  <c r="D54" i="6"/>
  <c r="I54" i="6" s="1"/>
  <c r="J54" i="6" s="1"/>
  <c r="C54" i="6"/>
  <c r="R53" i="6"/>
  <c r="D53" i="6"/>
  <c r="I53" i="6" s="1"/>
  <c r="J53" i="6" s="1"/>
  <c r="C53" i="6"/>
  <c r="F53" i="6" s="1"/>
  <c r="R52" i="6"/>
  <c r="F52" i="6"/>
  <c r="D52" i="6"/>
  <c r="I52" i="6" s="1"/>
  <c r="J52" i="6" s="1"/>
  <c r="C52" i="6"/>
  <c r="R51" i="6"/>
  <c r="I51" i="6"/>
  <c r="J51" i="6" s="1"/>
  <c r="H51" i="6"/>
  <c r="Q51" i="6" s="1"/>
  <c r="G51" i="6"/>
  <c r="F51" i="6"/>
  <c r="D51" i="6"/>
  <c r="C51" i="6"/>
  <c r="R50" i="6"/>
  <c r="J50" i="6"/>
  <c r="I50" i="6"/>
  <c r="H50" i="6"/>
  <c r="Q50" i="6" s="1"/>
  <c r="F50" i="6"/>
  <c r="D50" i="6"/>
  <c r="C50" i="6"/>
  <c r="R49" i="6"/>
  <c r="J49" i="6"/>
  <c r="I49" i="6"/>
  <c r="G49" i="6"/>
  <c r="H49" i="6"/>
  <c r="Q49" i="6" s="1"/>
  <c r="D49" i="6"/>
  <c r="C49" i="6"/>
  <c r="F49" i="6" s="1"/>
  <c r="R48" i="6"/>
  <c r="G48" i="6"/>
  <c r="D48" i="6"/>
  <c r="I48" i="6" s="1"/>
  <c r="J48" i="6" s="1"/>
  <c r="C48" i="6"/>
  <c r="H48" i="6" s="1"/>
  <c r="Q48" i="6" s="1"/>
  <c r="R47" i="6"/>
  <c r="F47" i="6"/>
  <c r="H47" i="6"/>
  <c r="Q47" i="6" s="1"/>
  <c r="D47" i="6"/>
  <c r="I47" i="6" s="1"/>
  <c r="J47" i="6" s="1"/>
  <c r="C47" i="6"/>
  <c r="R46" i="6"/>
  <c r="I46" i="6"/>
  <c r="J46" i="6" s="1"/>
  <c r="H46" i="6"/>
  <c r="Q46" i="6" s="1"/>
  <c r="G46" i="6"/>
  <c r="F46" i="6"/>
  <c r="D46" i="6"/>
  <c r="C46" i="6"/>
  <c r="R45" i="6"/>
  <c r="J45" i="6"/>
  <c r="I45" i="6"/>
  <c r="H45" i="6"/>
  <c r="Q45" i="6" s="1"/>
  <c r="G45" i="6"/>
  <c r="F45" i="6"/>
  <c r="D45" i="6"/>
  <c r="C45" i="6"/>
  <c r="R44" i="6"/>
  <c r="J44" i="6"/>
  <c r="I44" i="6"/>
  <c r="G44" i="6"/>
  <c r="F44" i="6"/>
  <c r="D44" i="6"/>
  <c r="C44" i="6"/>
  <c r="R43" i="6"/>
  <c r="G43" i="6"/>
  <c r="D43" i="6"/>
  <c r="C43" i="6"/>
  <c r="I43" i="6" s="1"/>
  <c r="J43" i="6" s="1"/>
  <c r="R42" i="6"/>
  <c r="H42" i="6"/>
  <c r="Q42" i="6" s="1"/>
  <c r="D42" i="6"/>
  <c r="I42" i="6" s="1"/>
  <c r="J42" i="6" s="1"/>
  <c r="C42" i="6"/>
  <c r="F42" i="6" s="1"/>
  <c r="R41" i="6"/>
  <c r="F41" i="6"/>
  <c r="G41" i="6"/>
  <c r="D41" i="6"/>
  <c r="I41" i="6" s="1"/>
  <c r="J41" i="6" s="1"/>
  <c r="C41" i="6"/>
  <c r="R40" i="6"/>
  <c r="I40" i="6"/>
  <c r="J40" i="6" s="1"/>
  <c r="H40" i="6"/>
  <c r="Q40" i="6" s="1"/>
  <c r="G40" i="6"/>
  <c r="F40" i="6"/>
  <c r="D40" i="6"/>
  <c r="C40" i="6"/>
  <c r="R39" i="6"/>
  <c r="J39" i="6"/>
  <c r="I39" i="6"/>
  <c r="H39" i="6"/>
  <c r="Q39" i="6" s="1"/>
  <c r="G39" i="6"/>
  <c r="F39" i="6"/>
  <c r="D39" i="6"/>
  <c r="C39" i="6"/>
  <c r="R38" i="6"/>
  <c r="J38" i="6"/>
  <c r="I38" i="6"/>
  <c r="H38" i="6"/>
  <c r="Q38" i="6" s="1"/>
  <c r="G38" i="6"/>
  <c r="F38" i="6"/>
  <c r="D38" i="6"/>
  <c r="C38" i="6"/>
  <c r="R37" i="6"/>
  <c r="J37" i="6"/>
  <c r="I37" i="6"/>
  <c r="H37" i="6"/>
  <c r="Q37" i="6" s="1"/>
  <c r="G37" i="6"/>
  <c r="F37" i="6"/>
  <c r="D37" i="6"/>
  <c r="C37" i="6"/>
  <c r="R36" i="6"/>
  <c r="G36" i="6"/>
  <c r="D36" i="6"/>
  <c r="C36" i="6"/>
  <c r="I36" i="6" s="1"/>
  <c r="J36" i="6" s="1"/>
  <c r="R35" i="6"/>
  <c r="H35" i="6"/>
  <c r="Q35" i="6" s="1"/>
  <c r="D35" i="6"/>
  <c r="I35" i="6" s="1"/>
  <c r="J35" i="6" s="1"/>
  <c r="C35" i="6"/>
  <c r="F35" i="6" s="1"/>
  <c r="R34" i="6"/>
  <c r="D34" i="6"/>
  <c r="I34" i="6" s="1"/>
  <c r="J34" i="6" s="1"/>
  <c r="C34" i="6"/>
  <c r="F34" i="6" s="1"/>
  <c r="R33" i="6"/>
  <c r="G33" i="6"/>
  <c r="F33" i="6"/>
  <c r="H33" i="6"/>
  <c r="Q33" i="6" s="1"/>
  <c r="D33" i="6"/>
  <c r="I33" i="6" s="1"/>
  <c r="J33" i="6" s="1"/>
  <c r="C33" i="6"/>
  <c r="R32" i="6"/>
  <c r="I32" i="6"/>
  <c r="J32" i="6" s="1"/>
  <c r="H32" i="6"/>
  <c r="Q32" i="6" s="1"/>
  <c r="G32" i="6"/>
  <c r="F32" i="6"/>
  <c r="D32" i="6"/>
  <c r="C32" i="6"/>
  <c r="R31" i="6"/>
  <c r="J31" i="6"/>
  <c r="I31" i="6"/>
  <c r="H31" i="6"/>
  <c r="Q31" i="6" s="1"/>
  <c r="G31" i="6"/>
  <c r="F31" i="6"/>
  <c r="D31" i="6"/>
  <c r="C31" i="6"/>
  <c r="R30" i="6"/>
  <c r="J30" i="6"/>
  <c r="I30" i="6"/>
  <c r="H30" i="6"/>
  <c r="Q30" i="6" s="1"/>
  <c r="G30" i="6"/>
  <c r="D30" i="6"/>
  <c r="C30" i="6"/>
  <c r="F30" i="6" s="1"/>
  <c r="R29" i="6"/>
  <c r="J29" i="6"/>
  <c r="I29" i="6"/>
  <c r="G29" i="6"/>
  <c r="H29" i="6"/>
  <c r="Q29" i="6" s="1"/>
  <c r="D29" i="6"/>
  <c r="C29" i="6"/>
  <c r="F29" i="6" s="1"/>
  <c r="R28" i="6"/>
  <c r="G28" i="6"/>
  <c r="H28" i="6"/>
  <c r="Q28" i="6" s="1"/>
  <c r="D28" i="6"/>
  <c r="C28" i="6"/>
  <c r="I28" i="6" s="1"/>
  <c r="J28" i="6" s="1"/>
  <c r="R27" i="6"/>
  <c r="H27" i="6"/>
  <c r="Q27" i="6" s="1"/>
  <c r="D27" i="6"/>
  <c r="I27" i="6" s="1"/>
  <c r="J27" i="6" s="1"/>
  <c r="C27" i="6"/>
  <c r="F27" i="6" s="1"/>
  <c r="R26" i="6"/>
  <c r="H26" i="6"/>
  <c r="Q26" i="6" s="1"/>
  <c r="D26" i="6"/>
  <c r="I26" i="6" s="1"/>
  <c r="J26" i="6" s="1"/>
  <c r="C26" i="6"/>
  <c r="F26" i="6" s="1"/>
  <c r="R25" i="6"/>
  <c r="G25" i="6"/>
  <c r="F25" i="6"/>
  <c r="H25" i="6"/>
  <c r="Q25" i="6" s="1"/>
  <c r="D25" i="6"/>
  <c r="I25" i="6" s="1"/>
  <c r="J25" i="6" s="1"/>
  <c r="C25" i="6"/>
  <c r="R24" i="6"/>
  <c r="I24" i="6"/>
  <c r="J24" i="6" s="1"/>
  <c r="H24" i="6"/>
  <c r="Q24" i="6" s="1"/>
  <c r="G24" i="6"/>
  <c r="F24" i="6"/>
  <c r="D24" i="6"/>
  <c r="C24" i="6"/>
  <c r="R23" i="6"/>
  <c r="J23" i="6"/>
  <c r="I23" i="6"/>
  <c r="H23" i="6"/>
  <c r="Q23" i="6" s="1"/>
  <c r="G23" i="6"/>
  <c r="F23" i="6"/>
  <c r="D23" i="6"/>
  <c r="C23" i="6"/>
  <c r="R22" i="6"/>
  <c r="J22" i="6"/>
  <c r="I22" i="6"/>
  <c r="H22" i="6"/>
  <c r="Q22" i="6" s="1"/>
  <c r="G22" i="6"/>
  <c r="F22" i="6"/>
  <c r="D22" i="6"/>
  <c r="C22" i="6"/>
  <c r="R21" i="6"/>
  <c r="Q21" i="6"/>
  <c r="J21" i="6"/>
  <c r="I21" i="6"/>
  <c r="H21" i="6"/>
  <c r="F21" i="6"/>
  <c r="G21" i="6"/>
  <c r="D21" i="6"/>
  <c r="C21" i="6"/>
  <c r="R20" i="6"/>
  <c r="G20" i="6"/>
  <c r="D20" i="6"/>
  <c r="I20" i="6" s="1"/>
  <c r="J20" i="6" s="1"/>
  <c r="C20" i="6"/>
  <c r="H20" i="6" s="1"/>
  <c r="Q20" i="6" s="1"/>
  <c r="R19" i="6"/>
  <c r="H19" i="6"/>
  <c r="Q19" i="6" s="1"/>
  <c r="D19" i="6"/>
  <c r="I19" i="6" s="1"/>
  <c r="J19" i="6" s="1"/>
  <c r="C19" i="6"/>
  <c r="F19" i="6" s="1"/>
  <c r="R18" i="6"/>
  <c r="F18" i="6"/>
  <c r="D18" i="6"/>
  <c r="I18" i="6" s="1"/>
  <c r="J18" i="6" s="1"/>
  <c r="C18" i="6"/>
  <c r="R17" i="6"/>
  <c r="I17" i="6"/>
  <c r="J17" i="6" s="1"/>
  <c r="H17" i="6"/>
  <c r="Q17" i="6" s="1"/>
  <c r="G17" i="6"/>
  <c r="F17" i="6"/>
  <c r="D17" i="6"/>
  <c r="C17" i="6"/>
  <c r="R16" i="6"/>
  <c r="I16" i="6"/>
  <c r="J16" i="6" s="1"/>
  <c r="H16" i="6"/>
  <c r="Q16" i="6" s="1"/>
  <c r="G16" i="6"/>
  <c r="F16" i="6"/>
  <c r="D16" i="6"/>
  <c r="C16" i="6"/>
  <c r="R15" i="6"/>
  <c r="J15" i="6"/>
  <c r="I15" i="6"/>
  <c r="H15" i="6"/>
  <c r="Q15" i="6" s="1"/>
  <c r="G15" i="6"/>
  <c r="F15" i="6"/>
  <c r="D15" i="6"/>
  <c r="C15" i="6"/>
  <c r="R14" i="6"/>
  <c r="J14" i="6"/>
  <c r="I14" i="6"/>
  <c r="H14" i="6"/>
  <c r="Q14" i="6" s="1"/>
  <c r="G14" i="6"/>
  <c r="F14" i="6"/>
  <c r="D14" i="6"/>
  <c r="C14" i="6"/>
  <c r="R13" i="6"/>
  <c r="J13" i="6"/>
  <c r="I13" i="6"/>
  <c r="H13" i="6"/>
  <c r="Q13" i="6" s="1"/>
  <c r="F13" i="6"/>
  <c r="G13" i="6"/>
  <c r="D13" i="6"/>
  <c r="C13" i="6"/>
  <c r="R12" i="6"/>
  <c r="G12" i="6"/>
  <c r="D12" i="6"/>
  <c r="I12" i="6" s="1"/>
  <c r="J12" i="6" s="1"/>
  <c r="C12" i="6"/>
  <c r="H12" i="6" s="1"/>
  <c r="Q12" i="6" s="1"/>
  <c r="R11" i="6"/>
  <c r="H11" i="6"/>
  <c r="Q11" i="6" s="1"/>
  <c r="D11" i="6"/>
  <c r="I11" i="6" s="1"/>
  <c r="J11" i="6" s="1"/>
  <c r="C11" i="6"/>
  <c r="F11" i="6" s="1"/>
  <c r="R10" i="6"/>
  <c r="F10" i="6"/>
  <c r="H10" i="6"/>
  <c r="Q10" i="6" s="1"/>
  <c r="D10" i="6"/>
  <c r="I10" i="6" s="1"/>
  <c r="J10" i="6" s="1"/>
  <c r="C10" i="6"/>
  <c r="R9" i="6"/>
  <c r="I9" i="6"/>
  <c r="J9" i="6" s="1"/>
  <c r="H9" i="6"/>
  <c r="Q9" i="6" s="1"/>
  <c r="G9" i="6"/>
  <c r="F9" i="6"/>
  <c r="D9" i="6"/>
  <c r="C9" i="6"/>
  <c r="R8" i="6"/>
  <c r="I8" i="6"/>
  <c r="J8" i="6" s="1"/>
  <c r="H8" i="6"/>
  <c r="Q8" i="6" s="1"/>
  <c r="G8" i="6"/>
  <c r="F8" i="6"/>
  <c r="D8" i="6"/>
  <c r="C8" i="6"/>
  <c r="R7" i="6"/>
  <c r="J7" i="6"/>
  <c r="I7" i="6"/>
  <c r="H7" i="6"/>
  <c r="Q7" i="6" s="1"/>
  <c r="G7" i="6"/>
  <c r="F7" i="6"/>
  <c r="D7" i="6"/>
  <c r="C7" i="6"/>
  <c r="R6" i="6"/>
  <c r="J6" i="6"/>
  <c r="I6" i="6"/>
  <c r="H6" i="6"/>
  <c r="Q6" i="6" s="1"/>
  <c r="G6" i="6"/>
  <c r="F6" i="6"/>
  <c r="D6" i="6"/>
  <c r="C6" i="6"/>
  <c r="R5" i="6"/>
  <c r="J5" i="6"/>
  <c r="I5" i="6"/>
  <c r="H5" i="6"/>
  <c r="Q5" i="6" s="1"/>
  <c r="F5" i="6"/>
  <c r="G5" i="6"/>
  <c r="D5" i="6"/>
  <c r="C5" i="6"/>
  <c r="R4" i="6"/>
  <c r="G4" i="6"/>
  <c r="D4" i="6"/>
  <c r="I4" i="6" s="1"/>
  <c r="J4" i="6" s="1"/>
  <c r="C4" i="6"/>
  <c r="H4" i="6" s="1"/>
  <c r="Q4" i="6" s="1"/>
  <c r="R3" i="6"/>
  <c r="H3" i="6"/>
  <c r="Q3" i="6" s="1"/>
  <c r="D3" i="6"/>
  <c r="I3" i="6" s="1"/>
  <c r="J3" i="6" s="1"/>
  <c r="C3" i="6"/>
  <c r="F3" i="6" s="1"/>
  <c r="R2" i="6"/>
  <c r="F2" i="6"/>
  <c r="G2" i="6"/>
  <c r="D2" i="6"/>
  <c r="I2" i="6" s="1"/>
  <c r="J2" i="6" s="1"/>
  <c r="C2" i="6"/>
  <c r="Q1" i="6"/>
  <c r="K1" i="6"/>
  <c r="BO129" i="7" l="1"/>
  <c r="BO101" i="7"/>
  <c r="CP101" i="7" s="1"/>
  <c r="CP117" i="7"/>
  <c r="CV116" i="7"/>
  <c r="CV89" i="7" s="1"/>
  <c r="ET99" i="7"/>
  <c r="ES137" i="7"/>
  <c r="FA97" i="7" a="1"/>
  <c r="FA97" i="7" s="1"/>
  <c r="DY129" i="7"/>
  <c r="DT100" i="7" a="1"/>
  <c r="DT100" i="7" s="1"/>
  <c r="ET100" i="7" s="1"/>
  <c r="BY5" i="5"/>
  <c r="AZ5" i="5"/>
  <c r="BY33" i="5"/>
  <c r="AZ33" i="5"/>
  <c r="BY25" i="5"/>
  <c r="AZ25" i="5"/>
  <c r="BY9" i="5"/>
  <c r="AZ9" i="5"/>
  <c r="BY7" i="5"/>
  <c r="AZ7" i="5"/>
  <c r="BY23" i="5"/>
  <c r="AZ23" i="5"/>
  <c r="BY34" i="5"/>
  <c r="AZ34" i="5"/>
  <c r="BY29" i="5"/>
  <c r="AZ29" i="5"/>
  <c r="BY31" i="5"/>
  <c r="AZ31" i="5"/>
  <c r="BY12" i="5"/>
  <c r="AZ12" i="5"/>
  <c r="BY10" i="5"/>
  <c r="AZ10" i="5"/>
  <c r="BY15" i="5"/>
  <c r="AZ15" i="5"/>
  <c r="BY27" i="5"/>
  <c r="AZ27" i="5"/>
  <c r="BY26" i="5"/>
  <c r="AZ26" i="5"/>
  <c r="BY17" i="5"/>
  <c r="AZ17" i="5"/>
  <c r="BY21" i="5"/>
  <c r="AZ21" i="5"/>
  <c r="BY18" i="5"/>
  <c r="AZ18" i="5"/>
  <c r="BY35" i="5"/>
  <c r="AZ35" i="5"/>
  <c r="BY13" i="5"/>
  <c r="AZ13" i="5"/>
  <c r="BY3" i="5"/>
  <c r="AZ3" i="5"/>
  <c r="BY14" i="5"/>
  <c r="AZ14" i="5"/>
  <c r="BY19" i="5"/>
  <c r="AZ19" i="5"/>
  <c r="BY28" i="5"/>
  <c r="AZ28" i="5"/>
  <c r="BY4" i="5"/>
  <c r="AZ4" i="5"/>
  <c r="BY20" i="5"/>
  <c r="AZ20" i="5"/>
  <c r="BY22" i="5"/>
  <c r="AZ22" i="5"/>
  <c r="BY24" i="5"/>
  <c r="AZ24" i="5"/>
  <c r="BY6" i="5"/>
  <c r="AZ6" i="5"/>
  <c r="BY8" i="5"/>
  <c r="AZ8" i="5"/>
  <c r="BY16" i="5"/>
  <c r="AZ16" i="5"/>
  <c r="BY36" i="5"/>
  <c r="BY37" i="5" s="1"/>
  <c r="AZ36" i="5"/>
  <c r="BY30" i="5"/>
  <c r="AZ30" i="5"/>
  <c r="BY32" i="5"/>
  <c r="AZ32" i="5"/>
  <c r="BY11" i="5"/>
  <c r="AZ11" i="5"/>
  <c r="G68" i="6"/>
  <c r="G26" i="6"/>
  <c r="G47" i="6"/>
  <c r="G3" i="6"/>
  <c r="G11" i="6"/>
  <c r="G19" i="6"/>
  <c r="H34" i="6"/>
  <c r="Q34" i="6" s="1"/>
  <c r="G42" i="6"/>
  <c r="H18" i="6"/>
  <c r="Q18" i="6" s="1"/>
  <c r="H52" i="6"/>
  <c r="Q52" i="6" s="1"/>
  <c r="F12" i="6"/>
  <c r="F20" i="6"/>
  <c r="G27" i="6"/>
  <c r="G35" i="6"/>
  <c r="F48" i="6"/>
  <c r="G53" i="6"/>
  <c r="G58" i="6"/>
  <c r="G62" i="6"/>
  <c r="G66" i="6"/>
  <c r="F4" i="6"/>
  <c r="F28" i="6"/>
  <c r="F36" i="6"/>
  <c r="F43" i="6"/>
  <c r="H2" i="6"/>
  <c r="Q2" i="6" s="1"/>
  <c r="G10" i="6"/>
  <c r="H41" i="6"/>
  <c r="Q41" i="6" s="1"/>
  <c r="G59" i="6"/>
  <c r="G63" i="6"/>
  <c r="G67" i="6"/>
  <c r="O13" i="4"/>
  <c r="W71" i="1"/>
  <c r="T71" i="1"/>
  <c r="S71" i="1"/>
  <c r="S51" i="1"/>
  <c r="G9" i="4"/>
  <c r="DB26" i="5"/>
  <c r="DD14" i="5"/>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14" i="4"/>
  <c r="P14" i="4" s="1"/>
  <c r="DY130" i="7" l="1"/>
  <c r="DT101" i="7" a="1"/>
  <c r="DT101" i="7" s="1"/>
  <c r="ET101" i="7" s="1"/>
  <c r="ES138" i="7"/>
  <c r="FA98" i="7" a="1"/>
  <c r="FA98" i="7" s="1"/>
  <c r="CP118" i="7"/>
  <c r="CV117" i="7"/>
  <c r="CV90" i="7" s="1"/>
  <c r="BO130" i="7"/>
  <c r="BO103" i="7" s="1"/>
  <c r="CP103" i="7" s="1"/>
  <c r="BO102" i="7"/>
  <c r="CP102" i="7" s="1"/>
  <c r="BY38" i="5"/>
  <c r="V27" i="4"/>
  <c r="V43" i="4"/>
  <c r="V59" i="4"/>
  <c r="V75" i="4"/>
  <c r="V28" i="4"/>
  <c r="V60" i="4"/>
  <c r="V76" i="4"/>
  <c r="V29" i="4"/>
  <c r="V61" i="4"/>
  <c r="V77" i="4"/>
  <c r="V42" i="4"/>
  <c r="V44" i="4"/>
  <c r="V26" i="4"/>
  <c r="V45" i="4"/>
  <c r="V74" i="4"/>
  <c r="V14" i="4"/>
  <c r="V30" i="4"/>
  <c r="V46" i="4"/>
  <c r="V62" i="4"/>
  <c r="V78" i="4"/>
  <c r="V15" i="4"/>
  <c r="V31" i="4"/>
  <c r="V47" i="4"/>
  <c r="V63" i="4"/>
  <c r="V79" i="4"/>
  <c r="V58" i="4"/>
  <c r="V16" i="4"/>
  <c r="V32" i="4"/>
  <c r="V48" i="4"/>
  <c r="V64" i="4"/>
  <c r="V13" i="4"/>
  <c r="V33" i="4"/>
  <c r="V49" i="4"/>
  <c r="V65" i="4"/>
  <c r="V66" i="4"/>
  <c r="V17" i="4"/>
  <c r="V18" i="4"/>
  <c r="V34" i="4"/>
  <c r="V50" i="4"/>
  <c r="V19" i="4"/>
  <c r="V35" i="4"/>
  <c r="V51" i="4"/>
  <c r="V67" i="4"/>
  <c r="V21" i="4"/>
  <c r="V53" i="4"/>
  <c r="V69" i="4"/>
  <c r="V55" i="4"/>
  <c r="V57" i="4"/>
  <c r="V20" i="4"/>
  <c r="V36" i="4"/>
  <c r="V52" i="4"/>
  <c r="V68" i="4"/>
  <c r="V41" i="4"/>
  <c r="V37" i="4"/>
  <c r="V22" i="4"/>
  <c r="V38" i="4"/>
  <c r="V54" i="4"/>
  <c r="V70" i="4"/>
  <c r="V39" i="4"/>
  <c r="V71" i="4"/>
  <c r="V73" i="4"/>
  <c r="V23" i="4"/>
  <c r="V24" i="4"/>
  <c r="V40" i="4"/>
  <c r="V56" i="4"/>
  <c r="V72" i="4"/>
  <c r="V25" i="4"/>
  <c r="P80" i="4"/>
  <c r="P82" i="4" s="1"/>
  <c r="CP119" i="7" l="1"/>
  <c r="CV118" i="7"/>
  <c r="CV91" i="7" s="1"/>
  <c r="ES139" i="7"/>
  <c r="FA99" i="7" a="1"/>
  <c r="FA99" i="7" s="1"/>
  <c r="DY131" i="7"/>
  <c r="DT103" i="7" s="1" a="1"/>
  <c r="DT103" i="7" s="1"/>
  <c r="ET103" i="7" s="1"/>
  <c r="DT102" i="7" a="1"/>
  <c r="DT102" i="7" s="1"/>
  <c r="ET102" i="7" s="1"/>
  <c r="BY39" i="5"/>
  <c r="V80" i="4"/>
  <c r="G7" i="4" s="1"/>
  <c r="ES140" i="7" l="1"/>
  <c r="FA100" i="7" a="1"/>
  <c r="FA100" i="7" s="1"/>
  <c r="CP120" i="7"/>
  <c r="CV119" i="7"/>
  <c r="CV92" i="7" s="1"/>
  <c r="BY40" i="5"/>
  <c r="E14" i="4"/>
  <c r="E15" i="4"/>
  <c r="E16" i="4"/>
  <c r="E17" i="4"/>
  <c r="E18" i="4"/>
  <c r="E19" i="4"/>
  <c r="E20" i="4"/>
  <c r="E21" i="4"/>
  <c r="E22" i="4"/>
  <c r="E23" i="4"/>
  <c r="E24" i="4"/>
  <c r="E25" i="4"/>
  <c r="E26" i="4"/>
  <c r="E27" i="4"/>
  <c r="F27" i="4" s="1"/>
  <c r="E28" i="4"/>
  <c r="F28" i="4" s="1"/>
  <c r="E29" i="4"/>
  <c r="F29" i="4" s="1"/>
  <c r="E30" i="4"/>
  <c r="E31" i="4"/>
  <c r="E32" i="4"/>
  <c r="E33" i="4"/>
  <c r="E34" i="4"/>
  <c r="E35" i="4"/>
  <c r="E36" i="4"/>
  <c r="E37" i="4"/>
  <c r="E38" i="4"/>
  <c r="E39" i="4"/>
  <c r="E40" i="4"/>
  <c r="E41" i="4"/>
  <c r="E42" i="4"/>
  <c r="E43" i="4"/>
  <c r="F43" i="4" s="1"/>
  <c r="E44" i="4"/>
  <c r="F44" i="4" s="1"/>
  <c r="E45" i="4"/>
  <c r="F45" i="4" s="1"/>
  <c r="E46" i="4"/>
  <c r="E47" i="4"/>
  <c r="E48" i="4"/>
  <c r="E49" i="4"/>
  <c r="E50" i="4"/>
  <c r="E51" i="4"/>
  <c r="E52" i="4"/>
  <c r="E53" i="4"/>
  <c r="E54" i="4"/>
  <c r="E55" i="4"/>
  <c r="E56" i="4"/>
  <c r="E57" i="4"/>
  <c r="E58" i="4"/>
  <c r="E59" i="4"/>
  <c r="F59" i="4" s="1"/>
  <c r="E60" i="4"/>
  <c r="F60" i="4" s="1"/>
  <c r="E61" i="4"/>
  <c r="F61" i="4" s="1"/>
  <c r="E62" i="4"/>
  <c r="E63" i="4"/>
  <c r="E64" i="4"/>
  <c r="E65" i="4"/>
  <c r="E66" i="4"/>
  <c r="E67" i="4"/>
  <c r="E68" i="4"/>
  <c r="E69" i="4"/>
  <c r="E70" i="4"/>
  <c r="E71" i="4"/>
  <c r="E72" i="4"/>
  <c r="E73" i="4"/>
  <c r="E74" i="4"/>
  <c r="E75" i="4"/>
  <c r="F75" i="4" s="1"/>
  <c r="E76" i="4"/>
  <c r="F76" i="4" s="1"/>
  <c r="E77" i="4"/>
  <c r="F77" i="4" s="1"/>
  <c r="E78" i="4"/>
  <c r="E79" i="4"/>
  <c r="E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13" i="4"/>
  <c r="G13" i="4" s="1"/>
  <c r="C62" i="5"/>
  <c r="C63" i="5"/>
  <c r="C64" i="5"/>
  <c r="C65" i="5"/>
  <c r="C66" i="5"/>
  <c r="C67" i="5"/>
  <c r="C68" i="5"/>
  <c r="C69" i="5"/>
  <c r="R77" i="3" s="1"/>
  <c r="L69" i="5" s="1"/>
  <c r="C55" i="5"/>
  <c r="C56" i="5"/>
  <c r="C57" i="5"/>
  <c r="C58" i="5"/>
  <c r="C59" i="5"/>
  <c r="C60" i="5"/>
  <c r="C61" i="5"/>
  <c r="C48" i="5"/>
  <c r="C49" i="5"/>
  <c r="C50" i="5"/>
  <c r="C51" i="5"/>
  <c r="C52" i="5"/>
  <c r="C53" i="5"/>
  <c r="C54" i="5"/>
  <c r="C39" i="5"/>
  <c r="C40" i="5"/>
  <c r="C41" i="5"/>
  <c r="C42" i="5"/>
  <c r="C43" i="5"/>
  <c r="C44" i="5"/>
  <c r="C45" i="5"/>
  <c r="C46" i="5"/>
  <c r="C47" i="5"/>
  <c r="C37" i="5"/>
  <c r="C38" i="5"/>
  <c r="C31" i="5"/>
  <c r="C32" i="5"/>
  <c r="C33" i="5"/>
  <c r="C34" i="5"/>
  <c r="C35" i="5"/>
  <c r="C36" i="5"/>
  <c r="C21" i="5"/>
  <c r="C22" i="5"/>
  <c r="C23" i="5"/>
  <c r="C24" i="5"/>
  <c r="C25" i="5"/>
  <c r="C26" i="5"/>
  <c r="C27" i="5"/>
  <c r="C28" i="5"/>
  <c r="C29" i="5"/>
  <c r="C30" i="5"/>
  <c r="C6" i="5"/>
  <c r="C7" i="5"/>
  <c r="C8" i="5"/>
  <c r="C9" i="5"/>
  <c r="C10" i="5"/>
  <c r="C11" i="5"/>
  <c r="C12" i="5"/>
  <c r="C13" i="5"/>
  <c r="C14" i="5"/>
  <c r="C15" i="5"/>
  <c r="C16" i="5"/>
  <c r="C17" i="5"/>
  <c r="C18" i="5"/>
  <c r="C19" i="5"/>
  <c r="C20" i="5"/>
  <c r="C4" i="5"/>
  <c r="C5" i="5"/>
  <c r="C3"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97" i="5"/>
  <c r="CP121" i="7" l="1"/>
  <c r="CV120" i="7"/>
  <c r="CV93" i="7" s="1"/>
  <c r="ES141" i="7"/>
  <c r="FA101" i="7" a="1"/>
  <c r="FA101" i="7" s="1"/>
  <c r="R37" i="3"/>
  <c r="D40" i="7"/>
  <c r="R35" i="3"/>
  <c r="D38" i="7"/>
  <c r="R68" i="3"/>
  <c r="D71" i="7"/>
  <c r="R36" i="3"/>
  <c r="D39" i="7"/>
  <c r="R53" i="3"/>
  <c r="D56" i="7"/>
  <c r="R28" i="3"/>
  <c r="D31" i="7"/>
  <c r="R55" i="3"/>
  <c r="D58" i="7"/>
  <c r="R26" i="3"/>
  <c r="D29" i="7"/>
  <c r="R27" i="3"/>
  <c r="D30" i="7"/>
  <c r="R25" i="3"/>
  <c r="D28" i="7"/>
  <c r="R24" i="3"/>
  <c r="D27" i="7"/>
  <c r="R65" i="3"/>
  <c r="D68" i="7"/>
  <c r="R31" i="3"/>
  <c r="D34" i="7"/>
  <c r="R50" i="3"/>
  <c r="D53" i="7"/>
  <c r="R64" i="3"/>
  <c r="D67" i="7"/>
  <c r="R34" i="3"/>
  <c r="D37" i="7"/>
  <c r="R52" i="3"/>
  <c r="D55" i="7"/>
  <c r="R30" i="3"/>
  <c r="D33" i="7"/>
  <c r="R49" i="3"/>
  <c r="D52" i="7"/>
  <c r="R63" i="3"/>
  <c r="D66" i="7"/>
  <c r="R21" i="3"/>
  <c r="D24" i="7"/>
  <c r="R23" i="3"/>
  <c r="D26" i="7"/>
  <c r="R48" i="3"/>
  <c r="D51" i="7"/>
  <c r="R18" i="3"/>
  <c r="D21" i="7"/>
  <c r="R67" i="3"/>
  <c r="D70" i="7"/>
  <c r="R20" i="3"/>
  <c r="D23" i="7"/>
  <c r="R19" i="3"/>
  <c r="D22" i="7"/>
  <c r="R76" i="3"/>
  <c r="D79" i="7"/>
  <c r="R17" i="3"/>
  <c r="D20" i="7"/>
  <c r="R42" i="3"/>
  <c r="D45" i="7"/>
  <c r="R61" i="3"/>
  <c r="D64" i="7"/>
  <c r="R74" i="3"/>
  <c r="D77" i="7"/>
  <c r="R56" i="3"/>
  <c r="D59" i="7"/>
  <c r="R54" i="3"/>
  <c r="D57" i="7"/>
  <c r="R33" i="3"/>
  <c r="D36" i="7"/>
  <c r="R44" i="3"/>
  <c r="D47" i="7"/>
  <c r="R16" i="3"/>
  <c r="D19" i="7"/>
  <c r="R41" i="3"/>
  <c r="D44" i="7"/>
  <c r="R60" i="3"/>
  <c r="D63" i="7"/>
  <c r="R73" i="3"/>
  <c r="D76" i="7"/>
  <c r="R29" i="3"/>
  <c r="D32" i="7"/>
  <c r="R43" i="3"/>
  <c r="D46" i="7"/>
  <c r="R11" i="3"/>
  <c r="D14" i="7"/>
  <c r="R15" i="3"/>
  <c r="D18" i="7"/>
  <c r="R40" i="3"/>
  <c r="D43" i="7"/>
  <c r="R59" i="3"/>
  <c r="D62" i="7"/>
  <c r="R72" i="3"/>
  <c r="D75" i="7"/>
  <c r="R69" i="3"/>
  <c r="D72" i="7"/>
  <c r="R51" i="3"/>
  <c r="D54" i="7"/>
  <c r="R22" i="3"/>
  <c r="D25" i="7"/>
  <c r="R47" i="3"/>
  <c r="D50" i="7"/>
  <c r="R75" i="3"/>
  <c r="D78" i="7"/>
  <c r="R13" i="3"/>
  <c r="D16" i="7"/>
  <c r="R14" i="3"/>
  <c r="D17" i="7"/>
  <c r="R39" i="3"/>
  <c r="D42" i="7"/>
  <c r="R58" i="3"/>
  <c r="D61" i="7"/>
  <c r="R71" i="3"/>
  <c r="D74" i="7"/>
  <c r="R45" i="3"/>
  <c r="D48" i="7"/>
  <c r="R66" i="3"/>
  <c r="D69" i="7"/>
  <c r="R32" i="3"/>
  <c r="D35" i="7"/>
  <c r="R62" i="3"/>
  <c r="D65" i="7"/>
  <c r="R12" i="3"/>
  <c r="D15" i="7"/>
  <c r="R38" i="3"/>
  <c r="D41" i="7"/>
  <c r="R46" i="3"/>
  <c r="D49" i="7"/>
  <c r="R57" i="3"/>
  <c r="D60" i="7"/>
  <c r="R70" i="3"/>
  <c r="D73" i="7"/>
  <c r="BY41" i="5"/>
  <c r="H13" i="4"/>
  <c r="I13" i="4"/>
  <c r="F74" i="4"/>
  <c r="F58" i="4"/>
  <c r="F42" i="4"/>
  <c r="F26" i="4"/>
  <c r="F57" i="4"/>
  <c r="F72" i="4"/>
  <c r="F56" i="4"/>
  <c r="F40" i="4"/>
  <c r="F24" i="4"/>
  <c r="F73" i="4"/>
  <c r="F25" i="4"/>
  <c r="F41" i="4"/>
  <c r="F70" i="4"/>
  <c r="F54" i="4"/>
  <c r="F38" i="4"/>
  <c r="F22" i="4"/>
  <c r="F23" i="4"/>
  <c r="F69" i="4"/>
  <c r="F53" i="4"/>
  <c r="F37" i="4"/>
  <c r="F21" i="4"/>
  <c r="F68" i="4"/>
  <c r="F52" i="4"/>
  <c r="F36" i="4"/>
  <c r="F20" i="4"/>
  <c r="F39" i="4"/>
  <c r="F67" i="4"/>
  <c r="F51" i="4"/>
  <c r="F35" i="4"/>
  <c r="F19" i="4"/>
  <c r="F66" i="4"/>
  <c r="F50" i="4"/>
  <c r="F34" i="4"/>
  <c r="F18" i="4"/>
  <c r="F55" i="4"/>
  <c r="F65" i="4"/>
  <c r="F49" i="4"/>
  <c r="F33" i="4"/>
  <c r="F17" i="4"/>
  <c r="F71" i="4"/>
  <c r="F64" i="4"/>
  <c r="F16" i="4"/>
  <c r="F79" i="4"/>
  <c r="F63" i="4"/>
  <c r="F47" i="4"/>
  <c r="F31" i="4"/>
  <c r="F15" i="4"/>
  <c r="F13" i="4"/>
  <c r="F48" i="4"/>
  <c r="F32" i="4"/>
  <c r="F78" i="4"/>
  <c r="F62" i="4"/>
  <c r="F46" i="4"/>
  <c r="F30" i="4"/>
  <c r="F14" i="4"/>
  <c r="ES142" i="7" l="1"/>
  <c r="FA103" i="7" s="1" a="1"/>
  <c r="FA103" i="7" s="1"/>
  <c r="FA102" i="7" a="1"/>
  <c r="FA102" i="7" s="1"/>
  <c r="CP122" i="7"/>
  <c r="CV121" i="7"/>
  <c r="CV94" i="7" s="1"/>
  <c r="BY42" i="5"/>
  <c r="M13" i="4"/>
  <c r="D51" i="1"/>
  <c r="D52" i="1"/>
  <c r="D53" i="1"/>
  <c r="D54" i="1"/>
  <c r="D55" i="1"/>
  <c r="D56" i="1"/>
  <c r="D57" i="1"/>
  <c r="D58" i="1"/>
  <c r="D59" i="1"/>
  <c r="D60" i="1"/>
  <c r="D61" i="1"/>
  <c r="D62" i="1"/>
  <c r="E59" i="2" s="1"/>
  <c r="H59" i="2" s="1"/>
  <c r="D63" i="1"/>
  <c r="E60" i="2" s="1"/>
  <c r="H60" i="2" s="1"/>
  <c r="D64" i="1"/>
  <c r="E61" i="2" s="1"/>
  <c r="H61" i="2" s="1"/>
  <c r="D65" i="1"/>
  <c r="E62" i="2" s="1"/>
  <c r="H62" i="2" s="1"/>
  <c r="D66" i="1"/>
  <c r="E63" i="2" s="1"/>
  <c r="H63" i="2" s="1"/>
  <c r="D67" i="1"/>
  <c r="D68" i="1"/>
  <c r="D69" i="1"/>
  <c r="D70" i="1"/>
  <c r="D71"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H48" i="2" s="1"/>
  <c r="E49" i="2"/>
  <c r="H49" i="2" s="1"/>
  <c r="E50" i="2"/>
  <c r="H50" i="2" s="1"/>
  <c r="E51" i="2"/>
  <c r="H51" i="2" s="1"/>
  <c r="E52" i="2"/>
  <c r="H52" i="2" s="1"/>
  <c r="E53" i="2"/>
  <c r="H53" i="2" s="1"/>
  <c r="E54" i="2"/>
  <c r="H54" i="2" s="1"/>
  <c r="E55" i="2"/>
  <c r="H55" i="2" s="1"/>
  <c r="E56" i="2"/>
  <c r="H56" i="2" s="1"/>
  <c r="E57" i="2"/>
  <c r="H57" i="2" s="1"/>
  <c r="E58" i="2"/>
  <c r="H58" i="2" s="1"/>
  <c r="E64" i="2"/>
  <c r="H64" i="2" s="1"/>
  <c r="E65" i="2"/>
  <c r="H65" i="2" s="1"/>
  <c r="E66" i="2"/>
  <c r="H66" i="2" s="1"/>
  <c r="E67" i="2"/>
  <c r="H67" i="2" s="1"/>
  <c r="E68" i="2"/>
  <c r="H68" i="2" s="1"/>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2" i="2"/>
  <c r="G51" i="1"/>
  <c r="G52" i="1"/>
  <c r="G53" i="1"/>
  <c r="G54" i="1"/>
  <c r="G55" i="1"/>
  <c r="G56" i="1"/>
  <c r="G57" i="1"/>
  <c r="G58" i="1"/>
  <c r="G59" i="1"/>
  <c r="G60" i="1"/>
  <c r="G61" i="1"/>
  <c r="G62" i="1"/>
  <c r="G63" i="1"/>
  <c r="G64" i="1"/>
  <c r="G65" i="1"/>
  <c r="G66" i="1"/>
  <c r="G67" i="1"/>
  <c r="G68" i="1"/>
  <c r="G69" i="1"/>
  <c r="G70" i="1"/>
  <c r="G71" i="1"/>
  <c r="G50"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7" i="1"/>
  <c r="G6" i="1"/>
  <c r="G5" i="1"/>
  <c r="C43" i="1"/>
  <c r="C44" i="1"/>
  <c r="C45" i="1"/>
  <c r="C46" i="1"/>
  <c r="C47"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5" i="1"/>
  <c r="B5" i="1"/>
  <c r="H58"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9" i="1"/>
  <c r="H60" i="1"/>
  <c r="H61" i="1"/>
  <c r="H62" i="1"/>
  <c r="H63" i="1"/>
  <c r="H64" i="1"/>
  <c r="H65" i="1"/>
  <c r="H66" i="1"/>
  <c r="H67" i="1"/>
  <c r="H68" i="1"/>
  <c r="H69" i="1"/>
  <c r="H70" i="1"/>
  <c r="H71" i="1"/>
  <c r="H5" i="1"/>
  <c r="D48" i="1"/>
  <c r="D49" i="1"/>
  <c r="D50" i="1"/>
  <c r="D47"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AB5" i="1"/>
  <c r="W44" i="1"/>
  <c r="V45" i="1"/>
  <c r="DN101" i="5"/>
  <c r="CP123" i="7" l="1"/>
  <c r="CV122" i="7"/>
  <c r="CV95" i="7" s="1"/>
  <c r="BY43" i="5"/>
  <c r="Q13" i="4"/>
  <c r="L14" i="4" s="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H69" i="5" s="1"/>
  <c r="E3" i="5"/>
  <c r="H3" i="5" s="1"/>
  <c r="F69" i="5"/>
  <c r="D69" i="5"/>
  <c r="I69" i="5" s="1"/>
  <c r="J69" i="5" s="1"/>
  <c r="BZ68" i="5"/>
  <c r="F68" i="5"/>
  <c r="D68" i="5"/>
  <c r="BZ67" i="5"/>
  <c r="F67" i="5"/>
  <c r="D67" i="5"/>
  <c r="BZ66" i="5"/>
  <c r="F66" i="5"/>
  <c r="D66" i="5"/>
  <c r="BZ65" i="5"/>
  <c r="F65" i="5"/>
  <c r="D65" i="5"/>
  <c r="BZ64" i="5"/>
  <c r="F64" i="5"/>
  <c r="D64" i="5"/>
  <c r="BZ63" i="5"/>
  <c r="F63" i="5"/>
  <c r="D63" i="5"/>
  <c r="BZ62" i="5"/>
  <c r="F62" i="5"/>
  <c r="D62" i="5"/>
  <c r="BZ61" i="5"/>
  <c r="F61" i="5"/>
  <c r="D61" i="5"/>
  <c r="BZ60" i="5"/>
  <c r="F60" i="5"/>
  <c r="D60" i="5"/>
  <c r="BZ59" i="5"/>
  <c r="F59" i="5"/>
  <c r="D59" i="5"/>
  <c r="BZ58" i="5"/>
  <c r="F58" i="5"/>
  <c r="D58" i="5"/>
  <c r="BZ57" i="5"/>
  <c r="F57" i="5"/>
  <c r="D57" i="5"/>
  <c r="BZ56" i="5"/>
  <c r="F56" i="5"/>
  <c r="D56" i="5"/>
  <c r="BZ55" i="5"/>
  <c r="F55" i="5"/>
  <c r="D55" i="5"/>
  <c r="BZ54" i="5"/>
  <c r="F54" i="5"/>
  <c r="D54" i="5"/>
  <c r="BZ53" i="5"/>
  <c r="F53" i="5"/>
  <c r="D53" i="5"/>
  <c r="BZ52" i="5"/>
  <c r="F52" i="5"/>
  <c r="D52" i="5"/>
  <c r="BZ51" i="5"/>
  <c r="F51" i="5"/>
  <c r="D51" i="5"/>
  <c r="BZ50" i="5"/>
  <c r="F50" i="5"/>
  <c r="D50" i="5"/>
  <c r="BZ49" i="5"/>
  <c r="F49" i="5"/>
  <c r="D49" i="5"/>
  <c r="BZ48" i="5"/>
  <c r="F48" i="5"/>
  <c r="D48" i="5"/>
  <c r="BZ47" i="5"/>
  <c r="F47" i="5"/>
  <c r="D47" i="5"/>
  <c r="BZ46" i="5"/>
  <c r="F46" i="5"/>
  <c r="D46" i="5"/>
  <c r="BZ45" i="5"/>
  <c r="F45" i="5"/>
  <c r="D45" i="5"/>
  <c r="BZ44" i="5"/>
  <c r="F44" i="5"/>
  <c r="D44" i="5"/>
  <c r="BZ43" i="5"/>
  <c r="F43" i="5"/>
  <c r="D43" i="5"/>
  <c r="BZ42" i="5"/>
  <c r="F42" i="5"/>
  <c r="D42" i="5"/>
  <c r="BZ41" i="5"/>
  <c r="F41" i="5"/>
  <c r="D41" i="5"/>
  <c r="BZ40" i="5"/>
  <c r="F40" i="5"/>
  <c r="D40" i="5"/>
  <c r="BZ39" i="5"/>
  <c r="F39" i="5"/>
  <c r="D39" i="5"/>
  <c r="BZ38" i="5"/>
  <c r="F38" i="5"/>
  <c r="D38" i="5"/>
  <c r="BZ37" i="5"/>
  <c r="F37" i="5"/>
  <c r="D37" i="5"/>
  <c r="BZ36" i="5"/>
  <c r="F36" i="5"/>
  <c r="D36" i="5"/>
  <c r="BZ35" i="5"/>
  <c r="F35" i="5"/>
  <c r="D35" i="5"/>
  <c r="BZ34" i="5"/>
  <c r="F34" i="5"/>
  <c r="D34" i="5"/>
  <c r="BZ33" i="5"/>
  <c r="F33" i="5"/>
  <c r="D33" i="5"/>
  <c r="BZ32" i="5"/>
  <c r="F32" i="5"/>
  <c r="D32" i="5"/>
  <c r="BZ31" i="5"/>
  <c r="F31" i="5"/>
  <c r="D31" i="5"/>
  <c r="BZ30" i="5"/>
  <c r="F30" i="5"/>
  <c r="D30" i="5"/>
  <c r="BZ29" i="5"/>
  <c r="F29" i="5"/>
  <c r="D29" i="5"/>
  <c r="BZ28" i="5"/>
  <c r="F28" i="5"/>
  <c r="D28" i="5"/>
  <c r="BZ27" i="5"/>
  <c r="F27" i="5"/>
  <c r="D27" i="5"/>
  <c r="BZ26" i="5"/>
  <c r="F26" i="5"/>
  <c r="D26" i="5"/>
  <c r="BZ25" i="5"/>
  <c r="F25" i="5"/>
  <c r="D25" i="5"/>
  <c r="BZ24" i="5"/>
  <c r="F24" i="5"/>
  <c r="D24" i="5"/>
  <c r="BZ23" i="5"/>
  <c r="F23" i="5"/>
  <c r="D23" i="5"/>
  <c r="BZ22" i="5"/>
  <c r="F22" i="5"/>
  <c r="D22" i="5"/>
  <c r="BZ21" i="5"/>
  <c r="F21" i="5"/>
  <c r="D21" i="5"/>
  <c r="BZ20" i="5"/>
  <c r="F20" i="5"/>
  <c r="D20" i="5"/>
  <c r="BZ19" i="5"/>
  <c r="F19" i="5"/>
  <c r="D19" i="5"/>
  <c r="BZ18" i="5"/>
  <c r="F18" i="5"/>
  <c r="D18" i="5"/>
  <c r="BZ17" i="5"/>
  <c r="F17" i="5"/>
  <c r="D17" i="5"/>
  <c r="BZ16" i="5"/>
  <c r="F16" i="5"/>
  <c r="D16" i="5"/>
  <c r="BZ15" i="5"/>
  <c r="F15" i="5"/>
  <c r="D15" i="5"/>
  <c r="BZ14" i="5"/>
  <c r="F14" i="5"/>
  <c r="D14" i="5"/>
  <c r="BZ13" i="5"/>
  <c r="F13" i="5"/>
  <c r="D13" i="5"/>
  <c r="BZ12" i="5"/>
  <c r="F12" i="5"/>
  <c r="D12" i="5"/>
  <c r="BZ11" i="5"/>
  <c r="F11" i="5"/>
  <c r="D11" i="5"/>
  <c r="BZ10" i="5"/>
  <c r="F10" i="5"/>
  <c r="D10" i="5"/>
  <c r="BZ9" i="5"/>
  <c r="F9" i="5"/>
  <c r="D9" i="5"/>
  <c r="BZ8" i="5"/>
  <c r="F8" i="5"/>
  <c r="D8" i="5"/>
  <c r="BZ7" i="5"/>
  <c r="F7" i="5"/>
  <c r="D7" i="5"/>
  <c r="BZ6" i="5"/>
  <c r="F6" i="5"/>
  <c r="D6" i="5"/>
  <c r="BZ5" i="5"/>
  <c r="F5" i="5"/>
  <c r="D5" i="5"/>
  <c r="BZ4" i="5"/>
  <c r="F4" i="5"/>
  <c r="D4" i="5"/>
  <c r="BZ3" i="5"/>
  <c r="F3" i="5"/>
  <c r="D3" i="5"/>
  <c r="BW2" i="5"/>
  <c r="L2" i="5"/>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2" i="2"/>
  <c r="CP124" i="7" l="1"/>
  <c r="CV123" i="7"/>
  <c r="CV96" i="7" s="1"/>
  <c r="I47" i="5"/>
  <c r="J47" i="5" s="1"/>
  <c r="G58" i="7"/>
  <c r="I63" i="5"/>
  <c r="J63" i="5" s="1"/>
  <c r="G74" i="7"/>
  <c r="H58" i="5"/>
  <c r="BW58" i="5" s="1"/>
  <c r="E69" i="7"/>
  <c r="F69" i="7" s="1"/>
  <c r="G42" i="5"/>
  <c r="E53" i="7"/>
  <c r="F53" i="7" s="1"/>
  <c r="G26" i="5"/>
  <c r="E37" i="7"/>
  <c r="F37" i="7" s="1"/>
  <c r="H10" i="5"/>
  <c r="BW10" i="5" s="1"/>
  <c r="E21" i="7"/>
  <c r="F21" i="7" s="1"/>
  <c r="H9" i="5"/>
  <c r="BW9" i="5" s="1"/>
  <c r="E20" i="7"/>
  <c r="F20" i="7" s="1"/>
  <c r="I4" i="5"/>
  <c r="J4" i="5" s="1"/>
  <c r="G15" i="7"/>
  <c r="G8" i="5"/>
  <c r="E19" i="7"/>
  <c r="F19" i="7" s="1"/>
  <c r="I10" i="5"/>
  <c r="J10" i="5" s="1"/>
  <c r="G21" i="7"/>
  <c r="H57" i="5"/>
  <c r="BW57" i="5" s="1"/>
  <c r="E68" i="7"/>
  <c r="F68" i="7" s="1"/>
  <c r="I48" i="5"/>
  <c r="J48" i="5" s="1"/>
  <c r="G59" i="7"/>
  <c r="H23" i="5"/>
  <c r="BW23" i="5" s="1"/>
  <c r="E34" i="7"/>
  <c r="F34" i="7" s="1"/>
  <c r="H7" i="5"/>
  <c r="BW7" i="5" s="1"/>
  <c r="E18" i="7"/>
  <c r="F18" i="7" s="1"/>
  <c r="G24" i="5"/>
  <c r="E35" i="7"/>
  <c r="F35" i="7" s="1"/>
  <c r="I27" i="5"/>
  <c r="J27" i="5" s="1"/>
  <c r="G38" i="7"/>
  <c r="I59" i="5"/>
  <c r="J59" i="5" s="1"/>
  <c r="G70" i="7"/>
  <c r="BW3" i="5"/>
  <c r="E14" i="7"/>
  <c r="F14" i="7" s="1"/>
  <c r="G54" i="5"/>
  <c r="E65" i="7"/>
  <c r="F65" i="7" s="1"/>
  <c r="G38" i="5"/>
  <c r="E49" i="7"/>
  <c r="F49" i="7" s="1"/>
  <c r="H22" i="5"/>
  <c r="BW22" i="5" s="1"/>
  <c r="E33" i="7"/>
  <c r="F33" i="7" s="1"/>
  <c r="G6" i="5"/>
  <c r="E17" i="7"/>
  <c r="F17" i="7" s="1"/>
  <c r="I15" i="5"/>
  <c r="J15" i="5" s="1"/>
  <c r="G26" i="7"/>
  <c r="H53" i="5"/>
  <c r="BW53" i="5" s="1"/>
  <c r="E64" i="7"/>
  <c r="F64" i="7" s="1"/>
  <c r="H37" i="5"/>
  <c r="BW37" i="5" s="1"/>
  <c r="E48" i="7"/>
  <c r="F48" i="7" s="1"/>
  <c r="H21" i="5"/>
  <c r="BW21" i="5" s="1"/>
  <c r="E32" i="7"/>
  <c r="F32" i="7" s="1"/>
  <c r="G5" i="5"/>
  <c r="E16" i="7"/>
  <c r="F16" i="7" s="1"/>
  <c r="I16" i="5"/>
  <c r="J16" i="5" s="1"/>
  <c r="G27" i="7"/>
  <c r="I43" i="5"/>
  <c r="J43" i="5" s="1"/>
  <c r="G54" i="7"/>
  <c r="I49" i="5"/>
  <c r="J49" i="5" s="1"/>
  <c r="G60" i="7"/>
  <c r="I65" i="5"/>
  <c r="J65" i="5" s="1"/>
  <c r="G76" i="7"/>
  <c r="H68" i="5"/>
  <c r="BW68" i="5" s="1"/>
  <c r="E79" i="7"/>
  <c r="F79" i="7" s="1"/>
  <c r="G52" i="5"/>
  <c r="E63" i="7"/>
  <c r="F63" i="7" s="1"/>
  <c r="H36" i="5"/>
  <c r="BW36" i="5" s="1"/>
  <c r="E47" i="7"/>
  <c r="F47" i="7" s="1"/>
  <c r="G20" i="5"/>
  <c r="E31" i="7"/>
  <c r="F31" i="7" s="1"/>
  <c r="H4" i="5"/>
  <c r="BW4" i="5" s="1"/>
  <c r="E15" i="7"/>
  <c r="F15" i="7" s="1"/>
  <c r="G43" i="5"/>
  <c r="E54" i="7"/>
  <c r="F54" i="7" s="1"/>
  <c r="H41" i="5"/>
  <c r="BW41" i="5" s="1"/>
  <c r="E52" i="7"/>
  <c r="F52" i="7" s="1"/>
  <c r="G55" i="5"/>
  <c r="E66" i="7"/>
  <c r="F66" i="7" s="1"/>
  <c r="I22" i="5"/>
  <c r="J22" i="5" s="1"/>
  <c r="G33" i="7"/>
  <c r="I60" i="5"/>
  <c r="J60" i="5" s="1"/>
  <c r="G71" i="7"/>
  <c r="G67" i="5"/>
  <c r="E78" i="7"/>
  <c r="F78" i="7" s="1"/>
  <c r="G51" i="5"/>
  <c r="E62" i="7"/>
  <c r="F62" i="7" s="1"/>
  <c r="G35" i="5"/>
  <c r="E46" i="7"/>
  <c r="F46" i="7" s="1"/>
  <c r="G19" i="5"/>
  <c r="E30" i="7"/>
  <c r="F30" i="7" s="1"/>
  <c r="G27" i="5"/>
  <c r="E38" i="7"/>
  <c r="F38" i="7" s="1"/>
  <c r="H25" i="5"/>
  <c r="BW25" i="5" s="1"/>
  <c r="E36" i="7"/>
  <c r="F36" i="7" s="1"/>
  <c r="H39" i="5"/>
  <c r="BW39" i="5" s="1"/>
  <c r="E50" i="7"/>
  <c r="F50" i="7" s="1"/>
  <c r="I55" i="5"/>
  <c r="J55" i="5" s="1"/>
  <c r="G66" i="7"/>
  <c r="G50" i="5"/>
  <c r="E61" i="7"/>
  <c r="F61" i="7" s="1"/>
  <c r="H34" i="5"/>
  <c r="BW34" i="5" s="1"/>
  <c r="E45" i="7"/>
  <c r="F45" i="7" s="1"/>
  <c r="H18" i="5"/>
  <c r="BW18" i="5" s="1"/>
  <c r="E29" i="7"/>
  <c r="F29" i="7" s="1"/>
  <c r="I20" i="5"/>
  <c r="J20" i="5" s="1"/>
  <c r="G31" i="7"/>
  <c r="H11" i="5"/>
  <c r="BW11" i="5" s="1"/>
  <c r="E22" i="7"/>
  <c r="F22" i="7" s="1"/>
  <c r="I42" i="5"/>
  <c r="J42" i="5" s="1"/>
  <c r="G53" i="7"/>
  <c r="I5" i="5"/>
  <c r="J5" i="5" s="1"/>
  <c r="G16" i="7"/>
  <c r="I53" i="5"/>
  <c r="J53" i="5" s="1"/>
  <c r="G64" i="7"/>
  <c r="I17" i="5"/>
  <c r="J17" i="5" s="1"/>
  <c r="G28" i="7"/>
  <c r="I12" i="5"/>
  <c r="J12" i="5" s="1"/>
  <c r="G23" i="7"/>
  <c r="I18" i="5"/>
  <c r="J18" i="5" s="1"/>
  <c r="G29" i="7"/>
  <c r="I50" i="5"/>
  <c r="J50" i="5" s="1"/>
  <c r="G61" i="7"/>
  <c r="I66" i="5"/>
  <c r="J66" i="5" s="1"/>
  <c r="G77" i="7"/>
  <c r="G65" i="5"/>
  <c r="E76" i="7"/>
  <c r="F76" i="7" s="1"/>
  <c r="G49" i="5"/>
  <c r="E60" i="7"/>
  <c r="F60" i="7" s="1"/>
  <c r="G33" i="5"/>
  <c r="E44" i="7"/>
  <c r="F44" i="7" s="1"/>
  <c r="G17" i="5"/>
  <c r="E28" i="7"/>
  <c r="F28" i="7" s="1"/>
  <c r="G59" i="5"/>
  <c r="E70" i="7"/>
  <c r="F70" i="7" s="1"/>
  <c r="I58" i="5"/>
  <c r="J58" i="5" s="1"/>
  <c r="G69" i="7"/>
  <c r="I37" i="5"/>
  <c r="J37" i="5" s="1"/>
  <c r="G48" i="7"/>
  <c r="I29" i="5"/>
  <c r="J29" i="5" s="1"/>
  <c r="G40" i="7"/>
  <c r="I45" i="5"/>
  <c r="J45" i="5" s="1"/>
  <c r="G56" i="7"/>
  <c r="I61" i="5"/>
  <c r="J61" i="5" s="1"/>
  <c r="G72" i="7"/>
  <c r="G64" i="5"/>
  <c r="E75" i="7"/>
  <c r="F75" i="7" s="1"/>
  <c r="G48" i="5"/>
  <c r="E59" i="7"/>
  <c r="F59" i="7" s="1"/>
  <c r="G32" i="5"/>
  <c r="E43" i="7"/>
  <c r="F43" i="7" s="1"/>
  <c r="G16" i="5"/>
  <c r="E27" i="7"/>
  <c r="F27" i="7" s="1"/>
  <c r="I68" i="5"/>
  <c r="J68" i="5" s="1"/>
  <c r="G79" i="7"/>
  <c r="I21" i="5"/>
  <c r="J21" i="5" s="1"/>
  <c r="G32" i="7"/>
  <c r="I28" i="5"/>
  <c r="J28" i="5" s="1"/>
  <c r="G39" i="7"/>
  <c r="I24" i="5"/>
  <c r="J24" i="5" s="1"/>
  <c r="G35" i="7"/>
  <c r="I40" i="5"/>
  <c r="J40" i="5" s="1"/>
  <c r="G51" i="7"/>
  <c r="I56" i="5"/>
  <c r="J56" i="5" s="1"/>
  <c r="G67" i="7"/>
  <c r="G63" i="5"/>
  <c r="E74" i="7"/>
  <c r="F74" i="7" s="1"/>
  <c r="G47" i="5"/>
  <c r="E58" i="7"/>
  <c r="F58" i="7" s="1"/>
  <c r="G31" i="5"/>
  <c r="E42" i="7"/>
  <c r="F42" i="7" s="1"/>
  <c r="G15" i="5"/>
  <c r="E26" i="7"/>
  <c r="F26" i="7" s="1"/>
  <c r="I52" i="5"/>
  <c r="J52" i="5" s="1"/>
  <c r="G63" i="7"/>
  <c r="I26" i="5"/>
  <c r="J26" i="5" s="1"/>
  <c r="G37" i="7"/>
  <c r="H40" i="5"/>
  <c r="BW40" i="5" s="1"/>
  <c r="E51" i="7"/>
  <c r="F51" i="7" s="1"/>
  <c r="I6" i="5"/>
  <c r="J6" i="5" s="1"/>
  <c r="G17" i="7"/>
  <c r="I23" i="5"/>
  <c r="J23" i="5" s="1"/>
  <c r="G34" i="7"/>
  <c r="G66" i="5"/>
  <c r="E77" i="7"/>
  <c r="F77" i="7" s="1"/>
  <c r="I13" i="5"/>
  <c r="J13" i="5" s="1"/>
  <c r="G24" i="7"/>
  <c r="I3" i="5"/>
  <c r="J3" i="5" s="1"/>
  <c r="G14" i="7"/>
  <c r="I19" i="5"/>
  <c r="J19" i="5" s="1"/>
  <c r="G30" i="7"/>
  <c r="I35" i="5"/>
  <c r="J35" i="5" s="1"/>
  <c r="G46" i="7"/>
  <c r="I51" i="5"/>
  <c r="J51" i="5" s="1"/>
  <c r="G62" i="7"/>
  <c r="I67" i="5"/>
  <c r="J67" i="5" s="1"/>
  <c r="G78" i="7"/>
  <c r="G62" i="5"/>
  <c r="E73" i="7"/>
  <c r="F73" i="7" s="1"/>
  <c r="G46" i="5"/>
  <c r="E57" i="7"/>
  <c r="F57" i="7" s="1"/>
  <c r="G30" i="5"/>
  <c r="E41" i="7"/>
  <c r="F41" i="7" s="1"/>
  <c r="G14" i="5"/>
  <c r="E25" i="7"/>
  <c r="F25" i="7" s="1"/>
  <c r="I36" i="5"/>
  <c r="J36" i="5" s="1"/>
  <c r="G47" i="7"/>
  <c r="I31" i="5"/>
  <c r="J31" i="5" s="1"/>
  <c r="G42" i="7"/>
  <c r="I64" i="5"/>
  <c r="J64" i="5" s="1"/>
  <c r="G75" i="7"/>
  <c r="I11" i="5"/>
  <c r="J11" i="5" s="1"/>
  <c r="G22" i="7"/>
  <c r="I54" i="5"/>
  <c r="J54" i="5" s="1"/>
  <c r="G65" i="7"/>
  <c r="I44" i="5"/>
  <c r="J44" i="5" s="1"/>
  <c r="G55" i="7"/>
  <c r="I34" i="5"/>
  <c r="J34" i="5" s="1"/>
  <c r="G45" i="7"/>
  <c r="I8" i="5"/>
  <c r="J8" i="5" s="1"/>
  <c r="G19" i="7"/>
  <c r="I14" i="5"/>
  <c r="J14" i="5" s="1"/>
  <c r="G25" i="7"/>
  <c r="I30" i="5"/>
  <c r="J30" i="5" s="1"/>
  <c r="G41" i="7"/>
  <c r="I46" i="5"/>
  <c r="J46" i="5" s="1"/>
  <c r="G57" i="7"/>
  <c r="I62" i="5"/>
  <c r="J62" i="5" s="1"/>
  <c r="G73" i="7"/>
  <c r="H61" i="5"/>
  <c r="BW61" i="5" s="1"/>
  <c r="E72" i="7"/>
  <c r="F72" i="7" s="1"/>
  <c r="G45" i="5"/>
  <c r="E56" i="7"/>
  <c r="F56" i="7" s="1"/>
  <c r="H29" i="5"/>
  <c r="BW29" i="5" s="1"/>
  <c r="E40" i="7"/>
  <c r="F40" i="7" s="1"/>
  <c r="H13" i="5"/>
  <c r="BW13" i="5" s="1"/>
  <c r="E24" i="7"/>
  <c r="F24" i="7" s="1"/>
  <c r="H56" i="5"/>
  <c r="BW56" i="5" s="1"/>
  <c r="E67" i="7"/>
  <c r="F67" i="7" s="1"/>
  <c r="I32" i="5"/>
  <c r="J32" i="5" s="1"/>
  <c r="G43" i="7"/>
  <c r="I38" i="5"/>
  <c r="J38" i="5" s="1"/>
  <c r="G49" i="7"/>
  <c r="I33" i="5"/>
  <c r="J33" i="5" s="1"/>
  <c r="G44" i="7"/>
  <c r="I7" i="5"/>
  <c r="J7" i="5" s="1"/>
  <c r="G18" i="7"/>
  <c r="I39" i="5"/>
  <c r="J39" i="5" s="1"/>
  <c r="G50" i="7"/>
  <c r="I9" i="5"/>
  <c r="J9" i="5" s="1"/>
  <c r="G20" i="7"/>
  <c r="I25" i="5"/>
  <c r="J25" i="5" s="1"/>
  <c r="G36" i="7"/>
  <c r="I41" i="5"/>
  <c r="J41" i="5" s="1"/>
  <c r="G52" i="7"/>
  <c r="I57" i="5"/>
  <c r="J57" i="5" s="1"/>
  <c r="G68" i="7"/>
  <c r="G60" i="5"/>
  <c r="E71" i="7"/>
  <c r="F71" i="7" s="1"/>
  <c r="H44" i="5"/>
  <c r="BW44" i="5" s="1"/>
  <c r="E55" i="7"/>
  <c r="F55" i="7" s="1"/>
  <c r="G28" i="5"/>
  <c r="E39" i="7"/>
  <c r="F39" i="7" s="1"/>
  <c r="G12" i="5"/>
  <c r="E23" i="7"/>
  <c r="F23" i="7" s="1"/>
  <c r="BY44" i="5"/>
  <c r="R13" i="4"/>
  <c r="P2" i="5"/>
  <c r="T2" i="5"/>
  <c r="G7" i="5"/>
  <c r="G22" i="5"/>
  <c r="G9" i="5"/>
  <c r="G57" i="5"/>
  <c r="G25" i="5"/>
  <c r="G13" i="5"/>
  <c r="H45" i="5"/>
  <c r="BW45" i="5" s="1"/>
  <c r="G39" i="5"/>
  <c r="G29" i="5"/>
  <c r="G61" i="5"/>
  <c r="G44" i="5"/>
  <c r="H35" i="5"/>
  <c r="BW35" i="5" s="1"/>
  <c r="H33" i="5"/>
  <c r="BW33" i="5" s="1"/>
  <c r="G23" i="5"/>
  <c r="H60" i="5"/>
  <c r="BW60" i="5" s="1"/>
  <c r="H55" i="5"/>
  <c r="BW55" i="5" s="1"/>
  <c r="H32" i="5"/>
  <c r="BW32" i="5" s="1"/>
  <c r="G53" i="5"/>
  <c r="H28" i="5"/>
  <c r="BW28" i="5" s="1"/>
  <c r="G3" i="5"/>
  <c r="H16" i="5"/>
  <c r="BW16" i="5" s="1"/>
  <c r="G4" i="5"/>
  <c r="H65" i="5"/>
  <c r="BW65" i="5" s="1"/>
  <c r="G34" i="5"/>
  <c r="H64" i="5"/>
  <c r="BW64" i="5" s="1"/>
  <c r="G68" i="5"/>
  <c r="H67" i="5"/>
  <c r="BW67" i="5" s="1"/>
  <c r="G36" i="5"/>
  <c r="H20" i="5"/>
  <c r="BW20" i="5" s="1"/>
  <c r="G40" i="5"/>
  <c r="H19" i="5"/>
  <c r="BW19" i="5" s="1"/>
  <c r="H52" i="5"/>
  <c r="BW52" i="5" s="1"/>
  <c r="H17" i="5"/>
  <c r="BW17" i="5" s="1"/>
  <c r="H51" i="5"/>
  <c r="BW51" i="5" s="1"/>
  <c r="H49" i="5"/>
  <c r="BW49" i="5" s="1"/>
  <c r="G18" i="5"/>
  <c r="H48" i="5"/>
  <c r="BW48" i="5" s="1"/>
  <c r="H12" i="5"/>
  <c r="BW12" i="5" s="1"/>
  <c r="G56" i="5"/>
  <c r="G11" i="5"/>
  <c r="H47" i="5"/>
  <c r="BW47" i="5" s="1"/>
  <c r="H31" i="5"/>
  <c r="BW31" i="5" s="1"/>
  <c r="H15" i="5"/>
  <c r="BW15" i="5" s="1"/>
  <c r="H63" i="5"/>
  <c r="BW63" i="5" s="1"/>
  <c r="G37" i="5"/>
  <c r="G58" i="5"/>
  <c r="H62" i="5"/>
  <c r="BW62" i="5" s="1"/>
  <c r="H46" i="5"/>
  <c r="BW46" i="5" s="1"/>
  <c r="H30" i="5"/>
  <c r="BW30" i="5" s="1"/>
  <c r="H14" i="5"/>
  <c r="BW14" i="5" s="1"/>
  <c r="G10" i="5"/>
  <c r="H59" i="5"/>
  <c r="BW59" i="5" s="1"/>
  <c r="H43" i="5"/>
  <c r="BW43" i="5" s="1"/>
  <c r="H27" i="5"/>
  <c r="BW27" i="5" s="1"/>
  <c r="H42" i="5"/>
  <c r="BW42" i="5" s="1"/>
  <c r="G69" i="5"/>
  <c r="H26" i="5"/>
  <c r="BW26" i="5" s="1"/>
  <c r="G41" i="5"/>
  <c r="H24" i="5"/>
  <c r="BW24" i="5" s="1"/>
  <c r="H8" i="5"/>
  <c r="BW8" i="5" s="1"/>
  <c r="G21" i="5"/>
  <c r="H54" i="5"/>
  <c r="BW54" i="5" s="1"/>
  <c r="H38" i="5"/>
  <c r="BW38" i="5" s="1"/>
  <c r="H6" i="5"/>
  <c r="BW6" i="5" s="1"/>
  <c r="H5" i="5"/>
  <c r="BW5" i="5" s="1"/>
  <c r="H66" i="5"/>
  <c r="BW66" i="5" s="1"/>
  <c r="H50" i="5"/>
  <c r="BW50" i="5" s="1"/>
  <c r="K14"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1" i="2"/>
  <c r="Z10" i="3"/>
  <c r="Z9" i="3"/>
  <c r="K1" i="2"/>
  <c r="T10" i="3"/>
  <c r="V10" i="3"/>
  <c r="W10" i="3"/>
  <c r="X10" i="3"/>
  <c r="R10" i="3"/>
  <c r="K2" i="6"/>
  <c r="U9" i="3"/>
  <c r="T9" i="3"/>
  <c r="AQ2" i="5" s="1"/>
  <c r="Y2" i="5" s="1"/>
  <c r="O77" i="3"/>
  <c r="P77" i="3"/>
  <c r="O78" i="3"/>
  <c r="P78" i="3"/>
  <c r="O79" i="3"/>
  <c r="P79" i="3"/>
  <c r="O80" i="3"/>
  <c r="P8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2" i="3"/>
  <c r="N73" i="3"/>
  <c r="N74" i="3"/>
  <c r="N75"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O9" i="3"/>
  <c r="W9" i="3" s="1"/>
  <c r="X9" i="3"/>
  <c r="N9" i="3"/>
  <c r="V9" i="3" s="1"/>
  <c r="M1" i="2" s="1"/>
  <c r="L4" i="3"/>
  <c r="M4" i="3"/>
  <c r="N4" i="3"/>
  <c r="O4" i="3"/>
  <c r="M3" i="3"/>
  <c r="N3" i="3"/>
  <c r="O3" i="3"/>
  <c r="L3" i="3"/>
  <c r="Z51" i="1"/>
  <c r="R51" i="1"/>
  <c r="R52" i="1"/>
  <c r="R53" i="1"/>
  <c r="R54" i="1"/>
  <c r="R55" i="1"/>
  <c r="Y51" i="1" s="1"/>
  <c r="R56" i="1"/>
  <c r="R57" i="1"/>
  <c r="Z52" i="1" s="1"/>
  <c r="R58" i="1"/>
  <c r="AA52" i="1" s="1"/>
  <c r="R59" i="1"/>
  <c r="Y55" i="1" s="1"/>
  <c r="R60" i="1"/>
  <c r="Z55" i="1" s="1"/>
  <c r="R61" i="1"/>
  <c r="AA55" i="1" s="1"/>
  <c r="R62" i="1"/>
  <c r="Z57" i="1" s="1"/>
  <c r="R63" i="1"/>
  <c r="Y59" i="1" s="1"/>
  <c r="R64" i="1"/>
  <c r="Z59" i="1" s="1"/>
  <c r="R65" i="1"/>
  <c r="Z60" i="1" s="1"/>
  <c r="R66" i="1"/>
  <c r="AA60" i="1" s="1"/>
  <c r="R67" i="1"/>
  <c r="R68" i="1"/>
  <c r="R69" i="1"/>
  <c r="R70" i="1"/>
  <c r="R71" i="1"/>
  <c r="Y67" i="1" s="1"/>
  <c r="R72" i="1"/>
  <c r="Z67" i="1" s="1"/>
  <c r="R73" i="1"/>
  <c r="AA67" i="1" s="1"/>
  <c r="R74" i="1"/>
  <c r="AA68" i="1" s="1"/>
  <c r="R75" i="1"/>
  <c r="Y71" i="1" s="1"/>
  <c r="R76" i="1"/>
  <c r="Z71" i="1" s="1"/>
  <c r="R50" i="1"/>
  <c r="X50" i="1"/>
  <c r="Y50" i="1"/>
  <c r="Z50" i="1"/>
  <c r="AA50" i="1"/>
  <c r="X51" i="1"/>
  <c r="X52" i="1"/>
  <c r="X53" i="1"/>
  <c r="Y53" i="1"/>
  <c r="Z53" i="1"/>
  <c r="AA53" i="1"/>
  <c r="X54" i="1"/>
  <c r="Y54" i="1"/>
  <c r="Z54" i="1"/>
  <c r="AA54" i="1"/>
  <c r="X55" i="1"/>
  <c r="X58" i="1"/>
  <c r="Y58" i="1"/>
  <c r="AA58" i="1"/>
  <c r="X59" i="1"/>
  <c r="AA61" i="1"/>
  <c r="Z62" i="1"/>
  <c r="AA62" i="1"/>
  <c r="Y63" i="1"/>
  <c r="Z63" i="1"/>
  <c r="AA63" i="1"/>
  <c r="X64" i="1"/>
  <c r="Y64" i="1"/>
  <c r="Z64" i="1"/>
  <c r="AA64" i="1"/>
  <c r="X65" i="1"/>
  <c r="Y65" i="1"/>
  <c r="Z65" i="1"/>
  <c r="AA65" i="1"/>
  <c r="X66" i="1"/>
  <c r="Y66" i="1"/>
  <c r="Z66" i="1"/>
  <c r="AA66" i="1"/>
  <c r="X67" i="1"/>
  <c r="X68" i="1"/>
  <c r="X69" i="1"/>
  <c r="Y69" i="1"/>
  <c r="Z69" i="1"/>
  <c r="AA69" i="1"/>
  <c r="X70" i="1"/>
  <c r="Y70" i="1"/>
  <c r="Z70" i="1"/>
  <c r="AA70" i="1"/>
  <c r="X71" i="1"/>
  <c r="AA71" i="1"/>
  <c r="Z72" i="1"/>
  <c r="AA72" i="1"/>
  <c r="Y73" i="1"/>
  <c r="Z73" i="1"/>
  <c r="AA73" i="1"/>
  <c r="K49" i="1"/>
  <c r="K48" i="1"/>
  <c r="L44" i="1"/>
  <c r="L45" i="1"/>
  <c r="L46" i="1"/>
  <c r="L43" i="1"/>
  <c r="Q57" i="1"/>
  <c r="AA76" i="1"/>
  <c r="V76" i="1"/>
  <c r="U52" i="1"/>
  <c r="T53" i="1"/>
  <c r="T54" i="1"/>
  <c r="V50" i="1"/>
  <c r="V44" i="1"/>
  <c r="Q50" i="1"/>
  <c r="V53" i="1"/>
  <c r="AA44"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50" i="1"/>
  <c r="FD9" i="7" l="1"/>
  <c r="V4" i="3"/>
  <c r="V3" i="3"/>
  <c r="V11" i="3"/>
  <c r="T11" i="3"/>
  <c r="AQ3" i="5" s="1"/>
  <c r="Y3" i="5" s="1"/>
  <c r="X11" i="3"/>
  <c r="AG3" i="5" s="1"/>
  <c r="CP125" i="7"/>
  <c r="CV124" i="7"/>
  <c r="CV97" i="7" s="1"/>
  <c r="I65" i="7"/>
  <c r="V65" i="7"/>
  <c r="T65" i="7"/>
  <c r="U65" i="7"/>
  <c r="W65" i="7"/>
  <c r="I24" i="7"/>
  <c r="T24" i="7"/>
  <c r="W24" i="7"/>
  <c r="V24" i="7"/>
  <c r="U24" i="7"/>
  <c r="I35" i="7"/>
  <c r="U35" i="7"/>
  <c r="T35" i="7"/>
  <c r="V35" i="7"/>
  <c r="W35" i="7"/>
  <c r="I31" i="7"/>
  <c r="V31" i="7"/>
  <c r="W31" i="7"/>
  <c r="U31" i="7"/>
  <c r="T31" i="7"/>
  <c r="I60" i="7"/>
  <c r="V60" i="7"/>
  <c r="W60" i="7"/>
  <c r="T60" i="7"/>
  <c r="U60" i="7"/>
  <c r="I59" i="7"/>
  <c r="W59" i="7"/>
  <c r="U59" i="7"/>
  <c r="V59" i="7"/>
  <c r="T59" i="7"/>
  <c r="I29" i="7"/>
  <c r="T29" i="7"/>
  <c r="W29" i="7"/>
  <c r="V29" i="7"/>
  <c r="U29" i="7"/>
  <c r="I73" i="7"/>
  <c r="T73" i="7"/>
  <c r="V73" i="7"/>
  <c r="U73" i="7"/>
  <c r="W73" i="7"/>
  <c r="I22" i="7"/>
  <c r="W22" i="7"/>
  <c r="T22" i="7"/>
  <c r="U22" i="7"/>
  <c r="V22" i="7"/>
  <c r="I39" i="7"/>
  <c r="V39" i="7"/>
  <c r="W39" i="7"/>
  <c r="U39" i="7"/>
  <c r="T39" i="7"/>
  <c r="V71" i="7"/>
  <c r="I71" i="7"/>
  <c r="W71" i="7"/>
  <c r="U71" i="7"/>
  <c r="T71" i="7"/>
  <c r="I54" i="7"/>
  <c r="T54" i="7"/>
  <c r="U54" i="7"/>
  <c r="W54" i="7"/>
  <c r="V54" i="7"/>
  <c r="I26" i="7"/>
  <c r="T26" i="7"/>
  <c r="W26" i="7"/>
  <c r="V26" i="7"/>
  <c r="U26" i="7"/>
  <c r="I52" i="7"/>
  <c r="U52" i="7"/>
  <c r="T52" i="7"/>
  <c r="V52" i="7"/>
  <c r="W52" i="7"/>
  <c r="I23" i="7"/>
  <c r="U23" i="7"/>
  <c r="W23" i="7"/>
  <c r="V23" i="7"/>
  <c r="T23" i="7"/>
  <c r="U70" i="7"/>
  <c r="W70" i="7"/>
  <c r="V70" i="7"/>
  <c r="T70" i="7"/>
  <c r="I70" i="7"/>
  <c r="I57" i="7"/>
  <c r="W57" i="7"/>
  <c r="T57" i="7"/>
  <c r="V57" i="7"/>
  <c r="U57" i="7"/>
  <c r="V75" i="7"/>
  <c r="U75" i="7"/>
  <c r="W75" i="7"/>
  <c r="I75" i="7"/>
  <c r="T75" i="7"/>
  <c r="I32" i="7"/>
  <c r="U32" i="7"/>
  <c r="T32" i="7"/>
  <c r="W32" i="7"/>
  <c r="V32" i="7"/>
  <c r="I72" i="7"/>
  <c r="U72" i="7"/>
  <c r="T72" i="7"/>
  <c r="W72" i="7"/>
  <c r="V72" i="7"/>
  <c r="I33" i="7"/>
  <c r="T33" i="7"/>
  <c r="U33" i="7"/>
  <c r="V33" i="7"/>
  <c r="W33" i="7"/>
  <c r="I27" i="7"/>
  <c r="U27" i="7"/>
  <c r="T27" i="7"/>
  <c r="V27" i="7"/>
  <c r="W27" i="7"/>
  <c r="I43" i="7"/>
  <c r="T43" i="7"/>
  <c r="W43" i="7"/>
  <c r="U43" i="7"/>
  <c r="V43" i="7"/>
  <c r="I36" i="7"/>
  <c r="U36" i="7"/>
  <c r="W36" i="7"/>
  <c r="V36" i="7"/>
  <c r="T36" i="7"/>
  <c r="I34" i="7"/>
  <c r="T34" i="7"/>
  <c r="U34" i="7"/>
  <c r="W34" i="7"/>
  <c r="V34" i="7"/>
  <c r="I28" i="7"/>
  <c r="V28" i="7"/>
  <c r="T28" i="7"/>
  <c r="U28" i="7"/>
  <c r="W28" i="7"/>
  <c r="I38" i="7"/>
  <c r="W38" i="7"/>
  <c r="T38" i="7"/>
  <c r="V38" i="7"/>
  <c r="U38" i="7"/>
  <c r="I21" i="7"/>
  <c r="W21" i="7"/>
  <c r="V21" i="7"/>
  <c r="T21" i="7"/>
  <c r="U21" i="7"/>
  <c r="I61" i="7"/>
  <c r="T61" i="7"/>
  <c r="U61" i="7"/>
  <c r="V61" i="7"/>
  <c r="W61" i="7"/>
  <c r="I41" i="7"/>
  <c r="U41" i="7"/>
  <c r="T41" i="7"/>
  <c r="V41" i="7"/>
  <c r="W41" i="7"/>
  <c r="I42" i="7"/>
  <c r="T42" i="7"/>
  <c r="W42" i="7"/>
  <c r="V42" i="7"/>
  <c r="U42" i="7"/>
  <c r="V78" i="7"/>
  <c r="W78" i="7"/>
  <c r="U78" i="7"/>
  <c r="T78" i="7"/>
  <c r="I78" i="7"/>
  <c r="T79" i="7"/>
  <c r="V79" i="7"/>
  <c r="W79" i="7"/>
  <c r="U79" i="7"/>
  <c r="I79" i="7"/>
  <c r="I56" i="7"/>
  <c r="W56" i="7"/>
  <c r="V56" i="7"/>
  <c r="U56" i="7"/>
  <c r="T56" i="7"/>
  <c r="I20" i="7"/>
  <c r="T20" i="7"/>
  <c r="W20" i="7"/>
  <c r="V20" i="7"/>
  <c r="U20" i="7"/>
  <c r="I17" i="7"/>
  <c r="V17" i="7"/>
  <c r="AA17" i="7"/>
  <c r="AL17" i="7" s="1"/>
  <c r="W17" i="7"/>
  <c r="T17" i="7"/>
  <c r="Z17" i="7"/>
  <c r="AK17" i="7" s="1"/>
  <c r="AB17" i="7"/>
  <c r="AM17" i="7" s="1"/>
  <c r="U17" i="7"/>
  <c r="I64" i="7"/>
  <c r="T64" i="7"/>
  <c r="V64" i="7"/>
  <c r="W64" i="7"/>
  <c r="U64" i="7"/>
  <c r="I25" i="7"/>
  <c r="T25" i="7"/>
  <c r="V25" i="7"/>
  <c r="U25" i="7"/>
  <c r="W25" i="7"/>
  <c r="I47" i="7"/>
  <c r="T47" i="7"/>
  <c r="V47" i="7"/>
  <c r="U47" i="7"/>
  <c r="W47" i="7"/>
  <c r="I62" i="7"/>
  <c r="T62" i="7"/>
  <c r="V62" i="7"/>
  <c r="U62" i="7"/>
  <c r="W62" i="7"/>
  <c r="I40" i="7"/>
  <c r="V40" i="7"/>
  <c r="U40" i="7"/>
  <c r="T40" i="7"/>
  <c r="W40" i="7"/>
  <c r="T68" i="7"/>
  <c r="U68" i="7"/>
  <c r="W68" i="7"/>
  <c r="I68" i="7"/>
  <c r="V68" i="7"/>
  <c r="I50" i="7"/>
  <c r="V50" i="7"/>
  <c r="W50" i="7"/>
  <c r="U50" i="7"/>
  <c r="T50" i="7"/>
  <c r="I16" i="7"/>
  <c r="W16" i="7"/>
  <c r="Y16" i="7"/>
  <c r="U16" i="7"/>
  <c r="AB16" i="7"/>
  <c r="AM16" i="7" s="1"/>
  <c r="Z16" i="7"/>
  <c r="AK16" i="7" s="1"/>
  <c r="AA16" i="7"/>
  <c r="AL16" i="7" s="1"/>
  <c r="V16" i="7"/>
  <c r="T16" i="7"/>
  <c r="I19" i="7"/>
  <c r="U19" i="7"/>
  <c r="T19" i="7"/>
  <c r="V19" i="7"/>
  <c r="W19" i="7"/>
  <c r="AB19" i="7"/>
  <c r="AM19" i="7" s="1"/>
  <c r="I46" i="7"/>
  <c r="W46" i="7"/>
  <c r="T46" i="7"/>
  <c r="U46" i="7"/>
  <c r="V46" i="7"/>
  <c r="I48" i="7"/>
  <c r="W48" i="7"/>
  <c r="U48" i="7"/>
  <c r="V48" i="7"/>
  <c r="T48" i="7"/>
  <c r="I15" i="7"/>
  <c r="Y15" i="7"/>
  <c r="AA15" i="7"/>
  <c r="AL15" i="7" s="1"/>
  <c r="U15" i="7"/>
  <c r="T15" i="7"/>
  <c r="V15" i="7"/>
  <c r="Z15" i="7"/>
  <c r="AK15" i="7" s="1"/>
  <c r="W15" i="7"/>
  <c r="AB15" i="7"/>
  <c r="AM15" i="7" s="1"/>
  <c r="I49" i="7"/>
  <c r="U49" i="7"/>
  <c r="V49" i="7"/>
  <c r="T49" i="7"/>
  <c r="W49" i="7"/>
  <c r="I18" i="7"/>
  <c r="U18" i="7"/>
  <c r="AB18" i="7"/>
  <c r="AM18" i="7" s="1"/>
  <c r="W18" i="7"/>
  <c r="T18" i="7"/>
  <c r="AA18" i="7"/>
  <c r="AL18" i="7" s="1"/>
  <c r="V18" i="7"/>
  <c r="I53" i="7"/>
  <c r="U53" i="7"/>
  <c r="V53" i="7"/>
  <c r="T53" i="7"/>
  <c r="W53" i="7"/>
  <c r="U66" i="7"/>
  <c r="T66" i="7"/>
  <c r="V66" i="7"/>
  <c r="I66" i="7"/>
  <c r="W66" i="7"/>
  <c r="U74" i="7"/>
  <c r="T74" i="7"/>
  <c r="V74" i="7"/>
  <c r="I74" i="7"/>
  <c r="W74" i="7"/>
  <c r="I45" i="7"/>
  <c r="T45" i="7"/>
  <c r="W45" i="7"/>
  <c r="V45" i="7"/>
  <c r="U45" i="7"/>
  <c r="I30" i="7"/>
  <c r="V30" i="7"/>
  <c r="W30" i="7"/>
  <c r="T30" i="7"/>
  <c r="U30" i="7"/>
  <c r="I37" i="7"/>
  <c r="V37" i="7"/>
  <c r="T37" i="7"/>
  <c r="W37" i="7"/>
  <c r="U37" i="7"/>
  <c r="T67" i="7"/>
  <c r="V67" i="7"/>
  <c r="U67" i="7"/>
  <c r="W67" i="7"/>
  <c r="I67" i="7"/>
  <c r="W69" i="7"/>
  <c r="V69" i="7"/>
  <c r="T69" i="7"/>
  <c r="U69" i="7"/>
  <c r="I69" i="7"/>
  <c r="I44" i="7"/>
  <c r="T44" i="7"/>
  <c r="V44" i="7"/>
  <c r="U44" i="7"/>
  <c r="W44" i="7"/>
  <c r="T77" i="7"/>
  <c r="W77" i="7"/>
  <c r="V77" i="7"/>
  <c r="I77" i="7"/>
  <c r="U77" i="7"/>
  <c r="I58" i="7"/>
  <c r="T58" i="7"/>
  <c r="V58" i="7"/>
  <c r="U58" i="7"/>
  <c r="W58" i="7"/>
  <c r="I55" i="7"/>
  <c r="T55" i="7"/>
  <c r="W55" i="7"/>
  <c r="U55" i="7"/>
  <c r="V55" i="7"/>
  <c r="I14" i="7"/>
  <c r="J14" i="7" s="1"/>
  <c r="Y14" i="7"/>
  <c r="T14" i="7"/>
  <c r="AB14" i="7"/>
  <c r="AM14" i="7" s="1"/>
  <c r="U14" i="7"/>
  <c r="AA14" i="7"/>
  <c r="AL14" i="7" s="1"/>
  <c r="V14" i="7"/>
  <c r="Z14" i="7"/>
  <c r="AK14" i="7" s="1"/>
  <c r="W14" i="7"/>
  <c r="I63" i="7"/>
  <c r="T63" i="7"/>
  <c r="U63" i="7"/>
  <c r="W63" i="7"/>
  <c r="V63" i="7"/>
  <c r="I51" i="7"/>
  <c r="T51" i="7"/>
  <c r="U51" i="7"/>
  <c r="V51" i="7"/>
  <c r="W51" i="7"/>
  <c r="T76" i="7"/>
  <c r="W76" i="7"/>
  <c r="V76" i="7"/>
  <c r="U76" i="7"/>
  <c r="I76" i="7"/>
  <c r="BY45" i="5"/>
  <c r="H14" i="4"/>
  <c r="I14" i="4"/>
  <c r="X55" i="3"/>
  <c r="AG47" i="5" s="1"/>
  <c r="T38" i="3"/>
  <c r="AQ30" i="5" s="1"/>
  <c r="Y30" i="5" s="1"/>
  <c r="T22" i="3"/>
  <c r="AQ14" i="5" s="1"/>
  <c r="Y14" i="5" s="1"/>
  <c r="X71" i="3"/>
  <c r="AG63" i="5" s="1"/>
  <c r="T54" i="3"/>
  <c r="AQ46" i="5" s="1"/>
  <c r="Y46" i="5" s="1"/>
  <c r="T70" i="3"/>
  <c r="AQ62" i="5" s="1"/>
  <c r="Y62" i="5" s="1"/>
  <c r="X39" i="3"/>
  <c r="AG31" i="5" s="1"/>
  <c r="V72" i="3"/>
  <c r="M63" i="6" s="1"/>
  <c r="V22" i="3"/>
  <c r="X23" i="3"/>
  <c r="AG15" i="5" s="1"/>
  <c r="K64" i="6"/>
  <c r="Z73" i="3"/>
  <c r="K48" i="6"/>
  <c r="Z57" i="3"/>
  <c r="K32" i="6"/>
  <c r="Z41" i="3"/>
  <c r="K16" i="6"/>
  <c r="Z25" i="3"/>
  <c r="T67" i="3"/>
  <c r="AQ59" i="5" s="1"/>
  <c r="Y59" i="5" s="1"/>
  <c r="T51" i="3"/>
  <c r="AQ43" i="5" s="1"/>
  <c r="Y43" i="5" s="1"/>
  <c r="T35" i="3"/>
  <c r="AQ27" i="5" s="1"/>
  <c r="Y27" i="5" s="1"/>
  <c r="T19" i="3"/>
  <c r="AQ11" i="5" s="1"/>
  <c r="Y11" i="5" s="1"/>
  <c r="V69" i="3"/>
  <c r="V53" i="3"/>
  <c r="V37" i="3"/>
  <c r="V21" i="3"/>
  <c r="X70" i="3"/>
  <c r="AG62" i="5" s="1"/>
  <c r="X54" i="3"/>
  <c r="AG46" i="5" s="1"/>
  <c r="X38" i="3"/>
  <c r="AG30" i="5" s="1"/>
  <c r="X22" i="3"/>
  <c r="AG14" i="5" s="1"/>
  <c r="Z72" i="3"/>
  <c r="Z56" i="3"/>
  <c r="Z40" i="3"/>
  <c r="Z24" i="3"/>
  <c r="V54" i="3"/>
  <c r="T66" i="3"/>
  <c r="AQ58" i="5" s="1"/>
  <c r="Y58" i="5" s="1"/>
  <c r="V20" i="3"/>
  <c r="Z23" i="3"/>
  <c r="V35" i="3"/>
  <c r="X68" i="3"/>
  <c r="AG60" i="5" s="1"/>
  <c r="X36" i="3"/>
  <c r="AG28" i="5" s="1"/>
  <c r="K61" i="6"/>
  <c r="Z70" i="3"/>
  <c r="K45" i="6"/>
  <c r="Z54" i="3"/>
  <c r="K29" i="6"/>
  <c r="Z38" i="3"/>
  <c r="K13" i="6"/>
  <c r="Z22" i="3"/>
  <c r="T34" i="3"/>
  <c r="AQ26" i="5" s="1"/>
  <c r="Y26" i="5" s="1"/>
  <c r="Z71" i="3"/>
  <c r="T33" i="3"/>
  <c r="AQ25" i="5" s="1"/>
  <c r="Y25" i="5" s="1"/>
  <c r="V19" i="3"/>
  <c r="X52" i="3"/>
  <c r="AG44" i="5" s="1"/>
  <c r="X20" i="3"/>
  <c r="AG12" i="5" s="1"/>
  <c r="T64" i="3"/>
  <c r="T48" i="3"/>
  <c r="T32" i="3"/>
  <c r="T16" i="3"/>
  <c r="V66" i="3"/>
  <c r="V50" i="3"/>
  <c r="V34" i="3"/>
  <c r="V18" i="3"/>
  <c r="X67" i="3"/>
  <c r="AG59" i="5" s="1"/>
  <c r="X51" i="3"/>
  <c r="AG43" i="5" s="1"/>
  <c r="X35" i="3"/>
  <c r="AG27" i="5" s="1"/>
  <c r="X19" i="3"/>
  <c r="AG11" i="5" s="1"/>
  <c r="K60" i="6"/>
  <c r="Z69" i="3"/>
  <c r="K44" i="6"/>
  <c r="Z53" i="3"/>
  <c r="K28" i="6"/>
  <c r="Z37" i="3"/>
  <c r="K12" i="6"/>
  <c r="Z21" i="3"/>
  <c r="V70" i="3"/>
  <c r="V36" i="3"/>
  <c r="X34" i="3"/>
  <c r="AG26" i="5" s="1"/>
  <c r="K59" i="6"/>
  <c r="Z68" i="3"/>
  <c r="K43" i="6"/>
  <c r="Z52" i="3"/>
  <c r="K27" i="6"/>
  <c r="Z36" i="3"/>
  <c r="K11" i="6"/>
  <c r="Z20" i="3"/>
  <c r="T52" i="3"/>
  <c r="AQ44" i="5" s="1"/>
  <c r="Y44" i="5" s="1"/>
  <c r="X69" i="3"/>
  <c r="AG61" i="5" s="1"/>
  <c r="V65" i="3"/>
  <c r="T14" i="3"/>
  <c r="AQ6" i="5" s="1"/>
  <c r="Y6" i="5" s="1"/>
  <c r="V64" i="3"/>
  <c r="V48" i="3"/>
  <c r="V32" i="3"/>
  <c r="V16" i="3"/>
  <c r="X65" i="3"/>
  <c r="AG57" i="5" s="1"/>
  <c r="X49" i="3"/>
  <c r="AG41" i="5" s="1"/>
  <c r="X33" i="3"/>
  <c r="AG25" i="5" s="1"/>
  <c r="X17" i="3"/>
  <c r="K58" i="6"/>
  <c r="Z67" i="3"/>
  <c r="K42" i="6"/>
  <c r="Z51" i="3"/>
  <c r="K26" i="6"/>
  <c r="Z35" i="3"/>
  <c r="K10" i="6"/>
  <c r="Z19" i="3"/>
  <c r="T68" i="3"/>
  <c r="AQ60" i="5" s="1"/>
  <c r="Y60" i="5" s="1"/>
  <c r="X53" i="3"/>
  <c r="AG45" i="5" s="1"/>
  <c r="Z39" i="3"/>
  <c r="T49" i="3"/>
  <c r="AQ41" i="5" s="1"/>
  <c r="Y41" i="5" s="1"/>
  <c r="T31" i="3"/>
  <c r="AQ23" i="5" s="1"/>
  <c r="Y23" i="5" s="1"/>
  <c r="V33" i="3"/>
  <c r="T61" i="3"/>
  <c r="AQ53" i="5" s="1"/>
  <c r="Y53" i="5" s="1"/>
  <c r="T29" i="3"/>
  <c r="AQ21" i="5" s="1"/>
  <c r="Y21" i="5" s="1"/>
  <c r="T13" i="3"/>
  <c r="AQ5" i="5" s="1"/>
  <c r="Y5" i="5" s="1"/>
  <c r="V63" i="3"/>
  <c r="V47" i="3"/>
  <c r="V31" i="3"/>
  <c r="V15" i="3"/>
  <c r="X64" i="3"/>
  <c r="AG56" i="5" s="1"/>
  <c r="X48" i="3"/>
  <c r="AG40" i="5" s="1"/>
  <c r="X32" i="3"/>
  <c r="AG24" i="5" s="1"/>
  <c r="X16" i="3"/>
  <c r="AG8" i="5" s="1"/>
  <c r="K57" i="6"/>
  <c r="Z66" i="3"/>
  <c r="K41" i="6"/>
  <c r="Z50" i="3"/>
  <c r="K25" i="6"/>
  <c r="Z34" i="3"/>
  <c r="K9" i="6"/>
  <c r="Z18" i="3"/>
  <c r="T20" i="3"/>
  <c r="AQ12" i="5" s="1"/>
  <c r="Y12" i="5" s="1"/>
  <c r="X21" i="3"/>
  <c r="AG13" i="5" s="1"/>
  <c r="T63" i="3"/>
  <c r="AQ55" i="5" s="1"/>
  <c r="Y55" i="5" s="1"/>
  <c r="X18" i="3"/>
  <c r="AG10" i="5" s="1"/>
  <c r="T76" i="3"/>
  <c r="AQ68" i="5" s="1"/>
  <c r="Y68" i="5" s="1"/>
  <c r="T60" i="3"/>
  <c r="AQ52" i="5" s="1"/>
  <c r="Y52" i="5" s="1"/>
  <c r="T44" i="3"/>
  <c r="AQ36" i="5" s="1"/>
  <c r="Y36" i="5" s="1"/>
  <c r="T28" i="3"/>
  <c r="AQ20" i="5" s="1"/>
  <c r="Y20" i="5" s="1"/>
  <c r="T12" i="3"/>
  <c r="AQ4" i="5" s="1"/>
  <c r="Y4" i="5" s="1"/>
  <c r="V62" i="3"/>
  <c r="V46" i="3"/>
  <c r="V30" i="3"/>
  <c r="V14" i="3"/>
  <c r="X63" i="3"/>
  <c r="AG55" i="5" s="1"/>
  <c r="X47" i="3"/>
  <c r="AG39" i="5" s="1"/>
  <c r="X31" i="3"/>
  <c r="AG23" i="5" s="1"/>
  <c r="X15" i="3"/>
  <c r="AG7" i="5" s="1"/>
  <c r="K56" i="6"/>
  <c r="Z65" i="3"/>
  <c r="K40" i="6"/>
  <c r="Z49" i="3"/>
  <c r="K24" i="6"/>
  <c r="Z33" i="3"/>
  <c r="K8" i="6"/>
  <c r="Z17" i="3"/>
  <c r="V52" i="3"/>
  <c r="V67" i="3"/>
  <c r="V49" i="3"/>
  <c r="T45" i="3"/>
  <c r="AQ37" i="5" s="1"/>
  <c r="Y37" i="5" s="1"/>
  <c r="T75" i="3"/>
  <c r="AQ67" i="5" s="1"/>
  <c r="Y67" i="5" s="1"/>
  <c r="T59" i="3"/>
  <c r="AQ51" i="5" s="1"/>
  <c r="Y51" i="5" s="1"/>
  <c r="T43" i="3"/>
  <c r="AQ35" i="5" s="1"/>
  <c r="Y35" i="5" s="1"/>
  <c r="T27" i="3"/>
  <c r="AQ19" i="5" s="1"/>
  <c r="Y19" i="5" s="1"/>
  <c r="V61" i="3"/>
  <c r="V45" i="3"/>
  <c r="V29" i="3"/>
  <c r="V13" i="3"/>
  <c r="X62" i="3"/>
  <c r="AG54" i="5" s="1"/>
  <c r="X46" i="3"/>
  <c r="AG38" i="5" s="1"/>
  <c r="X30" i="3"/>
  <c r="AG22" i="5" s="1"/>
  <c r="X14" i="3"/>
  <c r="AG6" i="5" s="1"/>
  <c r="K55" i="6"/>
  <c r="Z64" i="3"/>
  <c r="K39" i="6"/>
  <c r="Z48" i="3"/>
  <c r="Z32" i="3"/>
  <c r="K7" i="6"/>
  <c r="Z16" i="3"/>
  <c r="T18" i="3"/>
  <c r="AQ10" i="5" s="1"/>
  <c r="Y10" i="5" s="1"/>
  <c r="Z55" i="3"/>
  <c r="T65" i="3"/>
  <c r="AQ57" i="5" s="1"/>
  <c r="Y57" i="5" s="1"/>
  <c r="T47" i="3"/>
  <c r="AQ39" i="5" s="1"/>
  <c r="Y39" i="5" s="1"/>
  <c r="X50" i="3"/>
  <c r="AG42" i="5" s="1"/>
  <c r="T46" i="3"/>
  <c r="AQ38" i="5" s="1"/>
  <c r="Y38" i="5" s="1"/>
  <c r="T74" i="3"/>
  <c r="AQ66" i="5" s="1"/>
  <c r="Y66" i="5" s="1"/>
  <c r="T58" i="3"/>
  <c r="AQ50" i="5" s="1"/>
  <c r="Y50" i="5" s="1"/>
  <c r="T42" i="3"/>
  <c r="AQ34" i="5" s="1"/>
  <c r="Y34" i="5" s="1"/>
  <c r="T26" i="3"/>
  <c r="AQ18" i="5" s="1"/>
  <c r="Y18" i="5" s="1"/>
  <c r="V76" i="3"/>
  <c r="V60" i="3"/>
  <c r="V44" i="3"/>
  <c r="V28" i="3"/>
  <c r="V12" i="3"/>
  <c r="X61" i="3"/>
  <c r="AG53" i="5" s="1"/>
  <c r="X45" i="3"/>
  <c r="AG37" i="5" s="1"/>
  <c r="X29" i="3"/>
  <c r="AG21" i="5" s="1"/>
  <c r="X13" i="3"/>
  <c r="AG5" i="5" s="1"/>
  <c r="K54" i="6"/>
  <c r="Z63" i="3"/>
  <c r="K38" i="6"/>
  <c r="Z47" i="3"/>
  <c r="K22" i="6"/>
  <c r="Z31" i="3"/>
  <c r="K6" i="6"/>
  <c r="Z15" i="3"/>
  <c r="V38" i="3"/>
  <c r="V68" i="3"/>
  <c r="T17" i="3"/>
  <c r="AQ9" i="5" s="1"/>
  <c r="Y9" i="5" s="1"/>
  <c r="X66" i="3"/>
  <c r="AG58" i="5" s="1"/>
  <c r="T62" i="3"/>
  <c r="AQ54" i="5" s="1"/>
  <c r="Y54" i="5" s="1"/>
  <c r="T73" i="3"/>
  <c r="AQ65" i="5" s="1"/>
  <c r="Y65" i="5" s="1"/>
  <c r="T57" i="3"/>
  <c r="AQ49" i="5" s="1"/>
  <c r="Y49" i="5" s="1"/>
  <c r="T41" i="3"/>
  <c r="AQ33" i="5" s="1"/>
  <c r="Y33" i="5" s="1"/>
  <c r="T25" i="3"/>
  <c r="AQ17" i="5" s="1"/>
  <c r="Y17" i="5" s="1"/>
  <c r="V75" i="3"/>
  <c r="V59" i="3"/>
  <c r="V43" i="3"/>
  <c r="V27" i="3"/>
  <c r="X76" i="3"/>
  <c r="X60" i="3"/>
  <c r="AG52" i="5" s="1"/>
  <c r="X44" i="3"/>
  <c r="AG36" i="5" s="1"/>
  <c r="X28" i="3"/>
  <c r="AG20" i="5" s="1"/>
  <c r="X12" i="3"/>
  <c r="AG4" i="5" s="1"/>
  <c r="K53" i="6"/>
  <c r="Z62" i="3"/>
  <c r="K37" i="6"/>
  <c r="Z46" i="3"/>
  <c r="K21" i="6"/>
  <c r="Z30" i="3"/>
  <c r="K5" i="6"/>
  <c r="Z14" i="3"/>
  <c r="T36" i="3"/>
  <c r="T50" i="3"/>
  <c r="AQ42" i="5" s="1"/>
  <c r="Y42" i="5" s="1"/>
  <c r="X37" i="3"/>
  <c r="AG29" i="5" s="1"/>
  <c r="V51" i="3"/>
  <c r="T15" i="3"/>
  <c r="AQ7" i="5" s="1"/>
  <c r="Y7" i="5" s="1"/>
  <c r="V17" i="3"/>
  <c r="T30" i="3"/>
  <c r="AQ22" i="5" s="1"/>
  <c r="Y22" i="5" s="1"/>
  <c r="T72" i="3"/>
  <c r="AQ64" i="5" s="1"/>
  <c r="Y64" i="5" s="1"/>
  <c r="T56" i="3"/>
  <c r="AQ48" i="5" s="1"/>
  <c r="Y48" i="5" s="1"/>
  <c r="T40" i="3"/>
  <c r="AQ32" i="5" s="1"/>
  <c r="Y32" i="5" s="1"/>
  <c r="T24" i="3"/>
  <c r="AQ16" i="5" s="1"/>
  <c r="Y16" i="5" s="1"/>
  <c r="V74" i="3"/>
  <c r="V58" i="3"/>
  <c r="V42" i="3"/>
  <c r="V26" i="3"/>
  <c r="X75" i="3"/>
  <c r="AG67" i="5" s="1"/>
  <c r="X59" i="3"/>
  <c r="AG51" i="5" s="1"/>
  <c r="X43" i="3"/>
  <c r="AG35" i="5" s="1"/>
  <c r="X27" i="3"/>
  <c r="AG19" i="5" s="1"/>
  <c r="Z61" i="3"/>
  <c r="K36" i="6"/>
  <c r="Z45" i="3"/>
  <c r="Z29" i="3"/>
  <c r="K4" i="6"/>
  <c r="Z13" i="3"/>
  <c r="T71" i="3"/>
  <c r="AQ63" i="5" s="1"/>
  <c r="Y63" i="5" s="1"/>
  <c r="T55" i="3"/>
  <c r="AQ47" i="5" s="1"/>
  <c r="Y47" i="5" s="1"/>
  <c r="T39" i="3"/>
  <c r="AQ31" i="5" s="1"/>
  <c r="Y31" i="5" s="1"/>
  <c r="T23" i="3"/>
  <c r="AQ15" i="5" s="1"/>
  <c r="Y15" i="5" s="1"/>
  <c r="V73" i="3"/>
  <c r="V57" i="3"/>
  <c r="V41" i="3"/>
  <c r="V25" i="3"/>
  <c r="X74" i="3"/>
  <c r="AG66" i="5" s="1"/>
  <c r="X58" i="3"/>
  <c r="AG50" i="5" s="1"/>
  <c r="X42" i="3"/>
  <c r="AG34" i="5" s="1"/>
  <c r="X26" i="3"/>
  <c r="AG18" i="5" s="1"/>
  <c r="K67" i="6"/>
  <c r="Z76" i="3"/>
  <c r="Z60" i="3"/>
  <c r="K35" i="6"/>
  <c r="Z44" i="3"/>
  <c r="K19" i="6"/>
  <c r="Z28" i="3"/>
  <c r="K3" i="6"/>
  <c r="Z12" i="3"/>
  <c r="V56" i="3"/>
  <c r="V40" i="3"/>
  <c r="V24" i="3"/>
  <c r="X73" i="3"/>
  <c r="AG65" i="5" s="1"/>
  <c r="X57" i="3"/>
  <c r="AG49" i="5" s="1"/>
  <c r="X41" i="3"/>
  <c r="AG33" i="5" s="1"/>
  <c r="X25" i="3"/>
  <c r="AG17" i="5" s="1"/>
  <c r="K66" i="6"/>
  <c r="Z75" i="3"/>
  <c r="K50" i="6"/>
  <c r="Z59" i="3"/>
  <c r="K34" i="6"/>
  <c r="Z43" i="3"/>
  <c r="K18" i="6"/>
  <c r="Z27" i="3"/>
  <c r="T69" i="3"/>
  <c r="AQ61" i="5" s="1"/>
  <c r="Y61" i="5" s="1"/>
  <c r="T53" i="3"/>
  <c r="AQ45" i="5" s="1"/>
  <c r="Y45" i="5" s="1"/>
  <c r="T37" i="3"/>
  <c r="AQ29" i="5" s="1"/>
  <c r="Y29" i="5" s="1"/>
  <c r="T21" i="3"/>
  <c r="AQ13" i="5" s="1"/>
  <c r="Y13" i="5" s="1"/>
  <c r="V71" i="3"/>
  <c r="V55" i="3"/>
  <c r="V39" i="3"/>
  <c r="V23" i="3"/>
  <c r="X72" i="3"/>
  <c r="AG64" i="5" s="1"/>
  <c r="X56" i="3"/>
  <c r="AG48" i="5" s="1"/>
  <c r="X40" i="3"/>
  <c r="AG32" i="5" s="1"/>
  <c r="X24" i="3"/>
  <c r="AG16" i="5" s="1"/>
  <c r="K65" i="6"/>
  <c r="Z74" i="3"/>
  <c r="K49" i="6"/>
  <c r="Z58" i="3"/>
  <c r="K33" i="6"/>
  <c r="Z42" i="3"/>
  <c r="K17" i="6"/>
  <c r="Z26" i="3"/>
  <c r="AP2" i="5"/>
  <c r="X2" i="5"/>
  <c r="L39" i="2"/>
  <c r="N21" i="6"/>
  <c r="BU22" i="5"/>
  <c r="N21" i="2"/>
  <c r="N53" i="6"/>
  <c r="BU54" i="5"/>
  <c r="N53" i="2"/>
  <c r="N5" i="6"/>
  <c r="BU6" i="5"/>
  <c r="N5" i="2"/>
  <c r="L1" i="6"/>
  <c r="L1" i="2"/>
  <c r="L24" i="5"/>
  <c r="K23" i="6"/>
  <c r="N37" i="6"/>
  <c r="BU38" i="5"/>
  <c r="N37" i="2"/>
  <c r="P1" i="6"/>
  <c r="P1" i="2"/>
  <c r="O65" i="6"/>
  <c r="BS66" i="5"/>
  <c r="U66" i="5" s="1"/>
  <c r="O65" i="2"/>
  <c r="O1" i="6"/>
  <c r="BS2" i="5"/>
  <c r="U2" i="5" s="1"/>
  <c r="N1" i="6"/>
  <c r="BU2" i="5"/>
  <c r="L53" i="5"/>
  <c r="K52" i="6"/>
  <c r="L21" i="5"/>
  <c r="K20" i="6"/>
  <c r="L52" i="5"/>
  <c r="K51" i="6"/>
  <c r="L64" i="5"/>
  <c r="K63" i="6"/>
  <c r="L48" i="5"/>
  <c r="K47" i="6"/>
  <c r="L32" i="5"/>
  <c r="K31" i="6"/>
  <c r="L16" i="5"/>
  <c r="K15" i="6"/>
  <c r="L63" i="5"/>
  <c r="K62" i="6"/>
  <c r="L47" i="5"/>
  <c r="K46" i="6"/>
  <c r="L31" i="5"/>
  <c r="K30" i="6"/>
  <c r="L15" i="5"/>
  <c r="K14" i="6"/>
  <c r="O1" i="2"/>
  <c r="N1" i="2"/>
  <c r="M1" i="6"/>
  <c r="BR2" i="5"/>
  <c r="K61" i="2"/>
  <c r="L62" i="5"/>
  <c r="K57" i="2"/>
  <c r="L58" i="5"/>
  <c r="K41" i="2"/>
  <c r="L42" i="5"/>
  <c r="K25" i="2"/>
  <c r="L26" i="5"/>
  <c r="K9" i="2"/>
  <c r="L10" i="5"/>
  <c r="K56" i="2"/>
  <c r="L57" i="5"/>
  <c r="K40" i="2"/>
  <c r="L41" i="5"/>
  <c r="K24" i="2"/>
  <c r="L25" i="5"/>
  <c r="K8" i="2"/>
  <c r="L9" i="5"/>
  <c r="K55" i="2"/>
  <c r="L56" i="5"/>
  <c r="K39" i="2"/>
  <c r="L40" i="5"/>
  <c r="K7" i="2"/>
  <c r="L8" i="5"/>
  <c r="K54" i="2"/>
  <c r="L55" i="5"/>
  <c r="K38" i="2"/>
  <c r="L39" i="5"/>
  <c r="K22" i="2"/>
  <c r="L23" i="5"/>
  <c r="K6" i="2"/>
  <c r="L7" i="5"/>
  <c r="K5" i="2"/>
  <c r="L6" i="5"/>
  <c r="K37" i="2"/>
  <c r="L38" i="5"/>
  <c r="K21" i="2"/>
  <c r="L22" i="5"/>
  <c r="K4" i="2"/>
  <c r="L5" i="5"/>
  <c r="K67" i="2"/>
  <c r="L68" i="5"/>
  <c r="K35" i="2"/>
  <c r="L36" i="5"/>
  <c r="K66" i="2"/>
  <c r="L67" i="5"/>
  <c r="K50" i="2"/>
  <c r="L51" i="5"/>
  <c r="K34" i="2"/>
  <c r="L35" i="5"/>
  <c r="K18" i="2"/>
  <c r="L19" i="5"/>
  <c r="K19" i="2"/>
  <c r="L20" i="5"/>
  <c r="K65" i="2"/>
  <c r="L66" i="5"/>
  <c r="K49" i="2"/>
  <c r="L50" i="5"/>
  <c r="K33" i="2"/>
  <c r="L34" i="5"/>
  <c r="K17" i="2"/>
  <c r="L18" i="5"/>
  <c r="K53" i="2"/>
  <c r="L54" i="5"/>
  <c r="K36" i="2"/>
  <c r="L37" i="5"/>
  <c r="K3" i="2"/>
  <c r="L4" i="5"/>
  <c r="K64" i="2"/>
  <c r="L65" i="5"/>
  <c r="K48" i="2"/>
  <c r="L49" i="5"/>
  <c r="K32" i="2"/>
  <c r="L33" i="5"/>
  <c r="K16" i="2"/>
  <c r="L17" i="5"/>
  <c r="K29" i="2"/>
  <c r="L30" i="5"/>
  <c r="K45" i="2"/>
  <c r="L46" i="5"/>
  <c r="K27" i="2"/>
  <c r="L28" i="5"/>
  <c r="K13" i="2"/>
  <c r="L14" i="5"/>
  <c r="K60" i="2"/>
  <c r="L61" i="5"/>
  <c r="K44" i="2"/>
  <c r="L45" i="5"/>
  <c r="K28" i="2"/>
  <c r="L29" i="5"/>
  <c r="K12" i="2"/>
  <c r="L13" i="5"/>
  <c r="K59" i="2"/>
  <c r="L60" i="5"/>
  <c r="K43" i="2"/>
  <c r="L44" i="5"/>
  <c r="K11" i="2"/>
  <c r="L12" i="5"/>
  <c r="K58" i="2"/>
  <c r="L59" i="5"/>
  <c r="K42" i="2"/>
  <c r="L43" i="5"/>
  <c r="K26" i="2"/>
  <c r="L27" i="5"/>
  <c r="K10" i="2"/>
  <c r="L11" i="5"/>
  <c r="K2" i="2"/>
  <c r="L3" i="5"/>
  <c r="K51" i="2"/>
  <c r="K20" i="2"/>
  <c r="K30" i="2"/>
  <c r="K15" i="2"/>
  <c r="K62" i="2"/>
  <c r="K47" i="2"/>
  <c r="K23" i="2"/>
  <c r="K52" i="2"/>
  <c r="K14" i="2"/>
  <c r="Z11" i="3"/>
  <c r="K46" i="2"/>
  <c r="K31" i="2"/>
  <c r="K63" i="2"/>
  <c r="Y62" i="1"/>
  <c r="AA56" i="1"/>
  <c r="Y72" i="1"/>
  <c r="Y60" i="1"/>
  <c r="Y56" i="1"/>
  <c r="Y52" i="1"/>
  <c r="X63" i="1"/>
  <c r="Z58" i="1"/>
  <c r="Z61" i="1"/>
  <c r="Y57" i="1"/>
  <c r="X61" i="1"/>
  <c r="X60" i="1"/>
  <c r="Y61" i="1"/>
  <c r="X73" i="1"/>
  <c r="X57" i="1"/>
  <c r="Z68" i="1"/>
  <c r="Z56" i="1"/>
  <c r="AA59" i="1"/>
  <c r="X62" i="1"/>
  <c r="AA57" i="1"/>
  <c r="Y68" i="1"/>
  <c r="X56" i="1"/>
  <c r="AA51" i="1"/>
  <c r="X72" i="1"/>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10" i="3"/>
  <c r="L55" i="6" l="1"/>
  <c r="AQ56" i="5"/>
  <c r="Y56" i="5" s="1"/>
  <c r="AC10" i="5"/>
  <c r="BC10" i="5"/>
  <c r="AV10" i="5"/>
  <c r="AC12" i="5"/>
  <c r="BC12" i="5"/>
  <c r="AV12" i="5"/>
  <c r="AC31" i="5"/>
  <c r="BC31" i="5"/>
  <c r="BJ31" i="5" s="1"/>
  <c r="AV31" i="5"/>
  <c r="AC60" i="5"/>
  <c r="BC60" i="5"/>
  <c r="BJ60" i="5" s="1"/>
  <c r="AV60" i="5"/>
  <c r="AC5" i="5"/>
  <c r="AV5" i="5"/>
  <c r="BC5" i="5"/>
  <c r="AV44" i="5"/>
  <c r="AC44" i="5"/>
  <c r="BC44" i="5"/>
  <c r="BJ44" i="5" s="1"/>
  <c r="BC21" i="5"/>
  <c r="AV21" i="5"/>
  <c r="AC21" i="5"/>
  <c r="AV13" i="5"/>
  <c r="AC13" i="5"/>
  <c r="BC13" i="5"/>
  <c r="AV37" i="5"/>
  <c r="AC37" i="5"/>
  <c r="BC37" i="5"/>
  <c r="BJ37" i="5" s="1"/>
  <c r="AC7" i="5"/>
  <c r="BC7" i="5"/>
  <c r="AV7" i="5"/>
  <c r="AV63" i="5"/>
  <c r="AC63" i="5"/>
  <c r="BC63" i="5"/>
  <c r="BJ63" i="5" s="1"/>
  <c r="AV53" i="5"/>
  <c r="AC53" i="5"/>
  <c r="BC53" i="5"/>
  <c r="BJ53" i="5" s="1"/>
  <c r="AV23" i="5"/>
  <c r="AC23" i="5"/>
  <c r="BC23" i="5"/>
  <c r="AV11" i="5"/>
  <c r="AC11" i="5"/>
  <c r="BC11" i="5"/>
  <c r="BC58" i="5"/>
  <c r="BJ58" i="5" s="1"/>
  <c r="AV58" i="5"/>
  <c r="AC58" i="5"/>
  <c r="AV39" i="5"/>
  <c r="AC39" i="5"/>
  <c r="BC39" i="5"/>
  <c r="BJ39" i="5" s="1"/>
  <c r="P8" i="6"/>
  <c r="AG9" i="5"/>
  <c r="AV27" i="5"/>
  <c r="BC27" i="5"/>
  <c r="BJ27" i="5" s="1"/>
  <c r="AC27" i="5"/>
  <c r="BC61" i="5"/>
  <c r="BJ61" i="5" s="1"/>
  <c r="AV61" i="5"/>
  <c r="AC61" i="5"/>
  <c r="AC16" i="5"/>
  <c r="BC16" i="5"/>
  <c r="AV16" i="5"/>
  <c r="BC55" i="5"/>
  <c r="BJ55" i="5" s="1"/>
  <c r="AV55" i="5"/>
  <c r="AC55" i="5"/>
  <c r="AV25" i="5"/>
  <c r="AC25" i="5"/>
  <c r="BC25" i="5"/>
  <c r="AC43" i="5"/>
  <c r="AV43" i="5"/>
  <c r="BC43" i="5"/>
  <c r="BJ43" i="5" s="1"/>
  <c r="AV47" i="5"/>
  <c r="AC47" i="5"/>
  <c r="BC47" i="5"/>
  <c r="BJ47" i="5" s="1"/>
  <c r="BC67" i="5"/>
  <c r="BJ67" i="5" s="1"/>
  <c r="AC67" i="5"/>
  <c r="AV67" i="5"/>
  <c r="AV32" i="5"/>
  <c r="AC32" i="5"/>
  <c r="BC32" i="5"/>
  <c r="BJ32" i="5" s="1"/>
  <c r="AC4" i="5"/>
  <c r="BC4" i="5"/>
  <c r="AV4" i="5"/>
  <c r="AV41" i="5"/>
  <c r="BC41" i="5"/>
  <c r="BJ41" i="5" s="1"/>
  <c r="AC41" i="5"/>
  <c r="AV59" i="5"/>
  <c r="AC59" i="5"/>
  <c r="BC59" i="5"/>
  <c r="BJ59" i="5" s="1"/>
  <c r="AC48" i="5"/>
  <c r="AV48" i="5"/>
  <c r="BC48" i="5"/>
  <c r="BJ48" i="5" s="1"/>
  <c r="AC20" i="5"/>
  <c r="BC20" i="5"/>
  <c r="AV20" i="5"/>
  <c r="AC57" i="5"/>
  <c r="BC57" i="5"/>
  <c r="BJ57" i="5" s="1"/>
  <c r="AV57" i="5"/>
  <c r="AC64" i="5"/>
  <c r="BC64" i="5"/>
  <c r="BJ64" i="5" s="1"/>
  <c r="AV64" i="5"/>
  <c r="BC36" i="5"/>
  <c r="BJ36" i="5" s="1"/>
  <c r="AV36" i="5"/>
  <c r="AC36" i="5"/>
  <c r="AC26" i="5"/>
  <c r="BC26" i="5"/>
  <c r="AV26" i="5"/>
  <c r="BC14" i="5"/>
  <c r="AC14" i="5"/>
  <c r="AV14" i="5"/>
  <c r="BC3" i="5"/>
  <c r="AC3" i="5"/>
  <c r="AV3" i="5"/>
  <c r="AC52" i="5"/>
  <c r="BC52" i="5"/>
  <c r="BJ52" i="5" s="1"/>
  <c r="AV52" i="5"/>
  <c r="AV30" i="5"/>
  <c r="AC30" i="5"/>
  <c r="BC30" i="5"/>
  <c r="BJ30" i="5" s="1"/>
  <c r="AC33" i="5"/>
  <c r="AV33" i="5"/>
  <c r="BC33" i="5"/>
  <c r="BJ33" i="5" s="1"/>
  <c r="AC34" i="5"/>
  <c r="BC34" i="5"/>
  <c r="BJ34" i="5" s="1"/>
  <c r="AV34" i="5"/>
  <c r="P67" i="2"/>
  <c r="AG68" i="5"/>
  <c r="AC6" i="5"/>
  <c r="BC6" i="5"/>
  <c r="AV6" i="5"/>
  <c r="AV45" i="5"/>
  <c r="AC45" i="5"/>
  <c r="BC45" i="5"/>
  <c r="BJ45" i="5" s="1"/>
  <c r="AV46" i="5"/>
  <c r="AC46" i="5"/>
  <c r="BC46" i="5"/>
  <c r="BJ46" i="5" s="1"/>
  <c r="BC42" i="5"/>
  <c r="BJ42" i="5" s="1"/>
  <c r="AV42" i="5"/>
  <c r="AC42" i="5"/>
  <c r="AC49" i="5"/>
  <c r="BC49" i="5"/>
  <c r="BJ49" i="5" s="1"/>
  <c r="AV49" i="5"/>
  <c r="BC50" i="5"/>
  <c r="BJ50" i="5" s="1"/>
  <c r="AV50" i="5"/>
  <c r="AC50" i="5"/>
  <c r="AC19" i="5"/>
  <c r="BC19" i="5"/>
  <c r="AV19" i="5"/>
  <c r="AC29" i="5"/>
  <c r="BC29" i="5"/>
  <c r="BJ29" i="5" s="1"/>
  <c r="AV29" i="5"/>
  <c r="BC22" i="5"/>
  <c r="AC22" i="5"/>
  <c r="AV22" i="5"/>
  <c r="AC8" i="5"/>
  <c r="BC8" i="5"/>
  <c r="AV8" i="5"/>
  <c r="L7" i="6"/>
  <c r="AQ8" i="5"/>
  <c r="Y8" i="5" s="1"/>
  <c r="AV62" i="5"/>
  <c r="BC62" i="5"/>
  <c r="BJ62" i="5" s="1"/>
  <c r="AC62" i="5"/>
  <c r="AC56" i="5"/>
  <c r="BC56" i="5"/>
  <c r="BJ56" i="5" s="1"/>
  <c r="AV56" i="5"/>
  <c r="AC18" i="5"/>
  <c r="BC18" i="5"/>
  <c r="AV18" i="5"/>
  <c r="AC65" i="5"/>
  <c r="BC65" i="5"/>
  <c r="BJ65" i="5" s="1"/>
  <c r="AV65" i="5"/>
  <c r="AC66" i="5"/>
  <c r="BC66" i="5"/>
  <c r="BJ66" i="5" s="1"/>
  <c r="AV66" i="5"/>
  <c r="BC35" i="5"/>
  <c r="BJ35" i="5" s="1"/>
  <c r="AV35" i="5"/>
  <c r="AC35" i="5"/>
  <c r="AC38" i="5"/>
  <c r="BC38" i="5"/>
  <c r="BJ38" i="5" s="1"/>
  <c r="AV38" i="5"/>
  <c r="AV24" i="5"/>
  <c r="AC24" i="5"/>
  <c r="BC24" i="5"/>
  <c r="L23" i="6"/>
  <c r="AQ24" i="5"/>
  <c r="Y24" i="5" s="1"/>
  <c r="AC15" i="5"/>
  <c r="BC15" i="5"/>
  <c r="AV15" i="5"/>
  <c r="AV17" i="5"/>
  <c r="BC17" i="5"/>
  <c r="AC17" i="5"/>
  <c r="AV51" i="5"/>
  <c r="AC51" i="5"/>
  <c r="BC51" i="5"/>
  <c r="BJ51" i="5" s="1"/>
  <c r="L27" i="6"/>
  <c r="AQ28" i="5"/>
  <c r="Y28" i="5" s="1"/>
  <c r="BC54" i="5"/>
  <c r="BJ54" i="5" s="1"/>
  <c r="AV54" i="5"/>
  <c r="AC54" i="5"/>
  <c r="AV40" i="5"/>
  <c r="AC40" i="5"/>
  <c r="BC40" i="5"/>
  <c r="BJ40" i="5" s="1"/>
  <c r="L39" i="6"/>
  <c r="AQ40" i="5"/>
  <c r="Y40" i="5" s="1"/>
  <c r="AC28" i="5"/>
  <c r="BC28" i="5"/>
  <c r="BJ28" i="5" s="1"/>
  <c r="AV28" i="5"/>
  <c r="N11" i="7"/>
  <c r="C110" i="7"/>
  <c r="CP126" i="7"/>
  <c r="CV125" i="7"/>
  <c r="CV98" i="7" s="1"/>
  <c r="AE45" i="7"/>
  <c r="J45" i="7"/>
  <c r="J34" i="7"/>
  <c r="AE34" i="7"/>
  <c r="J32" i="7"/>
  <c r="AE32" i="7"/>
  <c r="J52" i="7"/>
  <c r="AE52" i="7"/>
  <c r="AE73" i="7"/>
  <c r="J73" i="7"/>
  <c r="J59" i="7"/>
  <c r="AI59" i="7" s="1" a="1"/>
  <c r="AI59" i="7" s="1"/>
  <c r="AE59" i="7"/>
  <c r="AE76" i="7"/>
  <c r="J76" i="7"/>
  <c r="AE63" i="7"/>
  <c r="J63" i="7"/>
  <c r="J55" i="7"/>
  <c r="AI55" i="7" s="1" a="1"/>
  <c r="AI55" i="7" s="1"/>
  <c r="AE55" i="7"/>
  <c r="J49" i="7"/>
  <c r="AE49" i="7"/>
  <c r="J50" i="7"/>
  <c r="AE50" i="7"/>
  <c r="J40" i="7"/>
  <c r="AE40" i="7"/>
  <c r="AE25" i="7"/>
  <c r="J25" i="7"/>
  <c r="AE17" i="7"/>
  <c r="J17" i="7"/>
  <c r="AE70" i="7"/>
  <c r="J70" i="7"/>
  <c r="J35" i="7"/>
  <c r="AE35" i="7"/>
  <c r="AE48" i="7"/>
  <c r="J48" i="7"/>
  <c r="J74" i="7"/>
  <c r="AE74" i="7"/>
  <c r="J53" i="7"/>
  <c r="AE53" i="7"/>
  <c r="AE41" i="7"/>
  <c r="J41" i="7"/>
  <c r="AE38" i="7"/>
  <c r="J38" i="7"/>
  <c r="J68" i="7"/>
  <c r="AE68" i="7"/>
  <c r="J33" i="7"/>
  <c r="AE33" i="7"/>
  <c r="AE75" i="7"/>
  <c r="J75" i="7"/>
  <c r="J44" i="7"/>
  <c r="AE44" i="7"/>
  <c r="AE78" i="7"/>
  <c r="J78" i="7"/>
  <c r="AE36" i="7"/>
  <c r="J36" i="7"/>
  <c r="J26" i="7"/>
  <c r="AE26" i="7"/>
  <c r="J39" i="7"/>
  <c r="AE39" i="7"/>
  <c r="J37" i="7"/>
  <c r="AE37" i="7"/>
  <c r="J60" i="7"/>
  <c r="AE60" i="7"/>
  <c r="J24" i="7"/>
  <c r="AE24" i="7"/>
  <c r="J58" i="7"/>
  <c r="AI58" i="7" s="1" a="1"/>
  <c r="AI58" i="7" s="1"/>
  <c r="AE58" i="7"/>
  <c r="J69" i="7"/>
  <c r="AE69" i="7"/>
  <c r="J62" i="7"/>
  <c r="AE62" i="7"/>
  <c r="J20" i="7"/>
  <c r="AE20" i="7"/>
  <c r="J29" i="7"/>
  <c r="AE29" i="7"/>
  <c r="AE46" i="7"/>
  <c r="J46" i="7"/>
  <c r="J64" i="7"/>
  <c r="AE64" i="7"/>
  <c r="AJ15" i="7"/>
  <c r="AN15" i="7" s="1"/>
  <c r="FE15" i="7" s="1"/>
  <c r="AC15" i="7"/>
  <c r="AD15" i="7" s="1"/>
  <c r="AJ16" i="7"/>
  <c r="AN16" i="7" s="1"/>
  <c r="FE16" i="7" s="1"/>
  <c r="AC16" i="7"/>
  <c r="AD16" i="7" s="1"/>
  <c r="J61" i="7"/>
  <c r="AE61" i="7"/>
  <c r="AJ14" i="7"/>
  <c r="AN14" i="7" s="1"/>
  <c r="FE14" i="7" s="1"/>
  <c r="AC14" i="7"/>
  <c r="J15" i="7"/>
  <c r="AE15" i="7"/>
  <c r="J43" i="7"/>
  <c r="AE43" i="7"/>
  <c r="J54" i="7"/>
  <c r="AI54" i="7" s="1" a="1"/>
  <c r="AI54" i="7" s="1"/>
  <c r="AE54" i="7"/>
  <c r="AE14" i="7"/>
  <c r="J30" i="7"/>
  <c r="AE30" i="7"/>
  <c r="J66" i="7"/>
  <c r="AE66" i="7"/>
  <c r="J18" i="7"/>
  <c r="AE18" i="7"/>
  <c r="AE16" i="7"/>
  <c r="J16" i="7"/>
  <c r="AE28" i="7"/>
  <c r="J28" i="7"/>
  <c r="AE72" i="7"/>
  <c r="J72" i="7"/>
  <c r="AI72" i="7" s="1" a="1"/>
  <c r="AI72" i="7" s="1"/>
  <c r="J23" i="7"/>
  <c r="AE23" i="7"/>
  <c r="J22" i="7"/>
  <c r="AE22" i="7"/>
  <c r="AE31" i="7"/>
  <c r="J31" i="7"/>
  <c r="AE51" i="7"/>
  <c r="J51" i="7"/>
  <c r="AE77" i="7"/>
  <c r="J77" i="7"/>
  <c r="J47" i="7"/>
  <c r="AE47" i="7"/>
  <c r="J57" i="7"/>
  <c r="AI57" i="7" s="1" a="1"/>
  <c r="AI57" i="7" s="1"/>
  <c r="AE57" i="7"/>
  <c r="J65" i="7"/>
  <c r="AE65" i="7"/>
  <c r="AE67" i="7"/>
  <c r="J67" i="7"/>
  <c r="J56" i="7"/>
  <c r="AI56" i="7" s="1" a="1"/>
  <c r="AI56" i="7" s="1"/>
  <c r="AE56" i="7"/>
  <c r="J42" i="7"/>
  <c r="AE42" i="7"/>
  <c r="J21" i="7"/>
  <c r="AE21" i="7"/>
  <c r="AE71" i="7"/>
  <c r="J71" i="7"/>
  <c r="J19" i="7"/>
  <c r="AE19" i="7"/>
  <c r="J79" i="7"/>
  <c r="AE79" i="7"/>
  <c r="J27" i="7"/>
  <c r="AE27" i="7"/>
  <c r="AF2" i="5"/>
  <c r="BB2" i="5" s="1"/>
  <c r="AU2" i="5"/>
  <c r="BY46" i="5"/>
  <c r="J13" i="4"/>
  <c r="M14" i="4"/>
  <c r="Q14" i="4" s="1"/>
  <c r="L23" i="2"/>
  <c r="P8" i="2"/>
  <c r="N9" i="5"/>
  <c r="AS20" i="7" s="1"/>
  <c r="CY20" i="7" s="1"/>
  <c r="L55" i="2"/>
  <c r="L27" i="2"/>
  <c r="CT4" i="5"/>
  <c r="T26" i="5"/>
  <c r="P26" i="5"/>
  <c r="V22" i="5"/>
  <c r="S22" i="5"/>
  <c r="O22" i="5"/>
  <c r="T45" i="5"/>
  <c r="P45" i="5"/>
  <c r="P24" i="5"/>
  <c r="T24" i="5"/>
  <c r="T21" i="5"/>
  <c r="P21" i="5"/>
  <c r="P20" i="5"/>
  <c r="T20" i="5"/>
  <c r="T47" i="5"/>
  <c r="P47" i="5"/>
  <c r="T59" i="5"/>
  <c r="P59" i="5"/>
  <c r="P38" i="5"/>
  <c r="T38" i="5"/>
  <c r="T12" i="5"/>
  <c r="P12" i="5"/>
  <c r="V6" i="5"/>
  <c r="S6" i="5"/>
  <c r="O6" i="5"/>
  <c r="P8" i="5"/>
  <c r="T8" i="5"/>
  <c r="T42" i="5"/>
  <c r="P42" i="5"/>
  <c r="T46" i="5"/>
  <c r="P46" i="5"/>
  <c r="T31" i="5"/>
  <c r="P31" i="5"/>
  <c r="P40" i="5"/>
  <c r="T40" i="5"/>
  <c r="P19" i="5"/>
  <c r="T19" i="5"/>
  <c r="T63" i="5"/>
  <c r="P63" i="5"/>
  <c r="T28" i="5"/>
  <c r="P28" i="5"/>
  <c r="T44" i="5"/>
  <c r="P44" i="5"/>
  <c r="P7" i="5"/>
  <c r="T7" i="5"/>
  <c r="T32" i="5"/>
  <c r="P32" i="5"/>
  <c r="T5" i="5"/>
  <c r="P5" i="5"/>
  <c r="P22" i="5"/>
  <c r="T22" i="5"/>
  <c r="V2" i="5"/>
  <c r="O2" i="5"/>
  <c r="S2" i="5"/>
  <c r="P37" i="5"/>
  <c r="T37" i="5"/>
  <c r="P41" i="5"/>
  <c r="T41" i="5"/>
  <c r="T66" i="5"/>
  <c r="P66" i="5"/>
  <c r="P65" i="5"/>
  <c r="T65" i="5"/>
  <c r="P53" i="5"/>
  <c r="T53" i="5"/>
  <c r="P4" i="5"/>
  <c r="T4" i="5"/>
  <c r="P35" i="5"/>
  <c r="T35" i="5"/>
  <c r="P54" i="5"/>
  <c r="T54" i="5"/>
  <c r="V54" i="5"/>
  <c r="S54" i="5"/>
  <c r="O54" i="5"/>
  <c r="T62" i="5"/>
  <c r="P62" i="5"/>
  <c r="T60" i="5"/>
  <c r="P60" i="5"/>
  <c r="T3" i="5"/>
  <c r="P3" i="5"/>
  <c r="R2" i="5"/>
  <c r="AS2" i="5" s="1"/>
  <c r="AI2" i="5" s="1"/>
  <c r="N2" i="5"/>
  <c r="T43" i="5"/>
  <c r="P43" i="5"/>
  <c r="T58" i="5"/>
  <c r="P58" i="5"/>
  <c r="P6" i="5"/>
  <c r="T6" i="5"/>
  <c r="T16" i="5"/>
  <c r="P16" i="5"/>
  <c r="P25" i="5"/>
  <c r="T25" i="5"/>
  <c r="P67" i="5"/>
  <c r="T67" i="5"/>
  <c r="T34" i="5"/>
  <c r="P34" i="5"/>
  <c r="P39" i="5"/>
  <c r="T39" i="5"/>
  <c r="T64" i="5"/>
  <c r="P64" i="5"/>
  <c r="P49" i="5"/>
  <c r="T49" i="5"/>
  <c r="P51" i="5"/>
  <c r="T51" i="5"/>
  <c r="T30" i="5"/>
  <c r="P30" i="5"/>
  <c r="T18" i="5"/>
  <c r="P18" i="5"/>
  <c r="P23" i="5"/>
  <c r="T23" i="5"/>
  <c r="T48" i="5"/>
  <c r="P48" i="5"/>
  <c r="T13" i="5"/>
  <c r="P13" i="5"/>
  <c r="T29" i="5"/>
  <c r="P29" i="5"/>
  <c r="P33" i="5"/>
  <c r="T33" i="5"/>
  <c r="T50" i="5"/>
  <c r="P50" i="5"/>
  <c r="P68" i="5"/>
  <c r="T68" i="5"/>
  <c r="P55" i="5"/>
  <c r="T55" i="5"/>
  <c r="T10" i="5"/>
  <c r="P10" i="5"/>
  <c r="T27" i="5"/>
  <c r="P27" i="5"/>
  <c r="T61" i="5"/>
  <c r="P61" i="5"/>
  <c r="T14" i="5"/>
  <c r="P14" i="5"/>
  <c r="P56" i="5"/>
  <c r="T56" i="5"/>
  <c r="P9" i="5"/>
  <c r="T9" i="5"/>
  <c r="M2" i="5"/>
  <c r="W2" i="5"/>
  <c r="P17" i="5"/>
  <c r="T17" i="5"/>
  <c r="P36" i="5"/>
  <c r="T36" i="5"/>
  <c r="P57" i="5"/>
  <c r="T57" i="5"/>
  <c r="T11" i="5"/>
  <c r="P11" i="5"/>
  <c r="T15" i="5"/>
  <c r="P15" i="5"/>
  <c r="P52" i="5"/>
  <c r="T52" i="5"/>
  <c r="V38" i="5"/>
  <c r="S38" i="5"/>
  <c r="O38" i="5"/>
  <c r="M63" i="2"/>
  <c r="BR64" i="5"/>
  <c r="AT75" i="7" s="1"/>
  <c r="L7" i="2"/>
  <c r="N11" i="6"/>
  <c r="BU12" i="5"/>
  <c r="N11" i="2"/>
  <c r="O46" i="6"/>
  <c r="BS47" i="5"/>
  <c r="U47" i="5" s="1"/>
  <c r="O46" i="2"/>
  <c r="L14" i="6"/>
  <c r="L14" i="2"/>
  <c r="L16" i="6"/>
  <c r="L16" i="2"/>
  <c r="L35" i="6"/>
  <c r="L35" i="2"/>
  <c r="P45" i="6"/>
  <c r="P45" i="2"/>
  <c r="CT55" i="5"/>
  <c r="L42" i="6"/>
  <c r="L42" i="2"/>
  <c r="N27" i="6"/>
  <c r="BU28" i="5"/>
  <c r="N27" i="2"/>
  <c r="CT63" i="5"/>
  <c r="CT27" i="5"/>
  <c r="CT45" i="5"/>
  <c r="CT49" i="5"/>
  <c r="CT66" i="5"/>
  <c r="CT5" i="5"/>
  <c r="CT8" i="5"/>
  <c r="CT26" i="5"/>
  <c r="N56" i="6"/>
  <c r="BU57" i="5"/>
  <c r="N56" i="2"/>
  <c r="O53" i="6"/>
  <c r="BS54" i="5"/>
  <c r="U54" i="5" s="1"/>
  <c r="O53" i="2"/>
  <c r="O54" i="6"/>
  <c r="BS55" i="5"/>
  <c r="U55" i="5" s="1"/>
  <c r="O54" i="2"/>
  <c r="N43" i="6"/>
  <c r="BU44" i="5"/>
  <c r="N43" i="2"/>
  <c r="M55" i="6"/>
  <c r="BR56" i="5"/>
  <c r="AT67" i="7" s="1"/>
  <c r="M55" i="2"/>
  <c r="S55" i="2" s="1"/>
  <c r="P12" i="6"/>
  <c r="P12" i="2"/>
  <c r="N31" i="6"/>
  <c r="BU32" i="5"/>
  <c r="N31" i="2"/>
  <c r="O44" i="6"/>
  <c r="BS45" i="5"/>
  <c r="U45" i="5" s="1"/>
  <c r="O44" i="2"/>
  <c r="N63" i="6"/>
  <c r="BU64" i="5"/>
  <c r="N63" i="2"/>
  <c r="O62" i="6"/>
  <c r="BS63" i="5"/>
  <c r="U63" i="5" s="1"/>
  <c r="O62" i="2"/>
  <c r="M29" i="6"/>
  <c r="BR30" i="5"/>
  <c r="AT41" i="7" s="1"/>
  <c r="CZ41" i="7" s="1"/>
  <c r="M29" i="2"/>
  <c r="O66" i="6"/>
  <c r="BS67" i="5"/>
  <c r="U67" i="5" s="1"/>
  <c r="O66" i="2"/>
  <c r="M15" i="6"/>
  <c r="BR16" i="5"/>
  <c r="AT27" i="7" s="1"/>
  <c r="CZ27" i="7" s="1"/>
  <c r="FK27" i="7" s="1"/>
  <c r="M15" i="2"/>
  <c r="M65" i="6"/>
  <c r="BR66" i="5"/>
  <c r="AT77" i="7" s="1"/>
  <c r="M65" i="2"/>
  <c r="M52" i="6"/>
  <c r="BR53" i="5"/>
  <c r="AT64" i="7" s="1"/>
  <c r="M52" i="2"/>
  <c r="L54" i="6"/>
  <c r="L54" i="2"/>
  <c r="L30" i="6"/>
  <c r="L30" i="2"/>
  <c r="L64" i="6"/>
  <c r="L64" i="2"/>
  <c r="L51" i="6"/>
  <c r="L51" i="2"/>
  <c r="O22" i="6"/>
  <c r="BS23" i="5"/>
  <c r="U23" i="5" s="1"/>
  <c r="O22" i="2"/>
  <c r="M4" i="6"/>
  <c r="BR5" i="5"/>
  <c r="AT16" i="7" s="1"/>
  <c r="CZ16" i="7" s="1"/>
  <c r="FK16" i="7" s="1"/>
  <c r="M4" i="2"/>
  <c r="O37" i="6"/>
  <c r="BS38" i="5"/>
  <c r="U38" i="5" s="1"/>
  <c r="O37" i="2"/>
  <c r="M13" i="6"/>
  <c r="BR14" i="5"/>
  <c r="AT25" i="7" s="1"/>
  <c r="CZ25" i="7" s="1"/>
  <c r="FK25" i="7" s="1"/>
  <c r="M13" i="2"/>
  <c r="O19" i="6"/>
  <c r="BS20" i="5"/>
  <c r="U20" i="5" s="1"/>
  <c r="O19" i="2"/>
  <c r="M3" i="6"/>
  <c r="BR4" i="5"/>
  <c r="AT15" i="7" s="1"/>
  <c r="CZ15" i="7" s="1"/>
  <c r="FK15" i="7" s="1"/>
  <c r="M3" i="2"/>
  <c r="M20" i="6"/>
  <c r="BR21" i="5"/>
  <c r="AT32" i="7" s="1"/>
  <c r="CZ32" i="7" s="1"/>
  <c r="FK32" i="7" s="1"/>
  <c r="M20" i="2"/>
  <c r="N59" i="6"/>
  <c r="BU60" i="5"/>
  <c r="N59" i="2"/>
  <c r="N13" i="6"/>
  <c r="BU14" i="5"/>
  <c r="N13" i="2"/>
  <c r="P28" i="6"/>
  <c r="P28" i="2"/>
  <c r="CT32" i="5"/>
  <c r="N47" i="6"/>
  <c r="BU48" i="5"/>
  <c r="N47" i="2"/>
  <c r="O60" i="6"/>
  <c r="BS61" i="5"/>
  <c r="U61" i="5" s="1"/>
  <c r="O60" i="2"/>
  <c r="M12" i="6"/>
  <c r="BR13" i="5"/>
  <c r="AT24" i="7" s="1"/>
  <c r="CZ24" i="7" s="1"/>
  <c r="FK24" i="7" s="1"/>
  <c r="M12" i="2"/>
  <c r="M45" i="6"/>
  <c r="BR46" i="5"/>
  <c r="AT57" i="7" s="1"/>
  <c r="M45" i="2"/>
  <c r="M16" i="6"/>
  <c r="BR17" i="5"/>
  <c r="AT28" i="7" s="1"/>
  <c r="CZ28" i="7" s="1"/>
  <c r="FK28" i="7" s="1"/>
  <c r="M16" i="2"/>
  <c r="M31" i="6"/>
  <c r="BR32" i="5"/>
  <c r="AT43" i="7" s="1"/>
  <c r="M31" i="2"/>
  <c r="N58" i="6"/>
  <c r="BU59" i="5"/>
  <c r="N58" i="2"/>
  <c r="N23" i="6"/>
  <c r="BU24" i="5"/>
  <c r="V24" i="5" s="1"/>
  <c r="Z24" i="5" s="1"/>
  <c r="AD24" i="5" s="1"/>
  <c r="N23" i="2"/>
  <c r="N10" i="6"/>
  <c r="BU11" i="5"/>
  <c r="N10" i="2"/>
  <c r="L46" i="6"/>
  <c r="L46" i="2"/>
  <c r="L34" i="6"/>
  <c r="L34" i="2"/>
  <c r="L67" i="6"/>
  <c r="L67" i="2"/>
  <c r="M19" i="6"/>
  <c r="BR20" i="5"/>
  <c r="AT31" i="7" s="1"/>
  <c r="CZ31" i="7" s="1"/>
  <c r="FK31" i="7" s="1"/>
  <c r="M19" i="2"/>
  <c r="P9" i="6"/>
  <c r="P9" i="2"/>
  <c r="N28" i="6"/>
  <c r="BU29" i="5"/>
  <c r="N28" i="2"/>
  <c r="N29" i="6"/>
  <c r="BU30" i="5"/>
  <c r="N29" i="2"/>
  <c r="P44" i="6"/>
  <c r="P44" i="2"/>
  <c r="N65" i="6"/>
  <c r="BU66" i="5"/>
  <c r="N65" i="2"/>
  <c r="M10" i="6"/>
  <c r="BR11" i="5"/>
  <c r="AT22" i="7" s="1"/>
  <c r="CZ22" i="7" s="1"/>
  <c r="FK22" i="7" s="1"/>
  <c r="M10" i="2"/>
  <c r="M28" i="6"/>
  <c r="BR29" i="5"/>
  <c r="AT40" i="7" s="1"/>
  <c r="CZ40" i="7" s="1"/>
  <c r="M28" i="2"/>
  <c r="M61" i="6"/>
  <c r="BR62" i="5"/>
  <c r="AT73" i="7" s="1"/>
  <c r="M61" i="2"/>
  <c r="M32" i="6"/>
  <c r="BR33" i="5"/>
  <c r="AT44" i="7" s="1"/>
  <c r="M32" i="2"/>
  <c r="M47" i="6"/>
  <c r="BR48" i="5"/>
  <c r="AT59" i="7" s="1"/>
  <c r="M47" i="2"/>
  <c r="L4" i="6"/>
  <c r="L4" i="2"/>
  <c r="N55" i="6"/>
  <c r="BU56" i="5"/>
  <c r="N55" i="2"/>
  <c r="N26" i="6"/>
  <c r="BU27" i="5"/>
  <c r="N26" i="2"/>
  <c r="L62" i="6"/>
  <c r="L62" i="2"/>
  <c r="L52" i="6"/>
  <c r="L52" i="2"/>
  <c r="L22" i="6"/>
  <c r="L22" i="2"/>
  <c r="CT33" i="5"/>
  <c r="L26" i="6"/>
  <c r="L26" i="2"/>
  <c r="M59" i="6"/>
  <c r="BR60" i="5"/>
  <c r="AT71" i="7" s="1"/>
  <c r="M59" i="2"/>
  <c r="P26" i="6"/>
  <c r="P26" i="2"/>
  <c r="CT20" i="5"/>
  <c r="O51" i="6"/>
  <c r="BS52" i="5"/>
  <c r="U52" i="5" s="1"/>
  <c r="O51" i="2"/>
  <c r="P4" i="6"/>
  <c r="P4" i="2"/>
  <c r="M6" i="6"/>
  <c r="BR7" i="5"/>
  <c r="AT18" i="7" s="1"/>
  <c r="CZ18" i="7" s="1"/>
  <c r="FK18" i="7" s="1"/>
  <c r="M6" i="2"/>
  <c r="M35" i="6"/>
  <c r="BR36" i="5"/>
  <c r="AT47" i="7" s="1"/>
  <c r="M35" i="2"/>
  <c r="P25" i="6"/>
  <c r="P25" i="2"/>
  <c r="N44" i="6"/>
  <c r="BU45" i="5"/>
  <c r="N44" i="2"/>
  <c r="N45" i="6"/>
  <c r="BU46" i="5"/>
  <c r="N45" i="2"/>
  <c r="P60" i="6"/>
  <c r="P60" i="2"/>
  <c r="CT48" i="5"/>
  <c r="N33" i="6"/>
  <c r="BU34" i="5"/>
  <c r="N33" i="2"/>
  <c r="M26" i="6"/>
  <c r="BR27" i="5"/>
  <c r="AT38" i="7" s="1"/>
  <c r="CZ38" i="7" s="1"/>
  <c r="M26" i="2"/>
  <c r="M44" i="6"/>
  <c r="BR45" i="5"/>
  <c r="AT56" i="7" s="1"/>
  <c r="M44" i="2"/>
  <c r="N3" i="6"/>
  <c r="BU4" i="5"/>
  <c r="N3" i="2"/>
  <c r="M48" i="6"/>
  <c r="BR49" i="5"/>
  <c r="AT60" i="7" s="1"/>
  <c r="M48" i="2"/>
  <c r="L25" i="6"/>
  <c r="L25" i="2"/>
  <c r="L12" i="6"/>
  <c r="L12" i="2"/>
  <c r="L32" i="6"/>
  <c r="L32" i="2"/>
  <c r="M23" i="6"/>
  <c r="S23" i="6" s="1"/>
  <c r="BR24" i="5"/>
  <c r="AT35" i="7" s="1"/>
  <c r="CZ35" i="7" s="1"/>
  <c r="FK35" i="7" s="1"/>
  <c r="M23" i="2"/>
  <c r="S23" i="2" s="1"/>
  <c r="N40" i="6"/>
  <c r="BU41" i="5"/>
  <c r="N40" i="2"/>
  <c r="O50" i="6"/>
  <c r="BS51" i="5"/>
  <c r="U51" i="5" s="1"/>
  <c r="O50" i="2"/>
  <c r="P2" i="6"/>
  <c r="X5" i="3"/>
  <c r="P2" i="2"/>
  <c r="P42" i="6"/>
  <c r="P42" i="2"/>
  <c r="M22" i="6"/>
  <c r="BR23" i="5"/>
  <c r="AT34" i="7" s="1"/>
  <c r="CZ34" i="7" s="1"/>
  <c r="FK34" i="7" s="1"/>
  <c r="M22" i="2"/>
  <c r="CT59" i="5"/>
  <c r="CT14" i="5"/>
  <c r="CT19" i="5"/>
  <c r="CT38" i="5"/>
  <c r="CT56" i="5"/>
  <c r="CT58" i="5"/>
  <c r="O4" i="6"/>
  <c r="BS5" i="5"/>
  <c r="U5" i="5" s="1"/>
  <c r="O4" i="2"/>
  <c r="M51" i="6"/>
  <c r="BR52" i="5"/>
  <c r="AT63" i="7" s="1"/>
  <c r="M51" i="2"/>
  <c r="P41" i="6"/>
  <c r="P41" i="2"/>
  <c r="N60" i="6"/>
  <c r="BU61" i="5"/>
  <c r="N60" i="2"/>
  <c r="N61" i="6"/>
  <c r="BU62" i="5"/>
  <c r="N61" i="2"/>
  <c r="M8" i="6"/>
  <c r="BR9" i="5"/>
  <c r="AT20" i="7" s="1"/>
  <c r="CZ20" i="7" s="1"/>
  <c r="FK20" i="7" s="1"/>
  <c r="M8" i="2"/>
  <c r="P11" i="6"/>
  <c r="P11" i="2"/>
  <c r="M42" i="6"/>
  <c r="BR43" i="5"/>
  <c r="AT54" i="7" s="1"/>
  <c r="M42" i="2"/>
  <c r="P15" i="6"/>
  <c r="P15" i="2"/>
  <c r="M60" i="6"/>
  <c r="BR61" i="5"/>
  <c r="AT72" i="7" s="1"/>
  <c r="M60" i="2"/>
  <c r="CT52" i="5"/>
  <c r="N19" i="6"/>
  <c r="BU20" i="5"/>
  <c r="N19" i="2"/>
  <c r="M64" i="6"/>
  <c r="BR65" i="5"/>
  <c r="AT76" i="7" s="1"/>
  <c r="M64" i="2"/>
  <c r="L57" i="6"/>
  <c r="L57" i="2"/>
  <c r="L60" i="6"/>
  <c r="L60" i="2"/>
  <c r="L24" i="6"/>
  <c r="L24" i="2"/>
  <c r="L33" i="6"/>
  <c r="L33" i="2"/>
  <c r="CT11" i="5"/>
  <c r="O30" i="6"/>
  <c r="BS31" i="5"/>
  <c r="U31" i="5" s="1"/>
  <c r="O30" i="2"/>
  <c r="M36" i="6"/>
  <c r="BR37" i="5"/>
  <c r="AT48" i="7" s="1"/>
  <c r="M36" i="2"/>
  <c r="O35" i="6"/>
  <c r="BS36" i="5"/>
  <c r="U36" i="5" s="1"/>
  <c r="O35" i="2"/>
  <c r="CT61" i="5"/>
  <c r="O67" i="6"/>
  <c r="BS68" i="5"/>
  <c r="U68" i="5" s="1"/>
  <c r="O67" i="2"/>
  <c r="P34" i="6"/>
  <c r="P34" i="2"/>
  <c r="P38" i="6"/>
  <c r="P38" i="2"/>
  <c r="M38" i="6"/>
  <c r="BR39" i="5"/>
  <c r="AT50" i="7" s="1"/>
  <c r="M38" i="2"/>
  <c r="O20" i="6"/>
  <c r="BS21" i="5"/>
  <c r="U21" i="5" s="1"/>
  <c r="O20" i="2"/>
  <c r="M67" i="6"/>
  <c r="BR68" i="5"/>
  <c r="AT79" i="7" s="1"/>
  <c r="M67" i="2"/>
  <c r="P57" i="6"/>
  <c r="P57" i="2"/>
  <c r="N49" i="6"/>
  <c r="BU50" i="5"/>
  <c r="N49" i="2"/>
  <c r="M24" i="6"/>
  <c r="BR25" i="5"/>
  <c r="AT36" i="7" s="1"/>
  <c r="CZ36" i="7" s="1"/>
  <c r="M24" i="2"/>
  <c r="CT64" i="5"/>
  <c r="M30" i="6"/>
  <c r="BR31" i="5"/>
  <c r="AT42" i="7" s="1"/>
  <c r="M30" i="2"/>
  <c r="M58" i="6"/>
  <c r="BR59" i="5"/>
  <c r="AT70" i="7" s="1"/>
  <c r="M58" i="2"/>
  <c r="P31" i="6"/>
  <c r="P31" i="2"/>
  <c r="N4" i="6"/>
  <c r="BU5" i="5"/>
  <c r="N4" i="2"/>
  <c r="N35" i="6"/>
  <c r="BU36" i="5"/>
  <c r="N35" i="2"/>
  <c r="N6" i="6"/>
  <c r="BU7" i="5"/>
  <c r="N6" i="2"/>
  <c r="P3" i="6"/>
  <c r="P3" i="2"/>
  <c r="N42" i="6"/>
  <c r="BU43" i="5"/>
  <c r="N42" i="2"/>
  <c r="L13" i="6"/>
  <c r="L13" i="2"/>
  <c r="L2" i="6"/>
  <c r="T6" i="3"/>
  <c r="T5" i="3"/>
  <c r="L2" i="2"/>
  <c r="CT68" i="5"/>
  <c r="O34" i="6"/>
  <c r="BS35" i="5"/>
  <c r="U35" i="5" s="1"/>
  <c r="O34" i="2"/>
  <c r="O28" i="6"/>
  <c r="BS29" i="5"/>
  <c r="U29" i="5" s="1"/>
  <c r="O28" i="2"/>
  <c r="P61" i="6"/>
  <c r="P61" i="2"/>
  <c r="CT65" i="5"/>
  <c r="M54" i="6"/>
  <c r="BR55" i="5"/>
  <c r="AT66" i="7" s="1"/>
  <c r="M54" i="2"/>
  <c r="CT12" i="5"/>
  <c r="CT28" i="5"/>
  <c r="CT37" i="5"/>
  <c r="CT35" i="5"/>
  <c r="CT6" i="5"/>
  <c r="CT9" i="5"/>
  <c r="CT62" i="5"/>
  <c r="O36" i="6"/>
  <c r="BS37" i="5"/>
  <c r="U37" i="5" s="1"/>
  <c r="O36" i="2"/>
  <c r="N9" i="6"/>
  <c r="BU10" i="5"/>
  <c r="N9" i="2"/>
  <c r="O7" i="6"/>
  <c r="BS8" i="5"/>
  <c r="U8" i="5" s="1"/>
  <c r="O7" i="2"/>
  <c r="M14" i="6"/>
  <c r="BR15" i="5"/>
  <c r="AT26" i="7" s="1"/>
  <c r="CZ26" i="7" s="1"/>
  <c r="FK26" i="7" s="1"/>
  <c r="M14" i="2"/>
  <c r="M40" i="6"/>
  <c r="BR41" i="5"/>
  <c r="AT52" i="7" s="1"/>
  <c r="M40" i="2"/>
  <c r="O11" i="6"/>
  <c r="BS12" i="5"/>
  <c r="U12" i="5" s="1"/>
  <c r="O11" i="2"/>
  <c r="N64" i="6"/>
  <c r="BU65" i="5"/>
  <c r="N64" i="2"/>
  <c r="P47" i="6"/>
  <c r="P47" i="2"/>
  <c r="N18" i="6"/>
  <c r="BU19" i="5"/>
  <c r="N18" i="2"/>
  <c r="N51" i="6"/>
  <c r="BU52" i="5"/>
  <c r="N51" i="2"/>
  <c r="N22" i="6"/>
  <c r="BU23" i="5"/>
  <c r="N22" i="2"/>
  <c r="P19" i="6"/>
  <c r="P19" i="2"/>
  <c r="L44" i="6"/>
  <c r="L44" i="2"/>
  <c r="L29" i="6"/>
  <c r="L29" i="2"/>
  <c r="L20" i="6"/>
  <c r="S20" i="6" s="1"/>
  <c r="L20" i="2"/>
  <c r="L56" i="6"/>
  <c r="L56" i="2"/>
  <c r="L5" i="6"/>
  <c r="L5" i="2"/>
  <c r="O21" i="6"/>
  <c r="BS22" i="5"/>
  <c r="U22" i="5" s="1"/>
  <c r="O21" i="2"/>
  <c r="L19" i="6"/>
  <c r="L19" i="2"/>
  <c r="S19" i="2" s="1"/>
  <c r="P43" i="6"/>
  <c r="P43" i="2"/>
  <c r="P18" i="6"/>
  <c r="P18" i="2"/>
  <c r="P14" i="6"/>
  <c r="P14" i="2"/>
  <c r="O52" i="6"/>
  <c r="BS53" i="5"/>
  <c r="U53" i="5" s="1"/>
  <c r="O52" i="2"/>
  <c r="N25" i="6"/>
  <c r="BU26" i="5"/>
  <c r="N25" i="2"/>
  <c r="O23" i="6"/>
  <c r="BS24" i="5"/>
  <c r="U24" i="5" s="1"/>
  <c r="O23" i="2"/>
  <c r="M56" i="6"/>
  <c r="BR57" i="5"/>
  <c r="AT68" i="7" s="1"/>
  <c r="M56" i="2"/>
  <c r="O27" i="6"/>
  <c r="BS28" i="5"/>
  <c r="U28" i="5" s="1"/>
  <c r="O27" i="2"/>
  <c r="N16" i="6"/>
  <c r="BU17" i="5"/>
  <c r="N16" i="2"/>
  <c r="P63" i="6"/>
  <c r="P63" i="2"/>
  <c r="N34" i="6"/>
  <c r="BU35" i="5"/>
  <c r="N34" i="2"/>
  <c r="P17" i="6"/>
  <c r="P17" i="2"/>
  <c r="N38" i="6"/>
  <c r="BU39" i="5"/>
  <c r="N38" i="2"/>
  <c r="P35" i="6"/>
  <c r="P35" i="2"/>
  <c r="L45" i="6"/>
  <c r="L45" i="2"/>
  <c r="L40" i="6"/>
  <c r="L40" i="2"/>
  <c r="L65" i="6"/>
  <c r="L65" i="2"/>
  <c r="L21" i="6"/>
  <c r="L21" i="2"/>
  <c r="P66" i="6"/>
  <c r="P66" i="2"/>
  <c r="CT29" i="5"/>
  <c r="O12" i="6"/>
  <c r="BS13" i="5"/>
  <c r="U13" i="5" s="1"/>
  <c r="O12" i="2"/>
  <c r="O38" i="6"/>
  <c r="BS39" i="5"/>
  <c r="U39" i="5" s="1"/>
  <c r="O38" i="2"/>
  <c r="P10" i="6"/>
  <c r="P10" i="2"/>
  <c r="P50" i="6"/>
  <c r="P50" i="2"/>
  <c r="P27" i="6"/>
  <c r="P27" i="2"/>
  <c r="CT44" i="5"/>
  <c r="CT46" i="5"/>
  <c r="CT54" i="5"/>
  <c r="CT51" i="5"/>
  <c r="CT7" i="5"/>
  <c r="CT25" i="5"/>
  <c r="M2" i="6"/>
  <c r="BR3" i="5"/>
  <c r="AT14" i="7" s="1"/>
  <c r="V5" i="3"/>
  <c r="M2" i="2"/>
  <c r="V6" i="3"/>
  <c r="N41" i="6"/>
  <c r="BU42" i="5"/>
  <c r="N41" i="2"/>
  <c r="O39" i="6"/>
  <c r="BS40" i="5"/>
  <c r="U40" i="5" s="1"/>
  <c r="O39" i="2"/>
  <c r="N67" i="6"/>
  <c r="BU68" i="5"/>
  <c r="N67" i="2"/>
  <c r="O43" i="6"/>
  <c r="BS44" i="5"/>
  <c r="U44" i="5" s="1"/>
  <c r="O43" i="2"/>
  <c r="N32" i="6"/>
  <c r="BU33" i="5"/>
  <c r="N32" i="2"/>
  <c r="O13" i="6"/>
  <c r="BS14" i="5"/>
  <c r="U14" i="5" s="1"/>
  <c r="O13" i="2"/>
  <c r="N50" i="6"/>
  <c r="BU51" i="5"/>
  <c r="N50" i="2"/>
  <c r="P33" i="6"/>
  <c r="P33" i="2"/>
  <c r="CT21" i="5"/>
  <c r="P30" i="6"/>
  <c r="P30" i="2"/>
  <c r="N54" i="6"/>
  <c r="BU55" i="5"/>
  <c r="N54" i="2"/>
  <c r="P51" i="6"/>
  <c r="P51" i="2"/>
  <c r="M33" i="6"/>
  <c r="BR34" i="5"/>
  <c r="AT45" i="7" s="1"/>
  <c r="M33" i="2"/>
  <c r="L8" i="6"/>
  <c r="L8" i="2"/>
  <c r="L61" i="6"/>
  <c r="L61" i="2"/>
  <c r="L15" i="6"/>
  <c r="L15" i="2"/>
  <c r="L58" i="6"/>
  <c r="L58" i="2"/>
  <c r="L37" i="6"/>
  <c r="L37" i="2"/>
  <c r="O56" i="6"/>
  <c r="BS57" i="5"/>
  <c r="U57" i="5" s="1"/>
  <c r="O56" i="2"/>
  <c r="M17" i="6"/>
  <c r="BR18" i="5"/>
  <c r="AT29" i="7" s="1"/>
  <c r="CZ29" i="7" s="1"/>
  <c r="FK29" i="7" s="1"/>
  <c r="M17" i="2"/>
  <c r="P59" i="6"/>
  <c r="P59" i="2"/>
  <c r="O26" i="6"/>
  <c r="BS27" i="5"/>
  <c r="U27" i="5" s="1"/>
  <c r="O26" i="2"/>
  <c r="M18" i="6"/>
  <c r="BR19" i="5"/>
  <c r="AT30" i="7" s="1"/>
  <c r="CZ30" i="7" s="1"/>
  <c r="FK30" i="7" s="1"/>
  <c r="M18" i="2"/>
  <c r="P7" i="6"/>
  <c r="P7" i="2"/>
  <c r="N57" i="6"/>
  <c r="BU58" i="5"/>
  <c r="N57" i="2"/>
  <c r="O55" i="6"/>
  <c r="BS56" i="5"/>
  <c r="U56" i="5" s="1"/>
  <c r="O55" i="2"/>
  <c r="O9" i="6"/>
  <c r="BS10" i="5"/>
  <c r="U10" i="5" s="1"/>
  <c r="O9" i="2"/>
  <c r="CT15" i="5"/>
  <c r="N14" i="6"/>
  <c r="BU15" i="5"/>
  <c r="N14" i="2"/>
  <c r="O59" i="6"/>
  <c r="BS60" i="5"/>
  <c r="U60" i="5" s="1"/>
  <c r="O59" i="2"/>
  <c r="N48" i="6"/>
  <c r="BU49" i="5"/>
  <c r="N48" i="2"/>
  <c r="O29" i="6"/>
  <c r="BS30" i="5"/>
  <c r="U30" i="5" s="1"/>
  <c r="O29" i="2"/>
  <c r="P16" i="6"/>
  <c r="P16" i="2"/>
  <c r="P49" i="6"/>
  <c r="P49" i="2"/>
  <c r="O16" i="6"/>
  <c r="BS17" i="5"/>
  <c r="U17" i="5" s="1"/>
  <c r="O16" i="2"/>
  <c r="P20" i="6"/>
  <c r="P20" i="2"/>
  <c r="X6" i="3"/>
  <c r="P67" i="6"/>
  <c r="M49" i="6"/>
  <c r="BR50" i="5"/>
  <c r="AT61" i="7" s="1"/>
  <c r="M49" i="2"/>
  <c r="CT24" i="5"/>
  <c r="L47" i="6"/>
  <c r="L47" i="2"/>
  <c r="L31" i="6"/>
  <c r="L31" i="2"/>
  <c r="L66" i="6"/>
  <c r="L66" i="2"/>
  <c r="L53" i="6"/>
  <c r="L53" i="2"/>
  <c r="N66" i="6"/>
  <c r="BU67" i="5"/>
  <c r="N66" i="2"/>
  <c r="N15" i="6"/>
  <c r="BU16" i="5"/>
  <c r="N15" i="2"/>
  <c r="N2" i="6"/>
  <c r="BU3" i="5"/>
  <c r="U5" i="3"/>
  <c r="N2" i="2"/>
  <c r="U6" i="3"/>
  <c r="P5" i="6"/>
  <c r="P5" i="2"/>
  <c r="N20" i="6"/>
  <c r="BU21" i="5"/>
  <c r="N20" i="2"/>
  <c r="P13" i="6"/>
  <c r="P13" i="2"/>
  <c r="O42" i="6"/>
  <c r="BS43" i="5"/>
  <c r="U43" i="5" s="1"/>
  <c r="O42" i="2"/>
  <c r="CT60" i="5"/>
  <c r="CT30" i="5"/>
  <c r="CT18" i="5"/>
  <c r="CT67" i="5"/>
  <c r="CT23" i="5"/>
  <c r="CT41" i="5"/>
  <c r="M34" i="6"/>
  <c r="BR35" i="5"/>
  <c r="AT46" i="7" s="1"/>
  <c r="M34" i="2"/>
  <c r="P23" i="6"/>
  <c r="P23" i="2"/>
  <c r="P24" i="6"/>
  <c r="P24" i="2"/>
  <c r="M5" i="6"/>
  <c r="BR6" i="5"/>
  <c r="AT17" i="7" s="1"/>
  <c r="CZ17" i="7" s="1"/>
  <c r="FK17" i="7" s="1"/>
  <c r="M5" i="2"/>
  <c r="O25" i="6"/>
  <c r="BS26" i="5"/>
  <c r="U26" i="5" s="1"/>
  <c r="O25" i="2"/>
  <c r="N30" i="6"/>
  <c r="BU31" i="5"/>
  <c r="N30" i="2"/>
  <c r="M9" i="6"/>
  <c r="BR10" i="5"/>
  <c r="AT21" i="7" s="1"/>
  <c r="CZ21" i="7" s="1"/>
  <c r="FK21" i="7" s="1"/>
  <c r="M9" i="2"/>
  <c r="N17" i="6"/>
  <c r="BU18" i="5"/>
  <c r="N17" i="2"/>
  <c r="O45" i="6"/>
  <c r="BS46" i="5"/>
  <c r="U46" i="5" s="1"/>
  <c r="O45" i="2"/>
  <c r="P32" i="6"/>
  <c r="P32" i="2"/>
  <c r="P65" i="6"/>
  <c r="P65" i="2"/>
  <c r="M46" i="6"/>
  <c r="BR47" i="5"/>
  <c r="AT58" i="7" s="1"/>
  <c r="M46" i="2"/>
  <c r="P36" i="6"/>
  <c r="P36" i="2"/>
  <c r="O17" i="6"/>
  <c r="BS18" i="5"/>
  <c r="U18" i="5" s="1"/>
  <c r="O17" i="2"/>
  <c r="N7" i="6"/>
  <c r="BU8" i="5"/>
  <c r="N7" i="2"/>
  <c r="L48" i="6"/>
  <c r="L48" i="2"/>
  <c r="S48" i="2" s="1"/>
  <c r="L63" i="6"/>
  <c r="L63" i="2"/>
  <c r="L6" i="6"/>
  <c r="L6" i="2"/>
  <c r="CT10" i="5"/>
  <c r="M43" i="6"/>
  <c r="BR44" i="5"/>
  <c r="AT55" i="7" s="1"/>
  <c r="M43" i="2"/>
  <c r="M39" i="6"/>
  <c r="BR40" i="5"/>
  <c r="AT51" i="7" s="1"/>
  <c r="M39" i="2"/>
  <c r="S39" i="2" s="1"/>
  <c r="P54" i="6"/>
  <c r="P54" i="2"/>
  <c r="CT42" i="5"/>
  <c r="P22" i="6"/>
  <c r="P22" i="2"/>
  <c r="P21" i="6"/>
  <c r="P21" i="2"/>
  <c r="O58" i="6"/>
  <c r="BS59" i="5"/>
  <c r="U59" i="5" s="1"/>
  <c r="O58" i="2"/>
  <c r="M50" i="6"/>
  <c r="BR51" i="5"/>
  <c r="AT62" i="7" s="1"/>
  <c r="M50" i="2"/>
  <c r="P39" i="6"/>
  <c r="P39" i="2"/>
  <c r="P40" i="6"/>
  <c r="P40" i="2"/>
  <c r="M21" i="6"/>
  <c r="BR22" i="5"/>
  <c r="AT33" i="7" s="1"/>
  <c r="CZ33" i="7" s="1"/>
  <c r="FK33" i="7" s="1"/>
  <c r="M21" i="2"/>
  <c r="O8" i="6"/>
  <c r="BS9" i="5"/>
  <c r="U9" i="5" s="1"/>
  <c r="O8" i="2"/>
  <c r="O41" i="6"/>
  <c r="BS42" i="5"/>
  <c r="U42" i="5" s="1"/>
  <c r="O41" i="2"/>
  <c r="CT31" i="5"/>
  <c r="N46" i="6"/>
  <c r="BU47" i="5"/>
  <c r="N46" i="2"/>
  <c r="M25" i="6"/>
  <c r="BR26" i="5"/>
  <c r="AT37" i="7" s="1"/>
  <c r="CZ37" i="7" s="1"/>
  <c r="M25" i="2"/>
  <c r="O64" i="6"/>
  <c r="BS65" i="5"/>
  <c r="U65" i="5" s="1"/>
  <c r="O64" i="2"/>
  <c r="O61" i="6"/>
  <c r="BS62" i="5"/>
  <c r="U62" i="5" s="1"/>
  <c r="O61" i="2"/>
  <c r="P48" i="6"/>
  <c r="P48" i="2"/>
  <c r="O32" i="6"/>
  <c r="BS33" i="5"/>
  <c r="U33" i="5" s="1"/>
  <c r="O32" i="2"/>
  <c r="O15" i="6"/>
  <c r="BS16" i="5"/>
  <c r="U16" i="5" s="1"/>
  <c r="O15" i="2"/>
  <c r="P52" i="6"/>
  <c r="P52" i="2"/>
  <c r="O33" i="6"/>
  <c r="BS34" i="5"/>
  <c r="U34" i="5" s="1"/>
  <c r="O33" i="2"/>
  <c r="N39" i="6"/>
  <c r="BU40" i="5"/>
  <c r="N39" i="2"/>
  <c r="L11" i="6"/>
  <c r="L11" i="2"/>
  <c r="L49" i="6"/>
  <c r="L49" i="2"/>
  <c r="L17" i="6"/>
  <c r="L17" i="2"/>
  <c r="N24" i="6"/>
  <c r="BU25" i="5"/>
  <c r="N24" i="2"/>
  <c r="O63" i="6"/>
  <c r="BS64" i="5"/>
  <c r="U64" i="5" s="1"/>
  <c r="O63" i="2"/>
  <c r="O2" i="6"/>
  <c r="BS3" i="5"/>
  <c r="U3" i="5" s="1"/>
  <c r="W6" i="3"/>
  <c r="W5" i="3"/>
  <c r="O2" i="2"/>
  <c r="N12" i="6"/>
  <c r="BU13" i="5"/>
  <c r="N12" i="2"/>
  <c r="CT16" i="5"/>
  <c r="P6" i="6"/>
  <c r="P6" i="2"/>
  <c r="CT43" i="5"/>
  <c r="CT40" i="5"/>
  <c r="P62" i="6"/>
  <c r="P62" i="2"/>
  <c r="N52" i="6"/>
  <c r="BU53" i="5"/>
  <c r="N52" i="2"/>
  <c r="P58" i="6"/>
  <c r="P58" i="2"/>
  <c r="CT3" i="5"/>
  <c r="CT13" i="5"/>
  <c r="CT17" i="5"/>
  <c r="CT34" i="5"/>
  <c r="CT36" i="5"/>
  <c r="CT39" i="5"/>
  <c r="CT57" i="5"/>
  <c r="M66" i="6"/>
  <c r="BR67" i="5"/>
  <c r="AT78" i="7" s="1"/>
  <c r="M66" i="2"/>
  <c r="P55" i="6"/>
  <c r="P55" i="2"/>
  <c r="P56" i="6"/>
  <c r="P56" i="2"/>
  <c r="M37" i="6"/>
  <c r="BR38" i="5"/>
  <c r="AT49" i="7" s="1"/>
  <c r="M37" i="2"/>
  <c r="O24" i="6"/>
  <c r="BS25" i="5"/>
  <c r="U25" i="5" s="1"/>
  <c r="O24" i="2"/>
  <c r="O57" i="6"/>
  <c r="BS58" i="5"/>
  <c r="U58" i="5" s="1"/>
  <c r="O57" i="2"/>
  <c r="N62" i="6"/>
  <c r="BU63" i="5"/>
  <c r="N62" i="2"/>
  <c r="M41" i="6"/>
  <c r="BR42" i="5"/>
  <c r="AT53" i="7" s="1"/>
  <c r="M41" i="2"/>
  <c r="M11" i="6"/>
  <c r="BR12" i="5"/>
  <c r="AT23" i="7" s="1"/>
  <c r="CZ23" i="7" s="1"/>
  <c r="FK23" i="7" s="1"/>
  <c r="M11" i="2"/>
  <c r="P64" i="6"/>
  <c r="P64" i="2"/>
  <c r="M62" i="6"/>
  <c r="BR63" i="5"/>
  <c r="AT74" i="7" s="1"/>
  <c r="M62" i="2"/>
  <c r="O31" i="6"/>
  <c r="BS32" i="5"/>
  <c r="U32" i="5" s="1"/>
  <c r="O31" i="2"/>
  <c r="O3" i="6"/>
  <c r="BS4" i="5"/>
  <c r="U4" i="5" s="1"/>
  <c r="O3" i="2"/>
  <c r="O49" i="6"/>
  <c r="BS50" i="5"/>
  <c r="U50" i="5" s="1"/>
  <c r="O49" i="2"/>
  <c r="L9" i="6"/>
  <c r="L9" i="2"/>
  <c r="S9" i="2" s="1"/>
  <c r="L43" i="6"/>
  <c r="L43" i="2"/>
  <c r="L10" i="6"/>
  <c r="L10" i="2"/>
  <c r="L18" i="6"/>
  <c r="L18" i="2"/>
  <c r="L50" i="6"/>
  <c r="L50" i="2"/>
  <c r="CT50" i="5"/>
  <c r="P53" i="6"/>
  <c r="P53" i="2"/>
  <c r="L28" i="6"/>
  <c r="L28" i="2"/>
  <c r="CT22" i="5"/>
  <c r="O10" i="6"/>
  <c r="BS11" i="5"/>
  <c r="U11" i="5" s="1"/>
  <c r="O10" i="2"/>
  <c r="N36" i="6"/>
  <c r="BU37" i="5"/>
  <c r="N36" i="2"/>
  <c r="P29" i="6"/>
  <c r="P29" i="2"/>
  <c r="P46" i="6"/>
  <c r="P46" i="2"/>
  <c r="P37" i="6"/>
  <c r="P37" i="2"/>
  <c r="N8" i="6"/>
  <c r="BU9" i="5"/>
  <c r="N8" i="2"/>
  <c r="O5" i="6"/>
  <c r="BS6" i="5"/>
  <c r="U6" i="5" s="1"/>
  <c r="O5" i="2"/>
  <c r="O6" i="6"/>
  <c r="BS7" i="5"/>
  <c r="U7" i="5" s="1"/>
  <c r="O6" i="2"/>
  <c r="M53" i="6"/>
  <c r="BR54" i="5"/>
  <c r="AT65" i="7" s="1"/>
  <c r="M53" i="2"/>
  <c r="O40" i="6"/>
  <c r="BS41" i="5"/>
  <c r="U41" i="5" s="1"/>
  <c r="O40" i="2"/>
  <c r="M7" i="6"/>
  <c r="BR8" i="5"/>
  <c r="AT19" i="7" s="1"/>
  <c r="CZ19" i="7" s="1"/>
  <c r="FK19" i="7" s="1"/>
  <c r="M7" i="2"/>
  <c r="CT47" i="5"/>
  <c r="O48" i="6"/>
  <c r="BS49" i="5"/>
  <c r="U49" i="5" s="1"/>
  <c r="O48" i="2"/>
  <c r="M57" i="6"/>
  <c r="BR58" i="5"/>
  <c r="AT69" i="7" s="1"/>
  <c r="M57" i="2"/>
  <c r="M27" i="6"/>
  <c r="BR28" i="5"/>
  <c r="AT39" i="7" s="1"/>
  <c r="CZ39" i="7" s="1"/>
  <c r="FK39" i="7" s="1"/>
  <c r="M27" i="2"/>
  <c r="S27" i="2" s="1"/>
  <c r="O14" i="6"/>
  <c r="BS15" i="5"/>
  <c r="U15" i="5" s="1"/>
  <c r="O14" i="2"/>
  <c r="O47" i="6"/>
  <c r="BS48" i="5"/>
  <c r="U48" i="5" s="1"/>
  <c r="O47" i="2"/>
  <c r="CT53" i="5"/>
  <c r="O18" i="6"/>
  <c r="BS19" i="5"/>
  <c r="U19" i="5" s="1"/>
  <c r="O18" i="2"/>
  <c r="L41" i="6"/>
  <c r="L41" i="2"/>
  <c r="L59" i="6"/>
  <c r="L59" i="2"/>
  <c r="L38" i="6"/>
  <c r="L38" i="2"/>
  <c r="L36" i="6"/>
  <c r="L36" i="2"/>
  <c r="S36" i="2" s="1"/>
  <c r="L3" i="6"/>
  <c r="L3" i="2"/>
  <c r="Z5" i="3"/>
  <c r="Z6" i="3"/>
  <c r="D49" i="2"/>
  <c r="I49" i="2" s="1"/>
  <c r="J49" i="2" s="1"/>
  <c r="D50" i="2"/>
  <c r="I50" i="2" s="1"/>
  <c r="J50" i="2" s="1"/>
  <c r="D51" i="2"/>
  <c r="I51" i="2" s="1"/>
  <c r="J51" i="2" s="1"/>
  <c r="D52" i="2"/>
  <c r="I52" i="2" s="1"/>
  <c r="J52" i="2" s="1"/>
  <c r="D53" i="2"/>
  <c r="I53" i="2" s="1"/>
  <c r="J53" i="2" s="1"/>
  <c r="D54" i="2"/>
  <c r="I54" i="2" s="1"/>
  <c r="J54" i="2" s="1"/>
  <c r="D55" i="2"/>
  <c r="I55" i="2" s="1"/>
  <c r="J55" i="2" s="1"/>
  <c r="D56" i="2"/>
  <c r="I56" i="2" s="1"/>
  <c r="J56" i="2" s="1"/>
  <c r="D57" i="2"/>
  <c r="I57" i="2" s="1"/>
  <c r="J57" i="2" s="1"/>
  <c r="D58" i="2"/>
  <c r="I58" i="2" s="1"/>
  <c r="J58" i="2" s="1"/>
  <c r="D59" i="2"/>
  <c r="I59" i="2" s="1"/>
  <c r="J59" i="2" s="1"/>
  <c r="D60" i="2"/>
  <c r="I60" i="2" s="1"/>
  <c r="J60" i="2" s="1"/>
  <c r="D61" i="2"/>
  <c r="I61" i="2" s="1"/>
  <c r="J61" i="2" s="1"/>
  <c r="D62" i="2"/>
  <c r="I62" i="2" s="1"/>
  <c r="J62" i="2" s="1"/>
  <c r="D63" i="2"/>
  <c r="I63" i="2" s="1"/>
  <c r="J63" i="2" s="1"/>
  <c r="D64" i="2"/>
  <c r="I64" i="2" s="1"/>
  <c r="J64" i="2" s="1"/>
  <c r="D65" i="2"/>
  <c r="I65" i="2" s="1"/>
  <c r="J65" i="2" s="1"/>
  <c r="D66" i="2"/>
  <c r="I66" i="2" s="1"/>
  <c r="J66" i="2" s="1"/>
  <c r="D67" i="2"/>
  <c r="I67" i="2" s="1"/>
  <c r="J67" i="2" s="1"/>
  <c r="D68" i="2"/>
  <c r="I68" i="2" s="1"/>
  <c r="J68" i="2" s="1"/>
  <c r="D48" i="2"/>
  <c r="I48" i="2" s="1"/>
  <c r="J48" i="2" s="1"/>
  <c r="D47" i="2"/>
  <c r="I47" i="2" s="1"/>
  <c r="J47" i="2" s="1"/>
  <c r="D3" i="2"/>
  <c r="I3" i="2" s="1"/>
  <c r="J3" i="2" s="1"/>
  <c r="D4" i="2"/>
  <c r="I4" i="2" s="1"/>
  <c r="J4" i="2" s="1"/>
  <c r="D5" i="2"/>
  <c r="I5" i="2" s="1"/>
  <c r="J5" i="2" s="1"/>
  <c r="D6" i="2"/>
  <c r="I6" i="2" s="1"/>
  <c r="J6" i="2" s="1"/>
  <c r="D7" i="2"/>
  <c r="I7" i="2" s="1"/>
  <c r="J7" i="2" s="1"/>
  <c r="D8" i="2"/>
  <c r="I8" i="2" s="1"/>
  <c r="J8" i="2" s="1"/>
  <c r="D9" i="2"/>
  <c r="I9" i="2" s="1"/>
  <c r="J9" i="2" s="1"/>
  <c r="D10" i="2"/>
  <c r="I10" i="2" s="1"/>
  <c r="J10" i="2" s="1"/>
  <c r="D11" i="2"/>
  <c r="I11" i="2" s="1"/>
  <c r="J11" i="2" s="1"/>
  <c r="D12" i="2"/>
  <c r="I12" i="2" s="1"/>
  <c r="J12" i="2" s="1"/>
  <c r="D13" i="2"/>
  <c r="I13" i="2" s="1"/>
  <c r="J13" i="2" s="1"/>
  <c r="D14" i="2"/>
  <c r="I14" i="2" s="1"/>
  <c r="J14" i="2" s="1"/>
  <c r="D15" i="2"/>
  <c r="I15" i="2" s="1"/>
  <c r="J15" i="2" s="1"/>
  <c r="D16" i="2"/>
  <c r="I16" i="2" s="1"/>
  <c r="J16" i="2" s="1"/>
  <c r="D17" i="2"/>
  <c r="I17" i="2" s="1"/>
  <c r="J17" i="2" s="1"/>
  <c r="D18" i="2"/>
  <c r="I18" i="2" s="1"/>
  <c r="J18" i="2" s="1"/>
  <c r="D19" i="2"/>
  <c r="I19" i="2" s="1"/>
  <c r="J19" i="2" s="1"/>
  <c r="D20" i="2"/>
  <c r="I20" i="2" s="1"/>
  <c r="J20" i="2" s="1"/>
  <c r="D21" i="2"/>
  <c r="I21" i="2" s="1"/>
  <c r="J21" i="2" s="1"/>
  <c r="D22" i="2"/>
  <c r="I22" i="2" s="1"/>
  <c r="J22" i="2" s="1"/>
  <c r="D23" i="2"/>
  <c r="I23" i="2" s="1"/>
  <c r="J23" i="2" s="1"/>
  <c r="D24" i="2"/>
  <c r="I24" i="2" s="1"/>
  <c r="J24" i="2" s="1"/>
  <c r="D25" i="2"/>
  <c r="I25" i="2" s="1"/>
  <c r="J25" i="2" s="1"/>
  <c r="D26" i="2"/>
  <c r="I26" i="2" s="1"/>
  <c r="J26" i="2" s="1"/>
  <c r="D27" i="2"/>
  <c r="I27" i="2" s="1"/>
  <c r="J27" i="2" s="1"/>
  <c r="D28" i="2"/>
  <c r="I28" i="2" s="1"/>
  <c r="J28" i="2" s="1"/>
  <c r="D29" i="2"/>
  <c r="I29" i="2" s="1"/>
  <c r="J29" i="2" s="1"/>
  <c r="D30" i="2"/>
  <c r="I30" i="2" s="1"/>
  <c r="J30" i="2" s="1"/>
  <c r="D31" i="2"/>
  <c r="I31" i="2" s="1"/>
  <c r="J31" i="2" s="1"/>
  <c r="D32" i="2"/>
  <c r="I32" i="2" s="1"/>
  <c r="J32" i="2" s="1"/>
  <c r="D33" i="2"/>
  <c r="I33" i="2" s="1"/>
  <c r="J33" i="2" s="1"/>
  <c r="D34" i="2"/>
  <c r="I34" i="2" s="1"/>
  <c r="J34" i="2" s="1"/>
  <c r="D35" i="2"/>
  <c r="I35" i="2" s="1"/>
  <c r="J35" i="2" s="1"/>
  <c r="D36" i="2"/>
  <c r="I36" i="2" s="1"/>
  <c r="J36" i="2" s="1"/>
  <c r="D37" i="2"/>
  <c r="I37" i="2" s="1"/>
  <c r="J37" i="2" s="1"/>
  <c r="D38" i="2"/>
  <c r="I38" i="2" s="1"/>
  <c r="J38" i="2" s="1"/>
  <c r="D39" i="2"/>
  <c r="I39" i="2" s="1"/>
  <c r="J39" i="2" s="1"/>
  <c r="D40" i="2"/>
  <c r="I40" i="2" s="1"/>
  <c r="J40" i="2" s="1"/>
  <c r="D41" i="2"/>
  <c r="I41" i="2" s="1"/>
  <c r="J41" i="2" s="1"/>
  <c r="D42" i="2"/>
  <c r="I42" i="2" s="1"/>
  <c r="J42" i="2" s="1"/>
  <c r="D43" i="2"/>
  <c r="I43" i="2" s="1"/>
  <c r="J43" i="2" s="1"/>
  <c r="D44" i="2"/>
  <c r="I44" i="2" s="1"/>
  <c r="J44" i="2" s="1"/>
  <c r="D45" i="2"/>
  <c r="I45" i="2" s="1"/>
  <c r="J45" i="2" s="1"/>
  <c r="D46" i="2"/>
  <c r="I46" i="2" s="1"/>
  <c r="J46" i="2" s="1"/>
  <c r="D2" i="2"/>
  <c r="I2" i="2" s="1"/>
  <c r="J2" i="2" s="1"/>
  <c r="F3" i="2"/>
  <c r="G3" i="2"/>
  <c r="F4" i="2"/>
  <c r="G4" i="2"/>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G2" i="2"/>
  <c r="F2" i="2"/>
  <c r="F14" i="1"/>
  <c r="F15" i="1"/>
  <c r="F30" i="1"/>
  <c r="F31" i="1"/>
  <c r="F46" i="1"/>
  <c r="F47" i="1"/>
  <c r="Q12" i="1"/>
  <c r="E58" i="1"/>
  <c r="C51" i="1"/>
  <c r="C52" i="1"/>
  <c r="C53" i="1"/>
  <c r="C54" i="1"/>
  <c r="C55" i="1"/>
  <c r="C56" i="1"/>
  <c r="C57" i="1"/>
  <c r="C58" i="1"/>
  <c r="C59" i="1"/>
  <c r="C60" i="1"/>
  <c r="C61" i="1"/>
  <c r="C62" i="1"/>
  <c r="C63" i="1"/>
  <c r="C64" i="1"/>
  <c r="C65" i="1"/>
  <c r="C66" i="1"/>
  <c r="C67" i="1"/>
  <c r="C68" i="1"/>
  <c r="C69" i="1"/>
  <c r="C70" i="1"/>
  <c r="C71" i="1"/>
  <c r="C72" i="1"/>
  <c r="C73" i="1"/>
  <c r="C74" i="1"/>
  <c r="C75" i="1"/>
  <c r="C76" i="1"/>
  <c r="C50"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AB73" i="1"/>
  <c r="AB74" i="1"/>
  <c r="AB75" i="1"/>
  <c r="AB76" i="1"/>
  <c r="AB72" i="1"/>
  <c r="CN77" i="1"/>
  <c r="X74" i="1" s="1"/>
  <c r="CO77" i="1"/>
  <c r="T73" i="1" s="1"/>
  <c r="CP77" i="1"/>
  <c r="U72" i="1" s="1"/>
  <c r="CQ77" i="1"/>
  <c r="CN78" i="1"/>
  <c r="X75" i="1" s="1"/>
  <c r="CO78" i="1"/>
  <c r="Y74" i="1" s="1"/>
  <c r="CP78" i="1"/>
  <c r="U73" i="1" s="1"/>
  <c r="CQ78" i="1"/>
  <c r="CN79" i="1"/>
  <c r="S76" i="1" s="1"/>
  <c r="CO79" i="1"/>
  <c r="T75" i="1" s="1"/>
  <c r="CP79" i="1"/>
  <c r="U74" i="1" s="1"/>
  <c r="CQ79" i="1"/>
  <c r="V73" i="1" s="1"/>
  <c r="CN80" i="1"/>
  <c r="CO80" i="1"/>
  <c r="T76" i="1" s="1"/>
  <c r="CP80" i="1"/>
  <c r="U75" i="1" s="1"/>
  <c r="CQ80" i="1"/>
  <c r="V74" i="1" s="1"/>
  <c r="CN81" i="1"/>
  <c r="CO81" i="1"/>
  <c r="CP81" i="1"/>
  <c r="U76" i="1" s="1"/>
  <c r="CQ81" i="1"/>
  <c r="AA75" i="1" s="1"/>
  <c r="CO76" i="1"/>
  <c r="CP76" i="1"/>
  <c r="CQ76" i="1"/>
  <c r="V70" i="1" s="1"/>
  <c r="CN76" i="1"/>
  <c r="AA45" i="1"/>
  <c r="AA46" i="1"/>
  <c r="AA47" i="1"/>
  <c r="AA48"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50" i="1"/>
  <c r="CW76" i="1"/>
  <c r="CX76" i="1" s="1"/>
  <c r="CW75" i="1"/>
  <c r="CX75" i="1" s="1"/>
  <c r="CW74" i="1"/>
  <c r="CX74" i="1" s="1"/>
  <c r="CW73" i="1"/>
  <c r="CX73" i="1" s="1"/>
  <c r="CW72" i="1"/>
  <c r="CX72" i="1" s="1"/>
  <c r="CW71" i="1"/>
  <c r="CX71" i="1" s="1"/>
  <c r="CW70" i="1"/>
  <c r="CX70" i="1" s="1"/>
  <c r="CW69" i="1"/>
  <c r="CX69" i="1" s="1"/>
  <c r="CW68" i="1"/>
  <c r="CX68" i="1" s="1"/>
  <c r="CW67" i="1"/>
  <c r="CX67" i="1" s="1"/>
  <c r="CW66" i="1"/>
  <c r="CX66" i="1" s="1"/>
  <c r="CW65" i="1"/>
  <c r="CX65" i="1" s="1"/>
  <c r="CW64" i="1"/>
  <c r="CX64" i="1" s="1"/>
  <c r="CW63" i="1"/>
  <c r="CX63" i="1" s="1"/>
  <c r="CW62" i="1"/>
  <c r="CX62" i="1" s="1"/>
  <c r="CW61" i="1"/>
  <c r="CX61" i="1" s="1"/>
  <c r="CW60" i="1"/>
  <c r="CX60" i="1" s="1"/>
  <c r="DA60" i="1" s="1"/>
  <c r="CW59" i="1"/>
  <c r="CX59" i="1" s="1"/>
  <c r="CW58" i="1"/>
  <c r="CX58" i="1" s="1"/>
  <c r="CW57" i="1"/>
  <c r="CX57" i="1" s="1"/>
  <c r="CW56" i="1"/>
  <c r="CX56" i="1" s="1"/>
  <c r="CW55" i="1"/>
  <c r="CX55" i="1" s="1"/>
  <c r="CW54" i="1"/>
  <c r="CX54" i="1" s="1"/>
  <c r="CW53" i="1"/>
  <c r="CX53" i="1" s="1"/>
  <c r="DA53" i="1" s="1"/>
  <c r="CW52" i="1"/>
  <c r="CX52" i="1" s="1"/>
  <c r="CW51" i="1"/>
  <c r="CX51" i="1" s="1"/>
  <c r="CW50" i="1"/>
  <c r="CX50" i="1" s="1"/>
  <c r="AT46" i="1"/>
  <c r="AT47" i="1"/>
  <c r="AG47" i="1" s="1"/>
  <c r="AT48" i="1"/>
  <c r="AH48" i="1" s="1"/>
  <c r="AT49" i="1"/>
  <c r="AH49" i="1" s="1"/>
  <c r="AT50" i="1"/>
  <c r="AT51" i="1"/>
  <c r="AT52" i="1"/>
  <c r="AT53" i="1"/>
  <c r="AT54" i="1"/>
  <c r="AT55" i="1"/>
  <c r="AT56" i="1"/>
  <c r="AT57" i="1"/>
  <c r="AT58" i="1"/>
  <c r="AT59" i="1"/>
  <c r="AT60" i="1"/>
  <c r="AT61" i="1"/>
  <c r="AT62" i="1"/>
  <c r="AT63" i="1"/>
  <c r="AT64" i="1"/>
  <c r="AT65" i="1"/>
  <c r="AT66" i="1"/>
  <c r="AT67" i="1"/>
  <c r="AT68" i="1"/>
  <c r="AT69" i="1"/>
  <c r="AT70" i="1"/>
  <c r="AT71" i="1"/>
  <c r="Q71" i="1" s="1"/>
  <c r="V65" i="1" s="1"/>
  <c r="AT72" i="1"/>
  <c r="AT73" i="1"/>
  <c r="AT74" i="1"/>
  <c r="AT45" i="1"/>
  <c r="AT35" i="1"/>
  <c r="BN35" i="1" s="1"/>
  <c r="AT36" i="1"/>
  <c r="BN36" i="1" s="1"/>
  <c r="AT37" i="1"/>
  <c r="BN37" i="1" s="1"/>
  <c r="AT38" i="1"/>
  <c r="BN38" i="1" s="1"/>
  <c r="AT39" i="1"/>
  <c r="BN39" i="1" s="1"/>
  <c r="AT40" i="1"/>
  <c r="BN40" i="1" s="1"/>
  <c r="AT41" i="1"/>
  <c r="AT42" i="1"/>
  <c r="BN42" i="1" s="1"/>
  <c r="AT43" i="1"/>
  <c r="AT44" i="1"/>
  <c r="BN44" i="1" s="1"/>
  <c r="AT34" i="1"/>
  <c r="BN34" i="1" s="1"/>
  <c r="P49" i="1"/>
  <c r="C49" i="1" s="1"/>
  <c r="P50" i="1"/>
  <c r="CK50" i="1" s="1"/>
  <c r="Q47" i="1"/>
  <c r="S44" i="1" s="1"/>
  <c r="Q43" i="1"/>
  <c r="Q44" i="1"/>
  <c r="S41" i="1" s="1"/>
  <c r="Q45" i="1"/>
  <c r="S42" i="1" s="1"/>
  <c r="Q46" i="1"/>
  <c r="S43" i="1" s="1"/>
  <c r="Q48" i="1"/>
  <c r="X45" i="1" s="1"/>
  <c r="Q49" i="1"/>
  <c r="Z44" i="1" s="1"/>
  <c r="Q42" i="1"/>
  <c r="U37" i="1" s="1"/>
  <c r="P46" i="1"/>
  <c r="P47" i="1"/>
  <c r="CK47" i="1" s="1"/>
  <c r="P48" i="1"/>
  <c r="C48" i="1" s="1"/>
  <c r="N47" i="1"/>
  <c r="A47" i="1" s="1"/>
  <c r="N48" i="1"/>
  <c r="A48" i="1" s="1"/>
  <c r="F48" i="1" s="1"/>
  <c r="N49" i="1"/>
  <c r="A49" i="1" s="1"/>
  <c r="F49" i="1" s="1"/>
  <c r="O48" i="1"/>
  <c r="O49" i="1"/>
  <c r="AG34" i="1"/>
  <c r="AH34" i="1" s="1"/>
  <c r="Q11" i="1"/>
  <c r="S8" i="1" s="1"/>
  <c r="O73" i="1"/>
  <c r="P73" i="1"/>
  <c r="O74" i="1"/>
  <c r="P74" i="1"/>
  <c r="O75" i="1"/>
  <c r="P75" i="1"/>
  <c r="O76" i="1"/>
  <c r="P76" i="1"/>
  <c r="P72" i="1"/>
  <c r="O72" i="1"/>
  <c r="N72" i="1"/>
  <c r="N73" i="1"/>
  <c r="N74" i="1"/>
  <c r="N75" i="1"/>
  <c r="N76" i="1"/>
  <c r="P51" i="1"/>
  <c r="CK51" i="1" s="1"/>
  <c r="P52" i="1"/>
  <c r="CK52" i="1" s="1"/>
  <c r="P53" i="1"/>
  <c r="CK53" i="1" s="1"/>
  <c r="P54" i="1"/>
  <c r="CK54" i="1" s="1"/>
  <c r="P55" i="1"/>
  <c r="CK55" i="1" s="1"/>
  <c r="P56" i="1"/>
  <c r="CK56" i="1" s="1"/>
  <c r="P57" i="1"/>
  <c r="CK57" i="1" s="1"/>
  <c r="P58" i="1"/>
  <c r="CK58" i="1" s="1"/>
  <c r="P59" i="1"/>
  <c r="CK59" i="1" s="1"/>
  <c r="P60" i="1"/>
  <c r="CK60" i="1" s="1"/>
  <c r="P61" i="1"/>
  <c r="CK61" i="1" s="1"/>
  <c r="P62" i="1"/>
  <c r="CK62" i="1" s="1"/>
  <c r="P63" i="1"/>
  <c r="CK63" i="1" s="1"/>
  <c r="P64" i="1"/>
  <c r="CK64" i="1" s="1"/>
  <c r="P65" i="1"/>
  <c r="CK65" i="1" s="1"/>
  <c r="P66" i="1"/>
  <c r="CK66" i="1" s="1"/>
  <c r="P67" i="1"/>
  <c r="CK67" i="1" s="1"/>
  <c r="P68" i="1"/>
  <c r="CK68" i="1" s="1"/>
  <c r="P69" i="1"/>
  <c r="CK69" i="1" s="1"/>
  <c r="P70" i="1"/>
  <c r="CK70" i="1" s="1"/>
  <c r="P71" i="1"/>
  <c r="CK71" i="1" s="1"/>
  <c r="O50" i="1"/>
  <c r="O51" i="1"/>
  <c r="O52" i="1"/>
  <c r="O53" i="1"/>
  <c r="O54" i="1"/>
  <c r="O55" i="1"/>
  <c r="O56" i="1"/>
  <c r="O57" i="1"/>
  <c r="O58" i="1"/>
  <c r="O59" i="1"/>
  <c r="O60" i="1"/>
  <c r="O61" i="1"/>
  <c r="O62" i="1"/>
  <c r="O63" i="1"/>
  <c r="O64" i="1"/>
  <c r="O65" i="1"/>
  <c r="O66" i="1"/>
  <c r="O67" i="1"/>
  <c r="O68" i="1"/>
  <c r="O69" i="1"/>
  <c r="O70" i="1"/>
  <c r="O71" i="1"/>
  <c r="O47" i="1"/>
  <c r="N50" i="1"/>
  <c r="N51" i="1"/>
  <c r="N52" i="1"/>
  <c r="N53" i="1"/>
  <c r="N54" i="1"/>
  <c r="N55" i="1"/>
  <c r="N56" i="1"/>
  <c r="N57" i="1"/>
  <c r="N58" i="1"/>
  <c r="N59" i="1"/>
  <c r="N60" i="1"/>
  <c r="N61" i="1"/>
  <c r="N62" i="1"/>
  <c r="N63" i="1"/>
  <c r="N64" i="1"/>
  <c r="N65" i="1"/>
  <c r="N66" i="1"/>
  <c r="N67" i="1"/>
  <c r="N68" i="1"/>
  <c r="N69" i="1"/>
  <c r="N70" i="1"/>
  <c r="N71" i="1"/>
  <c r="Q32" i="1"/>
  <c r="S29" i="1" s="1"/>
  <c r="Q33" i="1"/>
  <c r="U28" i="1" s="1"/>
  <c r="Q34" i="1"/>
  <c r="V28" i="1" s="1"/>
  <c r="Q35" i="1"/>
  <c r="T31" i="1" s="1"/>
  <c r="Q36" i="1"/>
  <c r="U31" i="1" s="1"/>
  <c r="Q37" i="1"/>
  <c r="S34" i="1" s="1"/>
  <c r="Q38" i="1"/>
  <c r="U33" i="1" s="1"/>
  <c r="Q39" i="1"/>
  <c r="T35" i="1" s="1"/>
  <c r="Q40" i="1"/>
  <c r="U35" i="1" s="1"/>
  <c r="Q41" i="1"/>
  <c r="S38" i="1" s="1"/>
  <c r="V37" i="1"/>
  <c r="Q8" i="1"/>
  <c r="S5" i="1" s="1"/>
  <c r="Q9" i="1"/>
  <c r="T5" i="1" s="1"/>
  <c r="Q10" i="1"/>
  <c r="T6" i="1" s="1"/>
  <c r="T8" i="1"/>
  <c r="Q13" i="1"/>
  <c r="T9" i="1" s="1"/>
  <c r="Q14" i="1"/>
  <c r="V8" i="1" s="1"/>
  <c r="Q15" i="1"/>
  <c r="V9" i="1" s="1"/>
  <c r="Q16" i="1"/>
  <c r="T12" i="1" s="1"/>
  <c r="Q17" i="1"/>
  <c r="U12" i="1" s="1"/>
  <c r="Q18" i="1"/>
  <c r="V12" i="1" s="1"/>
  <c r="Q19" i="1"/>
  <c r="U14" i="1" s="1"/>
  <c r="Q20" i="1"/>
  <c r="S17" i="1" s="1"/>
  <c r="Q21" i="1"/>
  <c r="U16" i="1" s="1"/>
  <c r="Q22" i="1"/>
  <c r="V16" i="1" s="1"/>
  <c r="Q23" i="1"/>
  <c r="V17" i="1" s="1"/>
  <c r="Q24" i="1"/>
  <c r="S21" i="1" s="1"/>
  <c r="Q25" i="1"/>
  <c r="U20" i="1" s="1"/>
  <c r="Q26" i="1"/>
  <c r="T22" i="1" s="1"/>
  <c r="Q27" i="1"/>
  <c r="U22" i="1" s="1"/>
  <c r="Q28" i="1"/>
  <c r="S25" i="1" s="1"/>
  <c r="Q29" i="1"/>
  <c r="U24" i="1" s="1"/>
  <c r="Q30" i="1"/>
  <c r="T26" i="1" s="1"/>
  <c r="Q31" i="1"/>
  <c r="V25" i="1" s="1"/>
  <c r="Q7" i="1"/>
  <c r="P32" i="1"/>
  <c r="P33" i="1"/>
  <c r="CK33" i="1" s="1"/>
  <c r="P34" i="1"/>
  <c r="CK34" i="1" s="1"/>
  <c r="P35" i="1"/>
  <c r="CK35" i="1" s="1"/>
  <c r="P36" i="1"/>
  <c r="CK36" i="1" s="1"/>
  <c r="P37" i="1"/>
  <c r="CK37" i="1" s="1"/>
  <c r="P38" i="1"/>
  <c r="CK38" i="1" s="1"/>
  <c r="P39" i="1"/>
  <c r="CK39" i="1" s="1"/>
  <c r="P40" i="1"/>
  <c r="CK40" i="1" s="1"/>
  <c r="P41" i="1"/>
  <c r="CK41" i="1" s="1"/>
  <c r="P42" i="1"/>
  <c r="CK42" i="1" s="1"/>
  <c r="P43" i="1"/>
  <c r="P44" i="1"/>
  <c r="P45" i="1"/>
  <c r="P8" i="1"/>
  <c r="P9" i="1"/>
  <c r="P10" i="1"/>
  <c r="P11" i="1"/>
  <c r="P12" i="1"/>
  <c r="P13" i="1"/>
  <c r="P14" i="1"/>
  <c r="P15" i="1"/>
  <c r="P16" i="1"/>
  <c r="P17" i="1"/>
  <c r="P18" i="1"/>
  <c r="P19" i="1"/>
  <c r="P20" i="1"/>
  <c r="P21" i="1"/>
  <c r="P22" i="1"/>
  <c r="P23" i="1"/>
  <c r="P24" i="1"/>
  <c r="P25" i="1"/>
  <c r="P26" i="1"/>
  <c r="P27" i="1"/>
  <c r="P28" i="1"/>
  <c r="P29" i="1"/>
  <c r="P30" i="1"/>
  <c r="P31" i="1"/>
  <c r="P7" i="1"/>
  <c r="N8" i="1"/>
  <c r="A8" i="1" s="1"/>
  <c r="F8" i="1" s="1"/>
  <c r="O8" i="1"/>
  <c r="N9" i="1"/>
  <c r="A9" i="1" s="1"/>
  <c r="F9" i="1" s="1"/>
  <c r="O9" i="1"/>
  <c r="N10" i="1"/>
  <c r="A10" i="1" s="1"/>
  <c r="F10" i="1" s="1"/>
  <c r="O10" i="1"/>
  <c r="N11" i="1"/>
  <c r="A11" i="1" s="1"/>
  <c r="F11" i="1" s="1"/>
  <c r="O11" i="1"/>
  <c r="N12" i="1"/>
  <c r="A12" i="1" s="1"/>
  <c r="F12" i="1" s="1"/>
  <c r="O12" i="1"/>
  <c r="N13" i="1"/>
  <c r="A13" i="1" s="1"/>
  <c r="F13" i="1" s="1"/>
  <c r="O13" i="1"/>
  <c r="N14" i="1"/>
  <c r="A14" i="1" s="1"/>
  <c r="O14" i="1"/>
  <c r="N15" i="1"/>
  <c r="A15" i="1" s="1"/>
  <c r="O15" i="1"/>
  <c r="N16" i="1"/>
  <c r="A16" i="1" s="1"/>
  <c r="F16" i="1" s="1"/>
  <c r="O16" i="1"/>
  <c r="N17" i="1"/>
  <c r="A17" i="1" s="1"/>
  <c r="F17" i="1" s="1"/>
  <c r="O17" i="1"/>
  <c r="N18" i="1"/>
  <c r="A18" i="1" s="1"/>
  <c r="F18" i="1" s="1"/>
  <c r="O18" i="1"/>
  <c r="N19" i="1"/>
  <c r="A19" i="1" s="1"/>
  <c r="F19" i="1" s="1"/>
  <c r="O19" i="1"/>
  <c r="N20" i="1"/>
  <c r="A20" i="1" s="1"/>
  <c r="F20" i="1" s="1"/>
  <c r="O20" i="1"/>
  <c r="N21" i="1"/>
  <c r="A21" i="1" s="1"/>
  <c r="F21" i="1" s="1"/>
  <c r="O21" i="1"/>
  <c r="N22" i="1"/>
  <c r="A22" i="1" s="1"/>
  <c r="F22" i="1" s="1"/>
  <c r="O22" i="1"/>
  <c r="N23" i="1"/>
  <c r="A23" i="1" s="1"/>
  <c r="F23" i="1" s="1"/>
  <c r="O23" i="1"/>
  <c r="N24" i="1"/>
  <c r="A24" i="1" s="1"/>
  <c r="F24" i="1" s="1"/>
  <c r="O24" i="1"/>
  <c r="N25" i="1"/>
  <c r="A25" i="1" s="1"/>
  <c r="F25" i="1" s="1"/>
  <c r="O25" i="1"/>
  <c r="N26" i="1"/>
  <c r="A26" i="1" s="1"/>
  <c r="F26" i="1" s="1"/>
  <c r="O26" i="1"/>
  <c r="N27" i="1"/>
  <c r="A27" i="1" s="1"/>
  <c r="F27" i="1" s="1"/>
  <c r="O27" i="1"/>
  <c r="N28" i="1"/>
  <c r="A28" i="1" s="1"/>
  <c r="F28" i="1" s="1"/>
  <c r="O28" i="1"/>
  <c r="N29" i="1"/>
  <c r="A29" i="1" s="1"/>
  <c r="F29" i="1" s="1"/>
  <c r="O29" i="1"/>
  <c r="N30" i="1"/>
  <c r="A30" i="1" s="1"/>
  <c r="O30" i="1"/>
  <c r="N31" i="1"/>
  <c r="A31" i="1" s="1"/>
  <c r="O31" i="1"/>
  <c r="N32" i="1"/>
  <c r="A32" i="1" s="1"/>
  <c r="F32" i="1" s="1"/>
  <c r="O32" i="1"/>
  <c r="N33" i="1"/>
  <c r="A33" i="1" s="1"/>
  <c r="F33" i="1" s="1"/>
  <c r="O33" i="1"/>
  <c r="N34" i="1"/>
  <c r="A34" i="1" s="1"/>
  <c r="F34" i="1" s="1"/>
  <c r="O34" i="1"/>
  <c r="N35" i="1"/>
  <c r="A35" i="1" s="1"/>
  <c r="F35" i="1" s="1"/>
  <c r="O35" i="1"/>
  <c r="N36" i="1"/>
  <c r="A36" i="1" s="1"/>
  <c r="F36" i="1" s="1"/>
  <c r="O36" i="1"/>
  <c r="N37" i="1"/>
  <c r="A37" i="1" s="1"/>
  <c r="F37" i="1" s="1"/>
  <c r="O37" i="1"/>
  <c r="N38" i="1"/>
  <c r="A38" i="1" s="1"/>
  <c r="F38" i="1" s="1"/>
  <c r="O38" i="1"/>
  <c r="N39" i="1"/>
  <c r="A39" i="1" s="1"/>
  <c r="F39" i="1" s="1"/>
  <c r="O39" i="1"/>
  <c r="N40" i="1"/>
  <c r="A40" i="1" s="1"/>
  <c r="F40" i="1" s="1"/>
  <c r="O40" i="1"/>
  <c r="N41" i="1"/>
  <c r="A41" i="1" s="1"/>
  <c r="F41" i="1" s="1"/>
  <c r="O41" i="1"/>
  <c r="N42" i="1"/>
  <c r="A42" i="1" s="1"/>
  <c r="F42" i="1" s="1"/>
  <c r="O42" i="1"/>
  <c r="N43" i="1"/>
  <c r="A43" i="1" s="1"/>
  <c r="F43" i="1" s="1"/>
  <c r="O43" i="1"/>
  <c r="N44" i="1"/>
  <c r="A44" i="1" s="1"/>
  <c r="F44" i="1" s="1"/>
  <c r="O44" i="1"/>
  <c r="N45" i="1"/>
  <c r="A45" i="1" s="1"/>
  <c r="F45" i="1" s="1"/>
  <c r="O45" i="1"/>
  <c r="N46" i="1"/>
  <c r="A46" i="1" s="1"/>
  <c r="O46" i="1"/>
  <c r="O7" i="1"/>
  <c r="N7" i="1"/>
  <c r="A7" i="1" s="1"/>
  <c r="F7" i="1" s="1"/>
  <c r="Q6" i="1"/>
  <c r="P6" i="1"/>
  <c r="Q5" i="1"/>
  <c r="P5" i="1"/>
  <c r="N6" i="1"/>
  <c r="A6" i="1" s="1"/>
  <c r="F6" i="1" s="1"/>
  <c r="N5" i="1"/>
  <c r="A5" i="1" s="1"/>
  <c r="F5" i="1" s="1"/>
  <c r="O6" i="1"/>
  <c r="O5"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7" i="1"/>
  <c r="AG35" i="1"/>
  <c r="AH35" i="1" s="1"/>
  <c r="AG36" i="1"/>
  <c r="AH36" i="1" s="1"/>
  <c r="AG37" i="1"/>
  <c r="AH37" i="1" s="1"/>
  <c r="AG38" i="1"/>
  <c r="AH38" i="1" s="1"/>
  <c r="AG39" i="1"/>
  <c r="AH39" i="1" s="1"/>
  <c r="AG40" i="1"/>
  <c r="AH40" i="1" s="1"/>
  <c r="AG41" i="1"/>
  <c r="AH41" i="1" s="1"/>
  <c r="AG42" i="1"/>
  <c r="AH42" i="1" s="1"/>
  <c r="AG33" i="1"/>
  <c r="AH33" i="1" s="1"/>
  <c r="AW5" i="1"/>
  <c r="BA10" i="1"/>
  <c r="BB10" i="1" s="1"/>
  <c r="BA11" i="1"/>
  <c r="BB11" i="1" s="1"/>
  <c r="BA12" i="1"/>
  <c r="BB12" i="1" s="1"/>
  <c r="BA13" i="1"/>
  <c r="BB13" i="1" s="1"/>
  <c r="BA14" i="1"/>
  <c r="BB14" i="1" s="1"/>
  <c r="BA15" i="1"/>
  <c r="BB15" i="1" s="1"/>
  <c r="BA16" i="1"/>
  <c r="BB16" i="1" s="1"/>
  <c r="BA17" i="1"/>
  <c r="BB17" i="1" s="1"/>
  <c r="BA18" i="1"/>
  <c r="BB18" i="1" s="1"/>
  <c r="BA19" i="1"/>
  <c r="BB19" i="1" s="1"/>
  <c r="BA20" i="1"/>
  <c r="BB20" i="1" s="1"/>
  <c r="BA21" i="1"/>
  <c r="BB21" i="1" s="1"/>
  <c r="BA22" i="1"/>
  <c r="BB22" i="1" s="1"/>
  <c r="BA23" i="1"/>
  <c r="BB23" i="1" s="1"/>
  <c r="BA24" i="1"/>
  <c r="BB24" i="1" s="1"/>
  <c r="BA25" i="1"/>
  <c r="BB25" i="1" s="1"/>
  <c r="BA26" i="1"/>
  <c r="BB26" i="1" s="1"/>
  <c r="BA27" i="1"/>
  <c r="BB27" i="1" s="1"/>
  <c r="BA28" i="1"/>
  <c r="BB28" i="1" s="1"/>
  <c r="BA29" i="1"/>
  <c r="BB29" i="1" s="1"/>
  <c r="BA30" i="1"/>
  <c r="BB30" i="1" s="1"/>
  <c r="BA31" i="1"/>
  <c r="BB31" i="1" s="1"/>
  <c r="BA32" i="1"/>
  <c r="BB32" i="1" s="1"/>
  <c r="BA33" i="1"/>
  <c r="BB33" i="1" s="1"/>
  <c r="BA34" i="1"/>
  <c r="BB34" i="1" s="1"/>
  <c r="BA35" i="1"/>
  <c r="BB35" i="1" s="1"/>
  <c r="BA36" i="1"/>
  <c r="BB36" i="1" s="1"/>
  <c r="BA37" i="1"/>
  <c r="BB37" i="1" s="1"/>
  <c r="BA38" i="1"/>
  <c r="BB38" i="1" s="1"/>
  <c r="BA39" i="1"/>
  <c r="BB39" i="1" s="1"/>
  <c r="BA40" i="1"/>
  <c r="BB40" i="1" s="1"/>
  <c r="BA41" i="1"/>
  <c r="BB41" i="1" s="1"/>
  <c r="BA42" i="1"/>
  <c r="BB42" i="1" s="1"/>
  <c r="BA43" i="1"/>
  <c r="BB43" i="1" s="1"/>
  <c r="BA44" i="1"/>
  <c r="BB44" i="1" s="1"/>
  <c r="BA6" i="1"/>
  <c r="BB6" i="1" s="1"/>
  <c r="BA7" i="1"/>
  <c r="BB7" i="1" s="1"/>
  <c r="BA8" i="1"/>
  <c r="BB8" i="1" s="1"/>
  <c r="BA9" i="1"/>
  <c r="BB9" i="1" s="1"/>
  <c r="BA5" i="1"/>
  <c r="BB5" i="1" s="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BN41" i="1"/>
  <c r="BN43"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5" i="1"/>
  <c r="FQ29" i="7" l="1"/>
  <c r="FQ25" i="7"/>
  <c r="FQ28" i="7"/>
  <c r="AF16" i="7"/>
  <c r="AV68" i="5"/>
  <c r="AC68" i="5"/>
  <c r="BC68" i="5"/>
  <c r="BJ68" i="5" s="1"/>
  <c r="S7" i="2"/>
  <c r="AV9" i="5"/>
  <c r="AC9" i="5"/>
  <c r="BC9" i="5"/>
  <c r="S53" i="2"/>
  <c r="S47" i="2"/>
  <c r="FQ17" i="7"/>
  <c r="AT80" i="7"/>
  <c r="CZ79" i="7"/>
  <c r="FQ26" i="7"/>
  <c r="FQ18" i="7"/>
  <c r="FQ30" i="7"/>
  <c r="FQ21" i="7"/>
  <c r="FQ22" i="7"/>
  <c r="CP127" i="7"/>
  <c r="CV126" i="7"/>
  <c r="CV99" i="7" s="1"/>
  <c r="FQ34" i="7"/>
  <c r="FQ32" i="7"/>
  <c r="AX2" i="5"/>
  <c r="BE2" i="5"/>
  <c r="CZ63" i="7"/>
  <c r="FK63" i="7" s="1"/>
  <c r="FQ31" i="7"/>
  <c r="FQ19" i="7"/>
  <c r="FQ33" i="7"/>
  <c r="FQ35" i="7"/>
  <c r="FQ16" i="7"/>
  <c r="FQ23" i="7"/>
  <c r="AT91" i="7"/>
  <c r="AT92" i="7"/>
  <c r="AT93" i="7"/>
  <c r="AT94" i="7"/>
  <c r="AT95" i="7"/>
  <c r="AT96" i="7"/>
  <c r="AT102" i="7"/>
  <c r="AT81" i="7"/>
  <c r="AT85" i="7"/>
  <c r="AT97" i="7"/>
  <c r="AT99" i="7"/>
  <c r="AT98" i="7"/>
  <c r="AT100" i="7"/>
  <c r="AT101" i="7"/>
  <c r="AT103" i="7"/>
  <c r="AT87" i="7"/>
  <c r="AT88" i="7"/>
  <c r="AT90" i="7"/>
  <c r="AT83" i="7"/>
  <c r="AT86" i="7"/>
  <c r="AT89" i="7"/>
  <c r="AT82" i="7"/>
  <c r="AT84" i="7"/>
  <c r="FQ20" i="7"/>
  <c r="FQ24" i="7"/>
  <c r="FQ27" i="7"/>
  <c r="CZ47" i="7"/>
  <c r="FK47" i="7" s="1"/>
  <c r="CZ75" i="7"/>
  <c r="FK75" i="7" s="1"/>
  <c r="CZ58" i="7"/>
  <c r="FK58" i="7" s="1"/>
  <c r="CZ69" i="7"/>
  <c r="FK69" i="7" s="1"/>
  <c r="CZ71" i="7"/>
  <c r="FK71" i="7" s="1"/>
  <c r="CZ70" i="7"/>
  <c r="FK70" i="7" s="1"/>
  <c r="CZ65" i="7"/>
  <c r="FK65" i="7" s="1"/>
  <c r="CZ61" i="7"/>
  <c r="FK61" i="7" s="1"/>
  <c r="CZ62" i="7"/>
  <c r="FK62" i="7" s="1"/>
  <c r="CZ53" i="7"/>
  <c r="FK53" i="7" s="1"/>
  <c r="CZ72" i="7"/>
  <c r="FK72" i="7" s="1"/>
  <c r="CZ54" i="7"/>
  <c r="FK54" i="7" s="1"/>
  <c r="CZ43" i="7"/>
  <c r="FK43" i="7" s="1"/>
  <c r="CZ45" i="7"/>
  <c r="FK45" i="7" s="1"/>
  <c r="CZ66" i="7"/>
  <c r="FK66" i="7" s="1"/>
  <c r="CZ49" i="7"/>
  <c r="FK49" i="7" s="1"/>
  <c r="CZ51" i="7"/>
  <c r="FK51" i="7" s="1"/>
  <c r="CZ59" i="7"/>
  <c r="FK59" i="7" s="1"/>
  <c r="CZ55" i="7"/>
  <c r="FK55" i="7" s="1"/>
  <c r="CZ78" i="7"/>
  <c r="FK78" i="7" s="1"/>
  <c r="EG58" i="7"/>
  <c r="CB58" i="7"/>
  <c r="EG56" i="7"/>
  <c r="CB56" i="7"/>
  <c r="EG54" i="7"/>
  <c r="CB54" i="7"/>
  <c r="EG59" i="7"/>
  <c r="CB59" i="7"/>
  <c r="EG72" i="7"/>
  <c r="CB72" i="7"/>
  <c r="EG57" i="7"/>
  <c r="CB57" i="7"/>
  <c r="EG55" i="7"/>
  <c r="CB55" i="7"/>
  <c r="I109" i="7"/>
  <c r="AI63" i="7" a="1"/>
  <c r="AI63" i="7" s="1"/>
  <c r="I116" i="7"/>
  <c r="AI70" i="7" a="1"/>
  <c r="AI70" i="7" s="1"/>
  <c r="I121" i="7"/>
  <c r="AI76" i="7" a="1"/>
  <c r="AI76" i="7" s="1"/>
  <c r="I120" i="7"/>
  <c r="AI75" i="7" a="1"/>
  <c r="AI75" i="7" s="1"/>
  <c r="I110" i="7"/>
  <c r="AI64" i="7" a="1"/>
  <c r="AI64" i="7" s="1"/>
  <c r="I106" i="7"/>
  <c r="AI60" i="7" a="1"/>
  <c r="AI60" i="7" s="1"/>
  <c r="I113" i="7"/>
  <c r="AI67" i="7" a="1"/>
  <c r="AI67" i="7" s="1"/>
  <c r="I114" i="7"/>
  <c r="AI68" i="7" a="1"/>
  <c r="AI68" i="7" s="1"/>
  <c r="I118" i="7"/>
  <c r="AI73" i="7" a="1"/>
  <c r="AI73" i="7" s="1"/>
  <c r="I111" i="7"/>
  <c r="AI65" i="7" a="1"/>
  <c r="AI65" i="7" s="1"/>
  <c r="I124" i="7"/>
  <c r="AI79" i="7" a="1"/>
  <c r="AI79" i="7" s="1"/>
  <c r="I108" i="7"/>
  <c r="AI62" i="7" a="1"/>
  <c r="AI62" i="7" s="1"/>
  <c r="I117" i="7"/>
  <c r="AI71" i="7" a="1"/>
  <c r="AI71" i="7" s="1"/>
  <c r="I122" i="7"/>
  <c r="AI77" i="7" a="1"/>
  <c r="AI77" i="7" s="1"/>
  <c r="I123" i="7"/>
  <c r="AI78" i="7" a="1"/>
  <c r="AI78" i="7" s="1"/>
  <c r="I107" i="7"/>
  <c r="AI61" i="7" a="1"/>
  <c r="AI61" i="7" s="1"/>
  <c r="I115" i="7"/>
  <c r="AI69" i="7" a="1"/>
  <c r="AI69" i="7" s="1"/>
  <c r="I119" i="7"/>
  <c r="AI74" i="7" a="1"/>
  <c r="AI74" i="7" s="1"/>
  <c r="I112" i="7"/>
  <c r="AI66" i="7" a="1"/>
  <c r="AI66" i="7" s="1"/>
  <c r="CZ74" i="7"/>
  <c r="FK74" i="7" s="1"/>
  <c r="CZ14" i="7"/>
  <c r="FK14" i="7" s="1"/>
  <c r="FQ15" i="7" s="1"/>
  <c r="AW9" i="7"/>
  <c r="CZ44" i="7"/>
  <c r="FK44" i="7" s="1"/>
  <c r="CZ67" i="7"/>
  <c r="FK67" i="7" s="1"/>
  <c r="CZ60" i="7"/>
  <c r="FK60" i="7" s="1"/>
  <c r="CZ57" i="7"/>
  <c r="FK57" i="7" s="1"/>
  <c r="CZ68" i="7"/>
  <c r="FK68" i="7" s="1"/>
  <c r="CZ42" i="7"/>
  <c r="FK42" i="7" s="1"/>
  <c r="CZ76" i="7"/>
  <c r="FK76" i="7" s="1"/>
  <c r="CZ48" i="7"/>
  <c r="FK48" i="7" s="1"/>
  <c r="CZ73" i="7"/>
  <c r="FK73" i="7" s="1"/>
  <c r="CZ64" i="7"/>
  <c r="FK64" i="7" s="1"/>
  <c r="CZ50" i="7"/>
  <c r="FK50" i="7" s="1"/>
  <c r="CZ52" i="7"/>
  <c r="FK52" i="7" s="1"/>
  <c r="CZ77" i="7"/>
  <c r="FK77" i="7" s="1"/>
  <c r="CZ46" i="7"/>
  <c r="FK46" i="7" s="1"/>
  <c r="CZ56" i="7"/>
  <c r="FK56" i="7" s="1"/>
  <c r="EU38" i="7"/>
  <c r="EV38" i="7" s="1"/>
  <c r="EI43" i="7" s="1"/>
  <c r="FK38" i="7"/>
  <c r="EU37" i="7"/>
  <c r="EV37" i="7" s="1"/>
  <c r="EI42" i="7" s="1"/>
  <c r="FK37" i="7"/>
  <c r="FK36" i="7"/>
  <c r="FQ36" i="7" s="1"/>
  <c r="FK40" i="7"/>
  <c r="FQ40" i="7" s="1"/>
  <c r="EU39" i="7"/>
  <c r="EV39" i="7" s="1"/>
  <c r="AF15" i="7"/>
  <c r="FK41" i="7"/>
  <c r="AF14" i="7"/>
  <c r="AD14" i="7"/>
  <c r="AG16" i="7"/>
  <c r="AI16" i="7"/>
  <c r="AO16" i="7" s="1"/>
  <c r="AP16" i="7" s="1"/>
  <c r="BY47" i="5"/>
  <c r="G15" i="4"/>
  <c r="L15" i="4"/>
  <c r="R14" i="4"/>
  <c r="S10" i="2"/>
  <c r="S54" i="2"/>
  <c r="S28" i="2"/>
  <c r="S38" i="2"/>
  <c r="S29" i="2"/>
  <c r="R9" i="5"/>
  <c r="S63" i="2"/>
  <c r="S49" i="2"/>
  <c r="S46" i="6"/>
  <c r="S45" i="2"/>
  <c r="S22" i="2"/>
  <c r="S52" i="2"/>
  <c r="T28" i="6"/>
  <c r="S18" i="2"/>
  <c r="S58" i="2"/>
  <c r="S6" i="2"/>
  <c r="T39" i="6"/>
  <c r="S59" i="2"/>
  <c r="S17" i="2"/>
  <c r="S46" i="2"/>
  <c r="S40" i="2"/>
  <c r="S42" i="2"/>
  <c r="S16" i="2"/>
  <c r="S34" i="2"/>
  <c r="S13" i="2"/>
  <c r="S12" i="2"/>
  <c r="AP39" i="5"/>
  <c r="AF39" i="5" s="1"/>
  <c r="X39" i="5"/>
  <c r="AB39" i="5" s="1"/>
  <c r="AP59" i="5"/>
  <c r="AF59" i="5" s="1"/>
  <c r="X59" i="5"/>
  <c r="AB59" i="5" s="1"/>
  <c r="AP11" i="5"/>
  <c r="AF11" i="5" s="1"/>
  <c r="X11" i="5"/>
  <c r="AB11" i="5" s="1"/>
  <c r="AP61" i="5"/>
  <c r="AF61" i="5" s="1"/>
  <c r="X61" i="5"/>
  <c r="AB61" i="5" s="1"/>
  <c r="AP13" i="5"/>
  <c r="AF13" i="5" s="1"/>
  <c r="X13" i="5"/>
  <c r="AB13" i="5" s="1"/>
  <c r="AP53" i="5"/>
  <c r="AF53" i="5" s="1"/>
  <c r="X53" i="5"/>
  <c r="AB53" i="5" s="1"/>
  <c r="AP5" i="5"/>
  <c r="AF5" i="5" s="1"/>
  <c r="X5" i="5"/>
  <c r="AB5" i="5" s="1"/>
  <c r="AP31" i="5"/>
  <c r="AF31" i="5" s="1"/>
  <c r="X31" i="5"/>
  <c r="AB31" i="5" s="1"/>
  <c r="AP27" i="5"/>
  <c r="AF27" i="5" s="1"/>
  <c r="X27" i="5"/>
  <c r="AB27" i="5" s="1"/>
  <c r="AP48" i="5"/>
  <c r="AF48" i="5" s="1"/>
  <c r="X48" i="5"/>
  <c r="AB48" i="5" s="1"/>
  <c r="AP34" i="5"/>
  <c r="AF34" i="5" s="1"/>
  <c r="X34" i="5"/>
  <c r="AB34" i="5" s="1"/>
  <c r="AP3" i="5"/>
  <c r="AF3" i="5" s="1"/>
  <c r="X3" i="5"/>
  <c r="AB3" i="5" s="1"/>
  <c r="AP65" i="5"/>
  <c r="AF65" i="5" s="1"/>
  <c r="X65" i="5"/>
  <c r="AB65" i="5" s="1"/>
  <c r="AP57" i="5"/>
  <c r="AF57" i="5" s="1"/>
  <c r="X57" i="5"/>
  <c r="AB57" i="5" s="1"/>
  <c r="AP20" i="5"/>
  <c r="AF20" i="5" s="1"/>
  <c r="X20" i="5"/>
  <c r="AB20" i="5" s="1"/>
  <c r="AP36" i="5"/>
  <c r="AF36" i="5" s="1"/>
  <c r="X36" i="5"/>
  <c r="AB36" i="5" s="1"/>
  <c r="AP23" i="5"/>
  <c r="AF23" i="5" s="1"/>
  <c r="X23" i="5"/>
  <c r="AB23" i="5" s="1"/>
  <c r="AP67" i="5"/>
  <c r="AF67" i="5" s="1"/>
  <c r="X67" i="5"/>
  <c r="AB67" i="5" s="1"/>
  <c r="AP7" i="5"/>
  <c r="AF7" i="5" s="1"/>
  <c r="X7" i="5"/>
  <c r="AB7" i="5" s="1"/>
  <c r="AP10" i="5"/>
  <c r="AF10" i="5" s="1"/>
  <c r="X10" i="5"/>
  <c r="AB10" i="5" s="1"/>
  <c r="AP60" i="5"/>
  <c r="AF60" i="5" s="1"/>
  <c r="X60" i="5"/>
  <c r="AB60" i="5" s="1"/>
  <c r="AP42" i="5"/>
  <c r="AF42" i="5" s="1"/>
  <c r="X42" i="5"/>
  <c r="AB42" i="5" s="1"/>
  <c r="AP32" i="5"/>
  <c r="AF32" i="5" s="1"/>
  <c r="X32" i="5"/>
  <c r="AB32" i="5" s="1"/>
  <c r="AP17" i="5"/>
  <c r="AF17" i="5" s="1"/>
  <c r="X17" i="5"/>
  <c r="AB17" i="5" s="1"/>
  <c r="AP55" i="5"/>
  <c r="AF55" i="5" s="1"/>
  <c r="X55" i="5"/>
  <c r="AB55" i="5" s="1"/>
  <c r="AP25" i="5"/>
  <c r="AF25" i="5" s="1"/>
  <c r="X25" i="5"/>
  <c r="AB25" i="5" s="1"/>
  <c r="AP66" i="5"/>
  <c r="AF66" i="5" s="1"/>
  <c r="X66" i="5"/>
  <c r="AB66" i="5" s="1"/>
  <c r="AP8" i="5"/>
  <c r="AF8" i="5" s="1"/>
  <c r="X8" i="5"/>
  <c r="AB8" i="5" s="1"/>
  <c r="AP21" i="5"/>
  <c r="AF21" i="5" s="1"/>
  <c r="X21" i="5"/>
  <c r="AB21" i="5" s="1"/>
  <c r="AP46" i="5"/>
  <c r="AF46" i="5" s="1"/>
  <c r="X46" i="5"/>
  <c r="AB46" i="5" s="1"/>
  <c r="AP18" i="5"/>
  <c r="AF18" i="5" s="1"/>
  <c r="X18" i="5"/>
  <c r="AB18" i="5" s="1"/>
  <c r="AP62" i="5"/>
  <c r="AF62" i="5" s="1"/>
  <c r="X62" i="5"/>
  <c r="AB62" i="5" s="1"/>
  <c r="AP41" i="5"/>
  <c r="AF41" i="5" s="1"/>
  <c r="X41" i="5"/>
  <c r="AB41" i="5" s="1"/>
  <c r="AP44" i="5"/>
  <c r="AF44" i="5" s="1"/>
  <c r="X44" i="5"/>
  <c r="AB44" i="5" s="1"/>
  <c r="AP24" i="5"/>
  <c r="AF24" i="5" s="1"/>
  <c r="X24" i="5"/>
  <c r="AB24" i="5" s="1"/>
  <c r="AT2" i="5"/>
  <c r="AJ2" i="5" s="1"/>
  <c r="AA2" i="5"/>
  <c r="AE2" i="5" s="1"/>
  <c r="AP68" i="5"/>
  <c r="AF68" i="5" s="1"/>
  <c r="X68" i="5"/>
  <c r="AB68" i="5" s="1"/>
  <c r="AP30" i="5"/>
  <c r="AF30" i="5" s="1"/>
  <c r="X30" i="5"/>
  <c r="AB30" i="5" s="1"/>
  <c r="AP16" i="5"/>
  <c r="AF16" i="5" s="1"/>
  <c r="X16" i="5"/>
  <c r="AB16" i="5" s="1"/>
  <c r="AP37" i="5"/>
  <c r="AF37" i="5" s="1"/>
  <c r="X37" i="5"/>
  <c r="AB37" i="5" s="1"/>
  <c r="AP28" i="5"/>
  <c r="AF28" i="5" s="1"/>
  <c r="X28" i="5"/>
  <c r="AB28" i="5" s="1"/>
  <c r="AP9" i="5"/>
  <c r="AF9" i="5" s="1"/>
  <c r="X9" i="5"/>
  <c r="AB9" i="5" s="1"/>
  <c r="AP51" i="5"/>
  <c r="AF51" i="5" s="1"/>
  <c r="X51" i="5"/>
  <c r="AB51" i="5" s="1"/>
  <c r="AP6" i="5"/>
  <c r="AF6" i="5" s="1"/>
  <c r="X6" i="5"/>
  <c r="AB6" i="5" s="1"/>
  <c r="AR54" i="5"/>
  <c r="AH54" i="5" s="1"/>
  <c r="Z54" i="5"/>
  <c r="AD54" i="5" s="1"/>
  <c r="AR6" i="5"/>
  <c r="AH6" i="5" s="1"/>
  <c r="Z6" i="5"/>
  <c r="AD6" i="5" s="1"/>
  <c r="AP45" i="5"/>
  <c r="AF45" i="5" s="1"/>
  <c r="X45" i="5"/>
  <c r="AB45" i="5" s="1"/>
  <c r="AR38" i="5"/>
  <c r="AH38" i="5" s="1"/>
  <c r="Z38" i="5"/>
  <c r="AD38" i="5" s="1"/>
  <c r="AP63" i="5"/>
  <c r="AF63" i="5" s="1"/>
  <c r="X63" i="5"/>
  <c r="AB63" i="5" s="1"/>
  <c r="AP52" i="5"/>
  <c r="AF52" i="5" s="1"/>
  <c r="X52" i="5"/>
  <c r="AB52" i="5" s="1"/>
  <c r="AP56" i="5"/>
  <c r="AF56" i="5" s="1"/>
  <c r="X56" i="5"/>
  <c r="AB56" i="5" s="1"/>
  <c r="AP33" i="5"/>
  <c r="AF33" i="5" s="1"/>
  <c r="X33" i="5"/>
  <c r="AB33" i="5" s="1"/>
  <c r="AP49" i="5"/>
  <c r="AF49" i="5" s="1"/>
  <c r="X49" i="5"/>
  <c r="AB49" i="5" s="1"/>
  <c r="AP19" i="5"/>
  <c r="AF19" i="5" s="1"/>
  <c r="X19" i="5"/>
  <c r="AB19" i="5" s="1"/>
  <c r="AP12" i="5"/>
  <c r="AF12" i="5" s="1"/>
  <c r="X12" i="5"/>
  <c r="AB12" i="5" s="1"/>
  <c r="AP54" i="5"/>
  <c r="AF54" i="5" s="1"/>
  <c r="X54" i="5"/>
  <c r="AB54" i="5" s="1"/>
  <c r="AP58" i="5"/>
  <c r="AF58" i="5" s="1"/>
  <c r="X58" i="5"/>
  <c r="AB58" i="5" s="1"/>
  <c r="AP35" i="5"/>
  <c r="AF35" i="5" s="1"/>
  <c r="X35" i="5"/>
  <c r="AB35" i="5" s="1"/>
  <c r="AR2" i="5"/>
  <c r="AH2" i="5" s="1"/>
  <c r="Z2" i="5"/>
  <c r="AD2" i="5" s="1"/>
  <c r="AP38" i="5"/>
  <c r="AF38" i="5" s="1"/>
  <c r="X38" i="5"/>
  <c r="AB38" i="5" s="1"/>
  <c r="AR22" i="5"/>
  <c r="AH22" i="5" s="1"/>
  <c r="Z22" i="5"/>
  <c r="AD22" i="5" s="1"/>
  <c r="AP47" i="5"/>
  <c r="AF47" i="5" s="1"/>
  <c r="X47" i="5"/>
  <c r="AB47" i="5" s="1"/>
  <c r="AP50" i="5"/>
  <c r="AF50" i="5" s="1"/>
  <c r="X50" i="5"/>
  <c r="AB50" i="5" s="1"/>
  <c r="AP22" i="5"/>
  <c r="AF22" i="5" s="1"/>
  <c r="X22" i="5"/>
  <c r="AB22" i="5" s="1"/>
  <c r="AP40" i="5"/>
  <c r="AF40" i="5" s="1"/>
  <c r="X40" i="5"/>
  <c r="AB40" i="5" s="1"/>
  <c r="AP15" i="5"/>
  <c r="AF15" i="5" s="1"/>
  <c r="X15" i="5"/>
  <c r="AB15" i="5" s="1"/>
  <c r="AP14" i="5"/>
  <c r="AF14" i="5" s="1"/>
  <c r="X14" i="5"/>
  <c r="AB14" i="5" s="1"/>
  <c r="AP29" i="5"/>
  <c r="AF29" i="5" s="1"/>
  <c r="X29" i="5"/>
  <c r="AB29" i="5" s="1"/>
  <c r="AP64" i="5"/>
  <c r="AF64" i="5" s="1"/>
  <c r="X64" i="5"/>
  <c r="AB64" i="5" s="1"/>
  <c r="AP43" i="5"/>
  <c r="AF43" i="5" s="1"/>
  <c r="X43" i="5"/>
  <c r="AB43" i="5" s="1"/>
  <c r="AP4" i="5"/>
  <c r="AF4" i="5" s="1"/>
  <c r="X4" i="5"/>
  <c r="AB4" i="5" s="1"/>
  <c r="AP26" i="5"/>
  <c r="AF26" i="5" s="1"/>
  <c r="X26" i="5"/>
  <c r="AB26" i="5" s="1"/>
  <c r="R38" i="5"/>
  <c r="CX38" i="5" s="1"/>
  <c r="CZ38" i="5" s="1"/>
  <c r="N38" i="5"/>
  <c r="AS49" i="7" s="1"/>
  <c r="CY49" i="7" s="1"/>
  <c r="V18" i="5"/>
  <c r="O18" i="5"/>
  <c r="S18" i="5"/>
  <c r="R18" i="5"/>
  <c r="N18" i="5"/>
  <c r="AS29" i="7" s="1"/>
  <c r="CY29" i="7" s="1"/>
  <c r="M41" i="5"/>
  <c r="W41" i="5"/>
  <c r="W49" i="5"/>
  <c r="M49" i="5"/>
  <c r="N61" i="5"/>
  <c r="AS72" i="7" s="1"/>
  <c r="CY72" i="7" s="1"/>
  <c r="R61" i="5"/>
  <c r="R10" i="5"/>
  <c r="N10" i="5"/>
  <c r="AS21" i="7" s="1"/>
  <c r="CY21" i="7" s="1"/>
  <c r="N13" i="5"/>
  <c r="AS24" i="7" s="1"/>
  <c r="CY24" i="7" s="1"/>
  <c r="R13" i="5"/>
  <c r="O12" i="5"/>
  <c r="V12" i="5"/>
  <c r="S12" i="5"/>
  <c r="N14" i="5"/>
  <c r="AS25" i="7" s="1"/>
  <c r="CY25" i="7" s="1"/>
  <c r="R14" i="5"/>
  <c r="O60" i="5"/>
  <c r="S60" i="5"/>
  <c r="V60" i="5"/>
  <c r="R65" i="5"/>
  <c r="N65" i="5"/>
  <c r="AS76" i="7" s="1"/>
  <c r="CY76" i="7" s="1"/>
  <c r="N7" i="5"/>
  <c r="AS18" i="7" s="1"/>
  <c r="CY18" i="7" s="1"/>
  <c r="R7" i="5"/>
  <c r="BX22" i="5"/>
  <c r="W22" i="5"/>
  <c r="M22" i="5"/>
  <c r="N24" i="5"/>
  <c r="AS35" i="7" s="1"/>
  <c r="CY35" i="7" s="1"/>
  <c r="R24" i="5"/>
  <c r="V67" i="5"/>
  <c r="O67" i="5"/>
  <c r="S67" i="5"/>
  <c r="M50" i="5"/>
  <c r="W50" i="5"/>
  <c r="BX3" i="5"/>
  <c r="M3" i="5"/>
  <c r="W3" i="5"/>
  <c r="O7" i="5"/>
  <c r="V7" i="5"/>
  <c r="S7" i="5"/>
  <c r="R16" i="5"/>
  <c r="N16" i="5"/>
  <c r="AS27" i="7" s="1"/>
  <c r="CY27" i="7" s="1"/>
  <c r="N5" i="5"/>
  <c r="AS16" i="7" s="1"/>
  <c r="CY16" i="7" s="1"/>
  <c r="R5" i="5"/>
  <c r="S24" i="5"/>
  <c r="O24" i="5"/>
  <c r="AR24" i="5"/>
  <c r="AH24" i="5" s="1"/>
  <c r="R47" i="5"/>
  <c r="N47" i="5"/>
  <c r="AS58" i="7" s="1"/>
  <c r="CY58" i="7" s="1"/>
  <c r="R54" i="5"/>
  <c r="N54" i="5"/>
  <c r="AS65" i="7" s="1"/>
  <c r="CY65" i="7" s="1"/>
  <c r="N53" i="5"/>
  <c r="AS64" i="7" s="1"/>
  <c r="CY64" i="7" s="1"/>
  <c r="R53" i="5"/>
  <c r="BX10" i="5"/>
  <c r="M10" i="5"/>
  <c r="W10" i="5"/>
  <c r="R60" i="5"/>
  <c r="N60" i="5"/>
  <c r="AS71" i="7" s="1"/>
  <c r="CY71" i="7" s="1"/>
  <c r="O35" i="5"/>
  <c r="S35" i="5"/>
  <c r="V35" i="5"/>
  <c r="BX15" i="5"/>
  <c r="M15" i="5"/>
  <c r="W15" i="5"/>
  <c r="V4" i="5"/>
  <c r="O4" i="5"/>
  <c r="S4" i="5"/>
  <c r="S46" i="5"/>
  <c r="O46" i="5"/>
  <c r="V46" i="5"/>
  <c r="BX20" i="5"/>
  <c r="W20" i="5"/>
  <c r="M20" i="5"/>
  <c r="BX5" i="5"/>
  <c r="M5" i="5"/>
  <c r="W5" i="5"/>
  <c r="M56" i="5"/>
  <c r="W56" i="5"/>
  <c r="S16" i="5"/>
  <c r="O16" i="5"/>
  <c r="V16" i="5"/>
  <c r="O55" i="5"/>
  <c r="V55" i="5"/>
  <c r="S55" i="5"/>
  <c r="O61" i="5"/>
  <c r="S61" i="5"/>
  <c r="V61" i="5"/>
  <c r="W28" i="5"/>
  <c r="M28" i="5"/>
  <c r="W54" i="5"/>
  <c r="M54" i="5"/>
  <c r="W38" i="5"/>
  <c r="M38" i="5"/>
  <c r="N23" i="5"/>
  <c r="AS34" i="7" s="1"/>
  <c r="CY34" i="7" s="1"/>
  <c r="R23" i="5"/>
  <c r="M47" i="5"/>
  <c r="W47" i="5"/>
  <c r="V21" i="5"/>
  <c r="O21" i="5"/>
  <c r="S21" i="5"/>
  <c r="N68" i="5"/>
  <c r="AS79" i="7" s="1"/>
  <c r="R68" i="5"/>
  <c r="R31" i="5"/>
  <c r="N31" i="5"/>
  <c r="AS42" i="7" s="1"/>
  <c r="CY42" i="7" s="1"/>
  <c r="V19" i="5"/>
  <c r="O19" i="5"/>
  <c r="S19" i="5"/>
  <c r="R42" i="5"/>
  <c r="N42" i="5"/>
  <c r="AS53" i="7" s="1"/>
  <c r="CY53" i="7" s="1"/>
  <c r="W23" i="5"/>
  <c r="M23" i="5"/>
  <c r="M24" i="5"/>
  <c r="W24" i="5"/>
  <c r="V66" i="5"/>
  <c r="O66" i="5"/>
  <c r="S66" i="5"/>
  <c r="BX21" i="5"/>
  <c r="W21" i="5"/>
  <c r="M21" i="5"/>
  <c r="M64" i="5"/>
  <c r="W64" i="5"/>
  <c r="BX12" i="5"/>
  <c r="W12" i="5"/>
  <c r="M12" i="5"/>
  <c r="M26" i="5"/>
  <c r="W26" i="5"/>
  <c r="N41" i="5"/>
  <c r="AS52" i="7" s="1"/>
  <c r="CY52" i="7" s="1"/>
  <c r="R41" i="5"/>
  <c r="W35" i="5"/>
  <c r="M35" i="5"/>
  <c r="V26" i="5"/>
  <c r="S26" i="5"/>
  <c r="O26" i="5"/>
  <c r="V36" i="5"/>
  <c r="O36" i="5"/>
  <c r="S36" i="5"/>
  <c r="M25" i="5"/>
  <c r="W25" i="5"/>
  <c r="W39" i="5"/>
  <c r="M39" i="5"/>
  <c r="W37" i="5"/>
  <c r="M37" i="5"/>
  <c r="W43" i="5"/>
  <c r="M43" i="5"/>
  <c r="M48" i="5"/>
  <c r="W48" i="5"/>
  <c r="S59" i="5"/>
  <c r="V59" i="5"/>
  <c r="O59" i="5"/>
  <c r="W53" i="5"/>
  <c r="M53" i="5"/>
  <c r="V57" i="5"/>
  <c r="S57" i="5"/>
  <c r="O57" i="5"/>
  <c r="N37" i="5"/>
  <c r="AS48" i="7" s="1"/>
  <c r="CY48" i="7" s="1"/>
  <c r="R37" i="5"/>
  <c r="R30" i="5"/>
  <c r="N30" i="5"/>
  <c r="AS41" i="7" s="1"/>
  <c r="CY41" i="7" s="1"/>
  <c r="O13" i="5"/>
  <c r="S13" i="5"/>
  <c r="V13" i="5"/>
  <c r="S31" i="5"/>
  <c r="O31" i="5"/>
  <c r="V31" i="5"/>
  <c r="BX18" i="5"/>
  <c r="M18" i="5"/>
  <c r="W18" i="5"/>
  <c r="R64" i="5"/>
  <c r="N64" i="5"/>
  <c r="AS75" i="7" s="1"/>
  <c r="CY75" i="7" s="1"/>
  <c r="W55" i="5"/>
  <c r="M55" i="5"/>
  <c r="M45" i="5"/>
  <c r="W45" i="5"/>
  <c r="O45" i="5"/>
  <c r="S45" i="5"/>
  <c r="V45" i="5"/>
  <c r="O44" i="5"/>
  <c r="V44" i="5"/>
  <c r="S44" i="5"/>
  <c r="M58" i="5"/>
  <c r="W58" i="5"/>
  <c r="N57" i="5"/>
  <c r="AS68" i="7" s="1"/>
  <c r="CY68" i="7" s="1"/>
  <c r="R57" i="5"/>
  <c r="R59" i="5"/>
  <c r="N59" i="5"/>
  <c r="AS70" i="7" s="1"/>
  <c r="N66" i="5"/>
  <c r="AS77" i="7" s="1"/>
  <c r="CY77" i="7" s="1"/>
  <c r="R66" i="5"/>
  <c r="R6" i="5"/>
  <c r="CX6" i="5" s="1"/>
  <c r="CZ6" i="5" s="1"/>
  <c r="N6" i="5"/>
  <c r="AS17" i="7" s="1"/>
  <c r="CY17" i="7" s="1"/>
  <c r="V49" i="5"/>
  <c r="S49" i="5"/>
  <c r="O49" i="5"/>
  <c r="V58" i="5"/>
  <c r="S58" i="5"/>
  <c r="O58" i="5"/>
  <c r="V68" i="5"/>
  <c r="O68" i="5"/>
  <c r="S68" i="5"/>
  <c r="R48" i="5"/>
  <c r="N48" i="5"/>
  <c r="AS59" i="7" s="1"/>
  <c r="CY59" i="7" s="1"/>
  <c r="W52" i="5"/>
  <c r="M52" i="5"/>
  <c r="R43" i="5"/>
  <c r="N43" i="5"/>
  <c r="AS54" i="7" s="1"/>
  <c r="CY54" i="7" s="1"/>
  <c r="N45" i="5"/>
  <c r="AS56" i="7" s="1"/>
  <c r="CY56" i="7" s="1"/>
  <c r="R45" i="5"/>
  <c r="S48" i="5"/>
  <c r="O48" i="5"/>
  <c r="V48" i="5"/>
  <c r="BX4" i="5"/>
  <c r="W4" i="5"/>
  <c r="M4" i="5"/>
  <c r="S64" i="5"/>
  <c r="O64" i="5"/>
  <c r="V64" i="5"/>
  <c r="M42" i="5"/>
  <c r="W42" i="5"/>
  <c r="S47" i="5"/>
  <c r="O47" i="5"/>
  <c r="V47" i="5"/>
  <c r="N40" i="5"/>
  <c r="AS51" i="7" s="1"/>
  <c r="CY51" i="7" s="1"/>
  <c r="R40" i="5"/>
  <c r="N55" i="5"/>
  <c r="AS66" i="7" s="1"/>
  <c r="CY66" i="7" s="1"/>
  <c r="R55" i="5"/>
  <c r="N21" i="5"/>
  <c r="AS32" i="7" s="1"/>
  <c r="CY32" i="7" s="1"/>
  <c r="R21" i="5"/>
  <c r="N34" i="5"/>
  <c r="AS45" i="7" s="1"/>
  <c r="CY45" i="7" s="1"/>
  <c r="R34" i="5"/>
  <c r="V5" i="5"/>
  <c r="O5" i="5"/>
  <c r="S5" i="5"/>
  <c r="V50" i="5"/>
  <c r="O50" i="5"/>
  <c r="S50" i="5"/>
  <c r="N39" i="5"/>
  <c r="AS50" i="7" s="1"/>
  <c r="CY50" i="7" s="1"/>
  <c r="R39" i="5"/>
  <c r="W65" i="5"/>
  <c r="M65" i="5"/>
  <c r="R12" i="5"/>
  <c r="CX12" i="5" s="1"/>
  <c r="CZ12" i="5" s="1"/>
  <c r="N12" i="5"/>
  <c r="AS23" i="7" s="1"/>
  <c r="CY23" i="7" s="1"/>
  <c r="W33" i="5"/>
  <c r="M33" i="5"/>
  <c r="M32" i="5"/>
  <c r="W32" i="5"/>
  <c r="M66" i="5"/>
  <c r="W66" i="5"/>
  <c r="V25" i="5"/>
  <c r="S25" i="5"/>
  <c r="O25" i="5"/>
  <c r="R22" i="5"/>
  <c r="CX22" i="5" s="1"/>
  <c r="CZ22" i="5" s="1"/>
  <c r="N22" i="5"/>
  <c r="AS33" i="7" s="1"/>
  <c r="CY33" i="7" s="1"/>
  <c r="R11" i="5"/>
  <c r="N11" i="5"/>
  <c r="AS22" i="7" s="1"/>
  <c r="CY22" i="7" s="1"/>
  <c r="V52" i="5"/>
  <c r="O52" i="5"/>
  <c r="S52" i="5"/>
  <c r="M31" i="5"/>
  <c r="W31" i="5"/>
  <c r="V41" i="5"/>
  <c r="S41" i="5"/>
  <c r="O41" i="5"/>
  <c r="BX11" i="5"/>
  <c r="W11" i="5"/>
  <c r="M11" i="5"/>
  <c r="BX13" i="5"/>
  <c r="M13" i="5"/>
  <c r="W13" i="5"/>
  <c r="M30" i="5"/>
  <c r="W30" i="5"/>
  <c r="N46" i="5"/>
  <c r="AS57" i="7" s="1"/>
  <c r="CY57" i="7" s="1"/>
  <c r="R46" i="5"/>
  <c r="V37" i="5"/>
  <c r="O37" i="5"/>
  <c r="S37" i="5"/>
  <c r="V17" i="5"/>
  <c r="S17" i="5"/>
  <c r="O17" i="5"/>
  <c r="V10" i="5"/>
  <c r="S10" i="5"/>
  <c r="O10" i="5"/>
  <c r="W27" i="5"/>
  <c r="M27" i="5"/>
  <c r="R26" i="5"/>
  <c r="N26" i="5"/>
  <c r="AS37" i="7" s="1"/>
  <c r="CY37" i="7" s="1"/>
  <c r="R27" i="5"/>
  <c r="N27" i="5"/>
  <c r="AS38" i="7" s="1"/>
  <c r="CY38" i="7" s="1"/>
  <c r="N8" i="5"/>
  <c r="AS19" i="7" s="1"/>
  <c r="CY19" i="7" s="1"/>
  <c r="R8" i="5"/>
  <c r="N36" i="5"/>
  <c r="AS47" i="7" s="1"/>
  <c r="CY47" i="7" s="1"/>
  <c r="R36" i="5"/>
  <c r="V65" i="5"/>
  <c r="S65" i="5"/>
  <c r="O65" i="5"/>
  <c r="R62" i="5"/>
  <c r="N62" i="5"/>
  <c r="AS73" i="7" s="1"/>
  <c r="CY73" i="7" s="1"/>
  <c r="S30" i="5"/>
  <c r="O30" i="5"/>
  <c r="V30" i="5"/>
  <c r="O28" i="5"/>
  <c r="V28" i="5"/>
  <c r="S28" i="5"/>
  <c r="R17" i="5"/>
  <c r="N17" i="5"/>
  <c r="AS28" i="7" s="1"/>
  <c r="CY28" i="7" s="1"/>
  <c r="S63" i="5"/>
  <c r="O63" i="5"/>
  <c r="V63" i="5"/>
  <c r="W51" i="5"/>
  <c r="M51" i="5"/>
  <c r="M40" i="5"/>
  <c r="W40" i="5"/>
  <c r="S8" i="5"/>
  <c r="V8" i="5"/>
  <c r="O8" i="5"/>
  <c r="M34" i="5"/>
  <c r="W34" i="5"/>
  <c r="O51" i="5"/>
  <c r="V51" i="5"/>
  <c r="S51" i="5"/>
  <c r="R28" i="5"/>
  <c r="N28" i="5"/>
  <c r="AS39" i="7" s="1"/>
  <c r="CY39" i="7" s="1"/>
  <c r="N67" i="5"/>
  <c r="AS78" i="7" s="1"/>
  <c r="CY78" i="7" s="1"/>
  <c r="R67" i="5"/>
  <c r="R15" i="5"/>
  <c r="N15" i="5"/>
  <c r="AS26" i="7" s="1"/>
  <c r="CY26" i="7" s="1"/>
  <c r="N20" i="5"/>
  <c r="AS31" i="7" s="1"/>
  <c r="CY31" i="7" s="1"/>
  <c r="R20" i="5"/>
  <c r="R32" i="5"/>
  <c r="N32" i="5"/>
  <c r="AS43" i="7" s="1"/>
  <c r="CY43" i="7" s="1"/>
  <c r="R58" i="5"/>
  <c r="N58" i="5"/>
  <c r="AS69" i="7" s="1"/>
  <c r="R35" i="5"/>
  <c r="N35" i="5"/>
  <c r="AS46" i="7" s="1"/>
  <c r="CY46" i="7" s="1"/>
  <c r="V20" i="5"/>
  <c r="O20" i="5"/>
  <c r="S20" i="5"/>
  <c r="BX9" i="5"/>
  <c r="M9" i="5"/>
  <c r="W9" i="5"/>
  <c r="N3" i="5"/>
  <c r="AS14" i="7" s="1"/>
  <c r="CY14" i="7" s="1"/>
  <c r="R3" i="5"/>
  <c r="M62" i="5"/>
  <c r="W62" i="5"/>
  <c r="BX17" i="5"/>
  <c r="W17" i="5"/>
  <c r="M17" i="5"/>
  <c r="N29" i="5"/>
  <c r="AS40" i="7" s="1"/>
  <c r="CY40" i="7" s="1"/>
  <c r="R29" i="5"/>
  <c r="BX16" i="5"/>
  <c r="M16" i="5"/>
  <c r="W16" i="5"/>
  <c r="N25" i="5"/>
  <c r="AS36" i="7" s="1"/>
  <c r="CY36" i="7" s="1"/>
  <c r="R25" i="5"/>
  <c r="N4" i="5"/>
  <c r="AS15" i="7" s="1"/>
  <c r="CY15" i="7" s="1"/>
  <c r="R4" i="5"/>
  <c r="S56" i="5"/>
  <c r="O56" i="5"/>
  <c r="V56" i="5"/>
  <c r="V53" i="5"/>
  <c r="O53" i="5"/>
  <c r="S53" i="5"/>
  <c r="R49" i="5"/>
  <c r="N49" i="5"/>
  <c r="AS60" i="7" s="1"/>
  <c r="CY60" i="7" s="1"/>
  <c r="BX6" i="5"/>
  <c r="W6" i="5"/>
  <c r="M6" i="5"/>
  <c r="V3" i="5"/>
  <c r="O3" i="5"/>
  <c r="S3" i="5"/>
  <c r="S43" i="5"/>
  <c r="O43" i="5"/>
  <c r="V43" i="5"/>
  <c r="V34" i="5"/>
  <c r="O34" i="5"/>
  <c r="S34" i="5"/>
  <c r="W36" i="5"/>
  <c r="M36" i="5"/>
  <c r="W60" i="5"/>
  <c r="M60" i="5"/>
  <c r="S27" i="5"/>
  <c r="V27" i="5"/>
  <c r="O27" i="5"/>
  <c r="M63" i="5"/>
  <c r="W63" i="5"/>
  <c r="M57" i="5"/>
  <c r="W57" i="5"/>
  <c r="M61" i="5"/>
  <c r="W61" i="5"/>
  <c r="R44" i="5"/>
  <c r="N44" i="5"/>
  <c r="AS55" i="7" s="1"/>
  <c r="CY55" i="7" s="1"/>
  <c r="N56" i="5"/>
  <c r="AS67" i="7" s="1"/>
  <c r="CY67" i="7" s="1"/>
  <c r="R56" i="5"/>
  <c r="R33" i="5"/>
  <c r="N33" i="5"/>
  <c r="AS44" i="7" s="1"/>
  <c r="CY44" i="7" s="1"/>
  <c r="V9" i="5"/>
  <c r="S9" i="5"/>
  <c r="O9" i="5"/>
  <c r="W67" i="5"/>
  <c r="M67" i="5"/>
  <c r="R63" i="5"/>
  <c r="N63" i="5"/>
  <c r="AS74" i="7" s="1"/>
  <c r="CY74" i="7" s="1"/>
  <c r="S40" i="5"/>
  <c r="O40" i="5"/>
  <c r="V40" i="5"/>
  <c r="S15" i="5"/>
  <c r="O15" i="5"/>
  <c r="V15" i="5"/>
  <c r="BX19" i="5"/>
  <c r="W19" i="5"/>
  <c r="M19" i="5"/>
  <c r="V42" i="5"/>
  <c r="S42" i="5"/>
  <c r="O42" i="5"/>
  <c r="O39" i="5"/>
  <c r="V39" i="5"/>
  <c r="S39" i="5"/>
  <c r="O29" i="5"/>
  <c r="S29" i="5"/>
  <c r="V29" i="5"/>
  <c r="BX14" i="5"/>
  <c r="M14" i="5"/>
  <c r="W14" i="5"/>
  <c r="S32" i="5"/>
  <c r="O32" i="5"/>
  <c r="V32" i="5"/>
  <c r="BX7" i="5"/>
  <c r="W7" i="5"/>
  <c r="M7" i="5"/>
  <c r="S11" i="5"/>
  <c r="V11" i="5"/>
  <c r="O11" i="5"/>
  <c r="V33" i="5"/>
  <c r="S33" i="5"/>
  <c r="O33" i="5"/>
  <c r="BX8" i="5"/>
  <c r="M8" i="5"/>
  <c r="W8" i="5"/>
  <c r="W44" i="5"/>
  <c r="M44" i="5"/>
  <c r="N50" i="5"/>
  <c r="AS61" i="7" s="1"/>
  <c r="CY61" i="7" s="1"/>
  <c r="R50" i="5"/>
  <c r="N52" i="5"/>
  <c r="AS63" i="7" s="1"/>
  <c r="CY63" i="7" s="1"/>
  <c r="R52" i="5"/>
  <c r="N51" i="5"/>
  <c r="AS62" i="7" s="1"/>
  <c r="CY62" i="7" s="1"/>
  <c r="R51" i="5"/>
  <c r="R19" i="5"/>
  <c r="N19" i="5"/>
  <c r="AS30" i="7" s="1"/>
  <c r="CY30" i="7" s="1"/>
  <c r="O23" i="5"/>
  <c r="V23" i="5"/>
  <c r="S23" i="5"/>
  <c r="W59" i="5"/>
  <c r="M59" i="5"/>
  <c r="W68" i="5"/>
  <c r="M68" i="5"/>
  <c r="S62" i="5"/>
  <c r="O62" i="5"/>
  <c r="V62" i="5"/>
  <c r="M29" i="5"/>
  <c r="W29" i="5"/>
  <c r="M46" i="5"/>
  <c r="W46" i="5"/>
  <c r="S14" i="5"/>
  <c r="O14" i="5"/>
  <c r="V14" i="5"/>
  <c r="S62" i="2"/>
  <c r="S51" i="2"/>
  <c r="S37" i="2"/>
  <c r="S65" i="2"/>
  <c r="S20" i="2"/>
  <c r="S15" i="2"/>
  <c r="S61" i="2"/>
  <c r="T31" i="6"/>
  <c r="S33" i="2"/>
  <c r="S51" i="6"/>
  <c r="S24" i="2"/>
  <c r="S26" i="2"/>
  <c r="S60" i="2"/>
  <c r="S50" i="2"/>
  <c r="S35" i="2"/>
  <c r="S66" i="2"/>
  <c r="S44" i="2"/>
  <c r="T52" i="6"/>
  <c r="T15" i="6"/>
  <c r="T30" i="6"/>
  <c r="T63" i="6"/>
  <c r="T14" i="6"/>
  <c r="S62" i="6"/>
  <c r="T51" i="6"/>
  <c r="S14" i="6"/>
  <c r="T62" i="6"/>
  <c r="S5" i="2"/>
  <c r="S3" i="2"/>
  <c r="S25" i="2"/>
  <c r="S14" i="2"/>
  <c r="S2" i="2"/>
  <c r="S15" i="6"/>
  <c r="S8" i="2"/>
  <c r="S31" i="2"/>
  <c r="T47" i="6"/>
  <c r="S11" i="2"/>
  <c r="S30" i="2"/>
  <c r="S57" i="2"/>
  <c r="T4" i="6"/>
  <c r="S64" i="2"/>
  <c r="S4" i="2"/>
  <c r="S41" i="2"/>
  <c r="S43" i="2"/>
  <c r="S30" i="6"/>
  <c r="S21" i="2"/>
  <c r="S56" i="2"/>
  <c r="S32" i="2"/>
  <c r="T23" i="6"/>
  <c r="S39" i="6"/>
  <c r="S63" i="6"/>
  <c r="S47" i="6"/>
  <c r="S67" i="2"/>
  <c r="T17" i="6"/>
  <c r="S17" i="6"/>
  <c r="T36" i="6"/>
  <c r="S36" i="6"/>
  <c r="S2" i="6"/>
  <c r="T2" i="6"/>
  <c r="T46" i="6"/>
  <c r="T8" i="6"/>
  <c r="S8" i="6"/>
  <c r="T32" i="6"/>
  <c r="S32" i="6"/>
  <c r="T67" i="6"/>
  <c r="S67" i="6"/>
  <c r="S31" i="6"/>
  <c r="T16" i="6"/>
  <c r="S16" i="6"/>
  <c r="S43" i="6"/>
  <c r="T43" i="6"/>
  <c r="T49" i="6"/>
  <c r="S49" i="6"/>
  <c r="T45" i="6"/>
  <c r="S45" i="6"/>
  <c r="S56" i="6"/>
  <c r="T56" i="6"/>
  <c r="T48" i="6"/>
  <c r="S48" i="6"/>
  <c r="T38" i="6"/>
  <c r="S38" i="6"/>
  <c r="T66" i="6"/>
  <c r="S66" i="6"/>
  <c r="T13" i="6"/>
  <c r="S13" i="6"/>
  <c r="S12" i="6"/>
  <c r="T34" i="6"/>
  <c r="S34" i="6"/>
  <c r="T9" i="6"/>
  <c r="S9" i="6"/>
  <c r="T11" i="6"/>
  <c r="S11" i="6"/>
  <c r="S37" i="6"/>
  <c r="T37" i="6"/>
  <c r="T33" i="6"/>
  <c r="S33" i="6"/>
  <c r="T54" i="6"/>
  <c r="S54" i="6"/>
  <c r="T42" i="6"/>
  <c r="S42" i="6"/>
  <c r="T53" i="6"/>
  <c r="S53" i="6"/>
  <c r="T59" i="6"/>
  <c r="S59" i="6"/>
  <c r="T64" i="6"/>
  <c r="S64" i="6"/>
  <c r="T27" i="6"/>
  <c r="S27" i="6"/>
  <c r="S25" i="6"/>
  <c r="T25" i="6"/>
  <c r="T26" i="6"/>
  <c r="S26" i="6"/>
  <c r="S28" i="6"/>
  <c r="T7" i="6"/>
  <c r="S7" i="6"/>
  <c r="T58" i="6"/>
  <c r="S58" i="6"/>
  <c r="T29" i="6"/>
  <c r="S29" i="6"/>
  <c r="S24" i="6"/>
  <c r="T24" i="6"/>
  <c r="T55" i="6"/>
  <c r="S55" i="6"/>
  <c r="T5" i="6"/>
  <c r="S5" i="6"/>
  <c r="T41" i="6"/>
  <c r="S41" i="6"/>
  <c r="T50" i="6"/>
  <c r="S50" i="6"/>
  <c r="S21" i="6"/>
  <c r="T21" i="6"/>
  <c r="T19" i="6"/>
  <c r="S19" i="6"/>
  <c r="T6" i="6"/>
  <c r="S6" i="6"/>
  <c r="T60" i="6"/>
  <c r="S60" i="6"/>
  <c r="S4" i="6"/>
  <c r="T65" i="6"/>
  <c r="S65" i="6"/>
  <c r="T22" i="6"/>
  <c r="S22" i="6"/>
  <c r="T3" i="6"/>
  <c r="S3" i="6"/>
  <c r="S52" i="6"/>
  <c r="T12" i="6"/>
  <c r="T10" i="6"/>
  <c r="S10" i="6"/>
  <c r="S40" i="6"/>
  <c r="T40" i="6"/>
  <c r="T18" i="6"/>
  <c r="S18" i="6"/>
  <c r="T20" i="6"/>
  <c r="T61" i="6"/>
  <c r="S61" i="6"/>
  <c r="T44" i="6"/>
  <c r="S44" i="6"/>
  <c r="T57" i="6"/>
  <c r="S57" i="6"/>
  <c r="T35" i="6"/>
  <c r="S35" i="6"/>
  <c r="E56" i="1"/>
  <c r="E71" i="1"/>
  <c r="E55" i="1"/>
  <c r="E70" i="1"/>
  <c r="E54" i="1"/>
  <c r="E64" i="1"/>
  <c r="E62" i="1"/>
  <c r="V38" i="1"/>
  <c r="E69" i="1"/>
  <c r="E53" i="1"/>
  <c r="E68" i="1"/>
  <c r="E52" i="1"/>
  <c r="E67" i="1"/>
  <c r="E51" i="1"/>
  <c r="E66" i="1"/>
  <c r="E65" i="1"/>
  <c r="E63" i="1"/>
  <c r="E61" i="1"/>
  <c r="E60" i="1"/>
  <c r="S75" i="1"/>
  <c r="E59" i="1"/>
  <c r="S68" i="1"/>
  <c r="E57" i="1"/>
  <c r="E50" i="1"/>
  <c r="Z76" i="1"/>
  <c r="Z74" i="1"/>
  <c r="U42" i="1"/>
  <c r="U43" i="1"/>
  <c r="AA43" i="1"/>
  <c r="S74" i="1"/>
  <c r="DA59" i="1"/>
  <c r="T74" i="1"/>
  <c r="Y48" i="1"/>
  <c r="V72" i="1"/>
  <c r="Y44" i="1"/>
  <c r="DA52" i="1"/>
  <c r="DA64" i="1"/>
  <c r="U41" i="1"/>
  <c r="X44" i="1"/>
  <c r="X42" i="1"/>
  <c r="Y49" i="1"/>
  <c r="Z75" i="1"/>
  <c r="T42" i="1"/>
  <c r="T45" i="1"/>
  <c r="Y43" i="1"/>
  <c r="AA42" i="1"/>
  <c r="Y47" i="1"/>
  <c r="X76" i="1"/>
  <c r="V42" i="1"/>
  <c r="T44" i="1"/>
  <c r="X43" i="1"/>
  <c r="X47" i="1"/>
  <c r="T43" i="1"/>
  <c r="Z42" i="1"/>
  <c r="Y46" i="1"/>
  <c r="T33" i="1"/>
  <c r="Y42" i="1"/>
  <c r="Z45" i="1"/>
  <c r="Z49" i="1"/>
  <c r="S46" i="1"/>
  <c r="T67" i="1"/>
  <c r="Z48" i="1"/>
  <c r="Q65" i="1"/>
  <c r="S45" i="1"/>
  <c r="Z47" i="1"/>
  <c r="Z43" i="1"/>
  <c r="V75" i="1"/>
  <c r="Z46" i="1"/>
  <c r="Y76" i="1"/>
  <c r="V43" i="1"/>
  <c r="U66" i="1"/>
  <c r="AB51" i="1"/>
  <c r="Y75" i="1"/>
  <c r="V71" i="1"/>
  <c r="AA49" i="1"/>
  <c r="AA74" i="1"/>
  <c r="X46" i="1"/>
  <c r="X49" i="1"/>
  <c r="Y45" i="1"/>
  <c r="X48" i="1"/>
  <c r="DA65" i="1"/>
  <c r="U44" i="1"/>
  <c r="DA54" i="1"/>
  <c r="DA70" i="1"/>
  <c r="DA63" i="1"/>
  <c r="S35" i="1"/>
  <c r="AT75" i="1"/>
  <c r="AT76" i="1"/>
  <c r="Q76" i="1" s="1"/>
  <c r="DA68" i="1"/>
  <c r="DA61" i="1"/>
  <c r="DA74" i="1"/>
  <c r="DA58" i="1"/>
  <c r="DA69" i="1"/>
  <c r="Q64" i="1"/>
  <c r="DA62" i="1"/>
  <c r="DA57" i="1"/>
  <c r="DA56" i="1"/>
  <c r="Q63" i="1"/>
  <c r="DA55" i="1"/>
  <c r="AJ59" i="1"/>
  <c r="AJ58" i="1"/>
  <c r="Q74" i="1"/>
  <c r="DA51" i="1"/>
  <c r="DA67" i="1"/>
  <c r="DA66" i="1"/>
  <c r="DA50" i="1"/>
  <c r="T41" i="1"/>
  <c r="V18" i="1"/>
  <c r="U11" i="1"/>
  <c r="V5" i="1"/>
  <c r="T37" i="1"/>
  <c r="Q70" i="1"/>
  <c r="V34" i="1"/>
  <c r="T16" i="1"/>
  <c r="V13" i="1"/>
  <c r="S12" i="1"/>
  <c r="W12" i="1" s="1"/>
  <c r="T11" i="1"/>
  <c r="S6" i="1"/>
  <c r="V30" i="1"/>
  <c r="S28" i="1"/>
  <c r="T27" i="1"/>
  <c r="U26" i="1"/>
  <c r="T20" i="1"/>
  <c r="V19" i="1"/>
  <c r="U19" i="1"/>
  <c r="DA73" i="1"/>
  <c r="DA72" i="1"/>
  <c r="DA71" i="1"/>
  <c r="V29" i="1"/>
  <c r="T28" i="1"/>
  <c r="V40" i="1"/>
  <c r="V27" i="1"/>
  <c r="U40" i="1"/>
  <c r="U13" i="1"/>
  <c r="V39" i="1"/>
  <c r="U25" i="1"/>
  <c r="U34" i="1"/>
  <c r="V24" i="1"/>
  <c r="S11" i="1"/>
  <c r="V33" i="1"/>
  <c r="T24" i="1"/>
  <c r="U10" i="1"/>
  <c r="U23" i="1"/>
  <c r="T10" i="1"/>
  <c r="U30" i="1"/>
  <c r="S33" i="1"/>
  <c r="V21" i="1"/>
  <c r="U9" i="1"/>
  <c r="V32" i="1"/>
  <c r="U21" i="1"/>
  <c r="V7" i="1"/>
  <c r="T32" i="1"/>
  <c r="V20" i="1"/>
  <c r="T7" i="1"/>
  <c r="Q73" i="1"/>
  <c r="S37" i="1"/>
  <c r="S24" i="1"/>
  <c r="S20" i="1"/>
  <c r="S16" i="1"/>
  <c r="V11" i="1"/>
  <c r="U7" i="1"/>
  <c r="V36" i="1"/>
  <c r="V23" i="1"/>
  <c r="V15" i="1"/>
  <c r="U5" i="1"/>
  <c r="U36" i="1"/>
  <c r="U32" i="1"/>
  <c r="U27" i="1"/>
  <c r="U15" i="1"/>
  <c r="S7" i="1"/>
  <c r="T40" i="1"/>
  <c r="T36" i="1"/>
  <c r="T23" i="1"/>
  <c r="T19" i="1"/>
  <c r="T15" i="1"/>
  <c r="V6" i="1"/>
  <c r="S40" i="1"/>
  <c r="S36" i="1"/>
  <c r="S32" i="1"/>
  <c r="S27" i="1"/>
  <c r="S23" i="1"/>
  <c r="S19" i="1"/>
  <c r="S15" i="1"/>
  <c r="V10" i="1"/>
  <c r="U6" i="1"/>
  <c r="U8" i="1"/>
  <c r="W8" i="1" s="1"/>
  <c r="S31" i="1"/>
  <c r="V35" i="1"/>
  <c r="V26" i="1"/>
  <c r="V22" i="1"/>
  <c r="V14" i="1"/>
  <c r="S13" i="1"/>
  <c r="U39" i="1"/>
  <c r="U18" i="1"/>
  <c r="T39" i="1"/>
  <c r="T30" i="1"/>
  <c r="T18" i="1"/>
  <c r="T14" i="1"/>
  <c r="S10" i="1"/>
  <c r="V31" i="1"/>
  <c r="S39" i="1"/>
  <c r="S30" i="1"/>
  <c r="S26" i="1"/>
  <c r="S22" i="1"/>
  <c r="S18" i="1"/>
  <c r="S14" i="1"/>
  <c r="U38" i="1"/>
  <c r="U29" i="1"/>
  <c r="U17" i="1"/>
  <c r="T38" i="1"/>
  <c r="T34" i="1"/>
  <c r="T29" i="1"/>
  <c r="T25" i="1"/>
  <c r="T21" i="1"/>
  <c r="T17" i="1"/>
  <c r="T13" i="1"/>
  <c r="S9" i="1"/>
  <c r="Q72" i="1"/>
  <c r="BE40" i="1"/>
  <c r="BE24" i="1"/>
  <c r="Q69" i="1"/>
  <c r="AJ60" i="1"/>
  <c r="AJ55" i="1"/>
  <c r="AJ53" i="1"/>
  <c r="AJ54" i="1"/>
  <c r="AI41" i="1"/>
  <c r="AJ41" i="1" s="1"/>
  <c r="AI40" i="1"/>
  <c r="AJ40" i="1" s="1"/>
  <c r="AI33" i="1"/>
  <c r="AJ33" i="1" s="1"/>
  <c r="AI39" i="1"/>
  <c r="AJ39" i="1" s="1"/>
  <c r="AI36" i="1"/>
  <c r="AJ36" i="1" s="1"/>
  <c r="AI35" i="1"/>
  <c r="AJ35" i="1" s="1"/>
  <c r="Q68" i="1"/>
  <c r="Q66" i="1"/>
  <c r="BD34" i="1"/>
  <c r="BD18" i="1"/>
  <c r="BE42" i="1"/>
  <c r="BE26" i="1"/>
  <c r="AI38" i="1"/>
  <c r="AJ38" i="1" s="1"/>
  <c r="AI37" i="1"/>
  <c r="AJ37" i="1" s="1"/>
  <c r="AJ57" i="1"/>
  <c r="AJ56" i="1"/>
  <c r="AI34" i="1"/>
  <c r="AJ34" i="1" s="1"/>
  <c r="Q67" i="1"/>
  <c r="AJ51" i="1"/>
  <c r="BD21" i="1"/>
  <c r="BE13" i="1"/>
  <c r="BE28" i="1"/>
  <c r="BD37" i="1"/>
  <c r="BE5" i="1"/>
  <c r="BE29" i="1"/>
  <c r="BD36" i="1"/>
  <c r="BD20" i="1"/>
  <c r="BE44" i="1"/>
  <c r="BE12" i="1"/>
  <c r="AI42" i="1"/>
  <c r="AJ42" i="1" s="1"/>
  <c r="BE10" i="1"/>
  <c r="BE41" i="1"/>
  <c r="BD33" i="1"/>
  <c r="BD32" i="1"/>
  <c r="BD16" i="1"/>
  <c r="BE8" i="1"/>
  <c r="BD31" i="1"/>
  <c r="BD15" i="1"/>
  <c r="BE39" i="1"/>
  <c r="BE23" i="1"/>
  <c r="BE7" i="1"/>
  <c r="BE9" i="1"/>
  <c r="BD17" i="1"/>
  <c r="BE25" i="1"/>
  <c r="BF15" i="1"/>
  <c r="BF31" i="1"/>
  <c r="BF44" i="1"/>
  <c r="BF28" i="1"/>
  <c r="BF12" i="1"/>
  <c r="BD43" i="1"/>
  <c r="BD27" i="1"/>
  <c r="BD11" i="1"/>
  <c r="BE35" i="1"/>
  <c r="BE19" i="1"/>
  <c r="BD10" i="1"/>
  <c r="BD26" i="1"/>
  <c r="BD42" i="1"/>
  <c r="BE15" i="1"/>
  <c r="BF36" i="1"/>
  <c r="BF20" i="1"/>
  <c r="BF33" i="1"/>
  <c r="BF17" i="1"/>
  <c r="BF32" i="1"/>
  <c r="BF16" i="1"/>
  <c r="BE31" i="1"/>
  <c r="BD5" i="1"/>
  <c r="BE37" i="1"/>
  <c r="BF29" i="1"/>
  <c r="BD29" i="1"/>
  <c r="BD13" i="1"/>
  <c r="BE21" i="1"/>
  <c r="BF5" i="1"/>
  <c r="BF13" i="1"/>
  <c r="BD28" i="1"/>
  <c r="BE36" i="1"/>
  <c r="BE20" i="1"/>
  <c r="BF27" i="1"/>
  <c r="BF11" i="1"/>
  <c r="BE34" i="1"/>
  <c r="BE18" i="1"/>
  <c r="BF42" i="1"/>
  <c r="BF26" i="1"/>
  <c r="BF10" i="1"/>
  <c r="BE17" i="1"/>
  <c r="BD9" i="1"/>
  <c r="BF9" i="1"/>
  <c r="BD40" i="1"/>
  <c r="BD24" i="1"/>
  <c r="BD8" i="1"/>
  <c r="BE32" i="1"/>
  <c r="BE16" i="1"/>
  <c r="BF40" i="1"/>
  <c r="BF24" i="1"/>
  <c r="BF8" i="1"/>
  <c r="BD25" i="1"/>
  <c r="BF25" i="1"/>
  <c r="BD39" i="1"/>
  <c r="BD23" i="1"/>
  <c r="BD7" i="1"/>
  <c r="BF39" i="1"/>
  <c r="BF23" i="1"/>
  <c r="BF7" i="1"/>
  <c r="BF43" i="1"/>
  <c r="BD41" i="1"/>
  <c r="BE33" i="1"/>
  <c r="BF41" i="1"/>
  <c r="BD38" i="1"/>
  <c r="BD22" i="1"/>
  <c r="BD6" i="1"/>
  <c r="BD30" i="1"/>
  <c r="BD14" i="1"/>
  <c r="BF38" i="1"/>
  <c r="BF22" i="1"/>
  <c r="BF6" i="1"/>
  <c r="BF37" i="1"/>
  <c r="BF21" i="1"/>
  <c r="BD44" i="1"/>
  <c r="BD12" i="1"/>
  <c r="BD35" i="1"/>
  <c r="BD19" i="1"/>
  <c r="BE43" i="1"/>
  <c r="BE27" i="1"/>
  <c r="BE11" i="1"/>
  <c r="BF35" i="1"/>
  <c r="BF19" i="1"/>
  <c r="BF34" i="1"/>
  <c r="BF18" i="1"/>
  <c r="BF30" i="1"/>
  <c r="BF14" i="1"/>
  <c r="BE30" i="1"/>
  <c r="BE14" i="1"/>
  <c r="BE38" i="1"/>
  <c r="BE22" i="1"/>
  <c r="BE6" i="1"/>
  <c r="GL60" i="7" l="1"/>
  <c r="GL71" i="7"/>
  <c r="GL54" i="7"/>
  <c r="GL72" i="7"/>
  <c r="GL76" i="7"/>
  <c r="GL53" i="7"/>
  <c r="GL16" i="7"/>
  <c r="GL24" i="7"/>
  <c r="GL25" i="7"/>
  <c r="GL27" i="7"/>
  <c r="GL28" i="7"/>
  <c r="GL29" i="7"/>
  <c r="GL30" i="7"/>
  <c r="GL15" i="7"/>
  <c r="GL14" i="7"/>
  <c r="GL42" i="7"/>
  <c r="GL19" i="7"/>
  <c r="GL31" i="7"/>
  <c r="GL36" i="7"/>
  <c r="GL41" i="7"/>
  <c r="GL20" i="7"/>
  <c r="GL23" i="7"/>
  <c r="GL32" i="7"/>
  <c r="GL40" i="7"/>
  <c r="GL21" i="7"/>
  <c r="GL33" i="7"/>
  <c r="GL34" i="7"/>
  <c r="GL35" i="7"/>
  <c r="GL37" i="7"/>
  <c r="GL38" i="7"/>
  <c r="GL39" i="7"/>
  <c r="GL17" i="7"/>
  <c r="GL18" i="7"/>
  <c r="GL22" i="7"/>
  <c r="GL26" i="7"/>
  <c r="GL62" i="7"/>
  <c r="GL67" i="7"/>
  <c r="GL44" i="7"/>
  <c r="GL73" i="7"/>
  <c r="GL48" i="7"/>
  <c r="GL68" i="7"/>
  <c r="GL61" i="7"/>
  <c r="GL57" i="7"/>
  <c r="GL65" i="7"/>
  <c r="GL75" i="7"/>
  <c r="GL56" i="7"/>
  <c r="GL59" i="7"/>
  <c r="GL46" i="7"/>
  <c r="GL51" i="7"/>
  <c r="GL47" i="7"/>
  <c r="GL78" i="7"/>
  <c r="GL55" i="7"/>
  <c r="GL77" i="7"/>
  <c r="GL49" i="7"/>
  <c r="GL63" i="7"/>
  <c r="GL69" i="7"/>
  <c r="GL52" i="7"/>
  <c r="GL66" i="7"/>
  <c r="GL70" i="7"/>
  <c r="GL58" i="7"/>
  <c r="GL74" i="7"/>
  <c r="GL50" i="7"/>
  <c r="GL45" i="7"/>
  <c r="GL64" i="7"/>
  <c r="GL43" i="7"/>
  <c r="AQ14" i="7" a="1"/>
  <c r="CZ89" i="7"/>
  <c r="CZ87" i="7"/>
  <c r="CZ96" i="7"/>
  <c r="CZ100" i="7"/>
  <c r="CZ91" i="7"/>
  <c r="CZ90" i="7"/>
  <c r="CZ80" i="7"/>
  <c r="FK80" i="7" s="1"/>
  <c r="GL80" i="7" s="1"/>
  <c r="CZ98" i="7"/>
  <c r="CZ86" i="7"/>
  <c r="CZ92" i="7"/>
  <c r="CZ103" i="7"/>
  <c r="CZ99" i="7"/>
  <c r="CZ84" i="7"/>
  <c r="CZ85" i="7"/>
  <c r="CZ95" i="7"/>
  <c r="CZ81" i="7"/>
  <c r="CZ83" i="7"/>
  <c r="CZ102" i="7"/>
  <c r="CZ97" i="7"/>
  <c r="CZ94" i="7"/>
  <c r="CZ82" i="7"/>
  <c r="CZ93" i="7"/>
  <c r="CZ88" i="7"/>
  <c r="CZ101" i="7"/>
  <c r="CP128" i="7"/>
  <c r="CV127" i="7"/>
  <c r="CV100" i="7" s="1"/>
  <c r="FQ41" i="7"/>
  <c r="FQ65" i="7"/>
  <c r="AU51" i="5"/>
  <c r="BB51" i="5"/>
  <c r="BI51" i="5" s="1"/>
  <c r="AU23" i="5"/>
  <c r="BB23" i="5"/>
  <c r="AU29" i="5"/>
  <c r="BB29" i="5"/>
  <c r="BI29" i="5" s="1"/>
  <c r="AU9" i="5"/>
  <c r="BB9" i="5"/>
  <c r="AU36" i="5"/>
  <c r="BB36" i="5"/>
  <c r="BI36" i="5" s="1"/>
  <c r="AU14" i="5"/>
  <c r="BB14" i="5"/>
  <c r="AU28" i="5"/>
  <c r="BB28" i="5"/>
  <c r="BI28" i="5" s="1"/>
  <c r="AU20" i="5"/>
  <c r="BB20" i="5"/>
  <c r="AU15" i="5"/>
  <c r="BB15" i="5"/>
  <c r="AU37" i="5"/>
  <c r="BB37" i="5"/>
  <c r="BI37" i="5" s="1"/>
  <c r="AU57" i="5"/>
  <c r="BB57" i="5"/>
  <c r="BI57" i="5" s="1"/>
  <c r="AU43" i="5"/>
  <c r="BB43" i="5"/>
  <c r="BI43" i="5" s="1"/>
  <c r="AU40" i="5"/>
  <c r="BB40" i="5"/>
  <c r="BI40" i="5" s="1"/>
  <c r="AU16" i="5"/>
  <c r="BB16" i="5"/>
  <c r="AU65" i="5"/>
  <c r="BB65" i="5"/>
  <c r="BI65" i="5" s="1"/>
  <c r="AU22" i="5"/>
  <c r="BB22" i="5"/>
  <c r="AU30" i="5"/>
  <c r="BB30" i="5"/>
  <c r="BI30" i="5" s="1"/>
  <c r="AU3" i="5"/>
  <c r="BB3" i="5"/>
  <c r="AU50" i="5"/>
  <c r="BB50" i="5"/>
  <c r="BI50" i="5" s="1"/>
  <c r="AU68" i="5"/>
  <c r="BB68" i="5"/>
  <c r="BI68" i="5" s="1"/>
  <c r="AU34" i="5"/>
  <c r="BB34" i="5"/>
  <c r="BI34" i="5" s="1"/>
  <c r="AU47" i="5"/>
  <c r="BB47" i="5"/>
  <c r="BI47" i="5" s="1"/>
  <c r="AY2" i="5"/>
  <c r="BF2" i="5"/>
  <c r="AU48" i="5"/>
  <c r="BB48" i="5"/>
  <c r="BI48" i="5" s="1"/>
  <c r="AW22" i="5"/>
  <c r="BD22" i="5"/>
  <c r="AU24" i="5"/>
  <c r="BB24" i="5"/>
  <c r="AU27" i="5"/>
  <c r="BB27" i="5"/>
  <c r="BI27" i="5" s="1"/>
  <c r="AU38" i="5"/>
  <c r="BB38" i="5"/>
  <c r="BI38" i="5" s="1"/>
  <c r="AU44" i="5"/>
  <c r="BB44" i="5"/>
  <c r="BI44" i="5" s="1"/>
  <c r="AU31" i="5"/>
  <c r="BB31" i="5"/>
  <c r="BI31" i="5" s="1"/>
  <c r="AU64" i="5"/>
  <c r="BB64" i="5"/>
  <c r="BI64" i="5" s="1"/>
  <c r="AW2" i="5"/>
  <c r="BD2" i="5"/>
  <c r="AU41" i="5"/>
  <c r="BB41" i="5"/>
  <c r="BI41" i="5" s="1"/>
  <c r="AU5" i="5"/>
  <c r="BB5" i="5"/>
  <c r="AU35" i="5"/>
  <c r="BB35" i="5"/>
  <c r="BI35" i="5" s="1"/>
  <c r="AU62" i="5"/>
  <c r="BB62" i="5"/>
  <c r="BI62" i="5" s="1"/>
  <c r="AU53" i="5"/>
  <c r="BB53" i="5"/>
  <c r="BI53" i="5" s="1"/>
  <c r="AU58" i="5"/>
  <c r="BB58" i="5"/>
  <c r="BI58" i="5" s="1"/>
  <c r="AU18" i="5"/>
  <c r="BB18" i="5"/>
  <c r="AU13" i="5"/>
  <c r="BB13" i="5"/>
  <c r="AU54" i="5"/>
  <c r="BB54" i="5"/>
  <c r="BI54" i="5" s="1"/>
  <c r="AU46" i="5"/>
  <c r="BB46" i="5"/>
  <c r="BI46" i="5" s="1"/>
  <c r="AU61" i="5"/>
  <c r="BB61" i="5"/>
  <c r="BI61" i="5" s="1"/>
  <c r="AU12" i="5"/>
  <c r="BB12" i="5"/>
  <c r="AU21" i="5"/>
  <c r="BB21" i="5"/>
  <c r="AU11" i="5"/>
  <c r="BB11" i="5"/>
  <c r="AU19" i="5"/>
  <c r="BB19" i="5"/>
  <c r="AU8" i="5"/>
  <c r="BB8" i="5"/>
  <c r="AU59" i="5"/>
  <c r="BB59" i="5"/>
  <c r="BI59" i="5" s="1"/>
  <c r="AU49" i="5"/>
  <c r="BB49" i="5"/>
  <c r="BI49" i="5" s="1"/>
  <c r="AU66" i="5"/>
  <c r="BB66" i="5"/>
  <c r="BI66" i="5" s="1"/>
  <c r="AU39" i="5"/>
  <c r="BB39" i="5"/>
  <c r="BI39" i="5" s="1"/>
  <c r="AU6" i="5"/>
  <c r="BB6" i="5"/>
  <c r="AU33" i="5"/>
  <c r="BB33" i="5"/>
  <c r="BI33" i="5" s="1"/>
  <c r="AU25" i="5"/>
  <c r="BB25" i="5"/>
  <c r="AU56" i="5"/>
  <c r="BB56" i="5"/>
  <c r="BI56" i="5" s="1"/>
  <c r="AU55" i="5"/>
  <c r="BB55" i="5"/>
  <c r="BI55" i="5" s="1"/>
  <c r="AU52" i="5"/>
  <c r="BB52" i="5"/>
  <c r="BI52" i="5" s="1"/>
  <c r="AU17" i="5"/>
  <c r="BB17" i="5"/>
  <c r="AU63" i="5"/>
  <c r="BB63" i="5"/>
  <c r="BI63" i="5" s="1"/>
  <c r="AU32" i="5"/>
  <c r="BB32" i="5"/>
  <c r="BI32" i="5" s="1"/>
  <c r="AW38" i="5"/>
  <c r="BD38" i="5"/>
  <c r="BK38" i="5" s="1"/>
  <c r="AU42" i="5"/>
  <c r="BB42" i="5"/>
  <c r="BI42" i="5" s="1"/>
  <c r="AU45" i="5"/>
  <c r="BB45" i="5"/>
  <c r="BI45" i="5" s="1"/>
  <c r="AU60" i="5"/>
  <c r="BB60" i="5"/>
  <c r="BI60" i="5" s="1"/>
  <c r="AW24" i="5"/>
  <c r="BD24" i="5"/>
  <c r="AU67" i="5"/>
  <c r="BB67" i="5"/>
  <c r="BI67" i="5" s="1"/>
  <c r="AU26" i="5"/>
  <c r="BB26" i="5"/>
  <c r="AW6" i="5"/>
  <c r="BD6" i="5"/>
  <c r="AU10" i="5"/>
  <c r="BB10" i="5"/>
  <c r="FQ51" i="7"/>
  <c r="AU4" i="5"/>
  <c r="BB4" i="5"/>
  <c r="AW54" i="5"/>
  <c r="BD54" i="5"/>
  <c r="BK54" i="5" s="1"/>
  <c r="AU7" i="5"/>
  <c r="BB7" i="5"/>
  <c r="CA68" i="5"/>
  <c r="CC68" i="5" s="1"/>
  <c r="FQ54" i="7"/>
  <c r="FQ77" i="7"/>
  <c r="FQ38" i="7"/>
  <c r="FQ70" i="7"/>
  <c r="FQ37" i="7"/>
  <c r="CY70" i="7"/>
  <c r="AS90" i="7"/>
  <c r="CY90" i="7" s="1"/>
  <c r="AS100" i="7"/>
  <c r="CY100" i="7" s="1"/>
  <c r="AS91" i="7"/>
  <c r="CY91" i="7" s="1"/>
  <c r="AS92" i="7"/>
  <c r="CY92" i="7" s="1"/>
  <c r="AS93" i="7"/>
  <c r="CY93" i="7" s="1"/>
  <c r="AS97" i="7"/>
  <c r="CY97" i="7" s="1"/>
  <c r="AS94" i="7"/>
  <c r="CY94" i="7" s="1"/>
  <c r="AS84" i="7"/>
  <c r="CY84" i="7" s="1"/>
  <c r="AS95" i="7"/>
  <c r="CY95" i="7" s="1"/>
  <c r="AS88" i="7"/>
  <c r="CY88" i="7" s="1"/>
  <c r="AS96" i="7"/>
  <c r="CY96" i="7" s="1"/>
  <c r="AS98" i="7"/>
  <c r="CY98" i="7" s="1"/>
  <c r="AS99" i="7"/>
  <c r="CY99" i="7" s="1"/>
  <c r="AS81" i="7"/>
  <c r="CY81" i="7" s="1"/>
  <c r="AS83" i="7"/>
  <c r="CY83" i="7" s="1"/>
  <c r="AS87" i="7"/>
  <c r="CY87" i="7" s="1"/>
  <c r="AS86" i="7"/>
  <c r="CY86" i="7" s="1"/>
  <c r="AS101" i="7"/>
  <c r="CY101" i="7" s="1"/>
  <c r="AS102" i="7"/>
  <c r="CY102" i="7" s="1"/>
  <c r="AS103" i="7"/>
  <c r="CY103" i="7" s="1"/>
  <c r="AS89" i="7"/>
  <c r="CY89" i="7" s="1"/>
  <c r="AS80" i="7"/>
  <c r="CY80" i="7" s="1"/>
  <c r="AS82" i="7"/>
  <c r="CY82" i="7" s="1"/>
  <c r="AS85" i="7"/>
  <c r="CY85" i="7" s="1"/>
  <c r="FQ46" i="7"/>
  <c r="FQ42" i="7"/>
  <c r="FQ67" i="7"/>
  <c r="FQ44" i="7"/>
  <c r="FQ39" i="7"/>
  <c r="FQ59" i="7"/>
  <c r="FQ72" i="7"/>
  <c r="FQ57" i="7"/>
  <c r="FQ60" i="7"/>
  <c r="FQ74" i="7"/>
  <c r="FQ78" i="7"/>
  <c r="FQ49" i="7"/>
  <c r="FQ43" i="7"/>
  <c r="FQ63" i="7"/>
  <c r="FQ75" i="7"/>
  <c r="FQ47" i="7"/>
  <c r="FQ69" i="7"/>
  <c r="FK79" i="7"/>
  <c r="FR14" i="7" s="1"/>
  <c r="FQ61" i="7"/>
  <c r="FQ58" i="7"/>
  <c r="FQ71" i="7"/>
  <c r="FQ55" i="7"/>
  <c r="FQ62" i="7"/>
  <c r="FQ66" i="7"/>
  <c r="FQ45" i="7"/>
  <c r="FQ56" i="7"/>
  <c r="FQ53" i="7"/>
  <c r="FQ52" i="7"/>
  <c r="FQ50" i="7"/>
  <c r="FQ64" i="7"/>
  <c r="FQ73" i="7"/>
  <c r="FQ48" i="7"/>
  <c r="FQ76" i="7"/>
  <c r="FQ68" i="7"/>
  <c r="EG63" i="7"/>
  <c r="CB63" i="7"/>
  <c r="CB61" i="7"/>
  <c r="EG61" i="7"/>
  <c r="EG68" i="7"/>
  <c r="CB68" i="7"/>
  <c r="CB78" i="7"/>
  <c r="EG78" i="7"/>
  <c r="EG67" i="7"/>
  <c r="CB67" i="7"/>
  <c r="EG77" i="7"/>
  <c r="CB77" i="7"/>
  <c r="EG60" i="7"/>
  <c r="CB60" i="7"/>
  <c r="CB69" i="7"/>
  <c r="EG69" i="7"/>
  <c r="CB71" i="7"/>
  <c r="EG71" i="7"/>
  <c r="CB64" i="7"/>
  <c r="EG64" i="7"/>
  <c r="CB62" i="7"/>
  <c r="EG62" i="7"/>
  <c r="CB75" i="7"/>
  <c r="EG75" i="7"/>
  <c r="EG66" i="7"/>
  <c r="CB66" i="7"/>
  <c r="CB79" i="7"/>
  <c r="EG79" i="7"/>
  <c r="CB76" i="7"/>
  <c r="EG76" i="7"/>
  <c r="EG73" i="7"/>
  <c r="CB73" i="7"/>
  <c r="CB74" i="7"/>
  <c r="EG74" i="7"/>
  <c r="CB65" i="7"/>
  <c r="EG65" i="7"/>
  <c r="EG70" i="7"/>
  <c r="CB70" i="7"/>
  <c r="CY79" i="7"/>
  <c r="AS104" i="7"/>
  <c r="EV36" i="7"/>
  <c r="EH40" i="7" s="1"/>
  <c r="EM40" i="7" s="1"/>
  <c r="EL46" i="7"/>
  <c r="EH42" i="7"/>
  <c r="EK45" i="7"/>
  <c r="EJ44" i="7"/>
  <c r="EJ43" i="7"/>
  <c r="EH41" i="7"/>
  <c r="EK44" i="7"/>
  <c r="EL45" i="7"/>
  <c r="AG14" i="7"/>
  <c r="AI14" i="7"/>
  <c r="AI15" i="7"/>
  <c r="AO15" i="7" s="1"/>
  <c r="AP15" i="7" s="1"/>
  <c r="AG15" i="7"/>
  <c r="AR14" i="7" a="1"/>
  <c r="CQ43" i="7"/>
  <c r="CY69" i="7"/>
  <c r="CX16" i="5"/>
  <c r="CZ16" i="5" s="1"/>
  <c r="EL47" i="7"/>
  <c r="EK46" i="7"/>
  <c r="EH43" i="7"/>
  <c r="EJ45" i="7"/>
  <c r="EI44" i="7"/>
  <c r="CQ42" i="7"/>
  <c r="CQ44" i="7"/>
  <c r="CA3" i="5"/>
  <c r="CX29" i="5"/>
  <c r="CZ29" i="5" s="1"/>
  <c r="CX43" i="5"/>
  <c r="CZ43" i="5" s="1"/>
  <c r="CX3" i="5"/>
  <c r="CZ3" i="5" s="1"/>
  <c r="CX45" i="5"/>
  <c r="CZ45" i="5" s="1"/>
  <c r="CX10" i="5"/>
  <c r="CZ10" i="5" s="1"/>
  <c r="CX33" i="5"/>
  <c r="CZ33" i="5" s="1"/>
  <c r="CX18" i="5"/>
  <c r="CZ18" i="5" s="1"/>
  <c r="CX46" i="5"/>
  <c r="CZ46" i="5" s="1"/>
  <c r="CX44" i="5"/>
  <c r="CZ44" i="5" s="1"/>
  <c r="CX4" i="5"/>
  <c r="CZ4" i="5" s="1"/>
  <c r="CX39" i="5"/>
  <c r="CZ39" i="5" s="1"/>
  <c r="CX37" i="5"/>
  <c r="CZ37" i="5" s="1"/>
  <c r="CX42" i="5"/>
  <c r="CZ42" i="5" s="1"/>
  <c r="CX5" i="5"/>
  <c r="CZ5" i="5" s="1"/>
  <c r="CX13" i="5"/>
  <c r="CZ13" i="5" s="1"/>
  <c r="CX20" i="5"/>
  <c r="CZ20" i="5" s="1"/>
  <c r="CX34" i="5"/>
  <c r="CZ34" i="5" s="1"/>
  <c r="CX36" i="5"/>
  <c r="CZ36" i="5" s="1"/>
  <c r="CX28" i="5"/>
  <c r="CZ28" i="5" s="1"/>
  <c r="CX11" i="5"/>
  <c r="CZ11" i="5" s="1"/>
  <c r="CX35" i="5"/>
  <c r="CZ35" i="5" s="1"/>
  <c r="CX26" i="5"/>
  <c r="CZ26" i="5" s="1"/>
  <c r="CX7" i="5"/>
  <c r="CZ7" i="5" s="1"/>
  <c r="CX32" i="5"/>
  <c r="CZ32" i="5" s="1"/>
  <c r="CX31" i="5"/>
  <c r="CZ31" i="5" s="1"/>
  <c r="AS9" i="5"/>
  <c r="AI9" i="5" s="1"/>
  <c r="CX9" i="5"/>
  <c r="CZ9" i="5" s="1"/>
  <c r="CX15" i="5"/>
  <c r="CZ15" i="5" s="1"/>
  <c r="CX14" i="5"/>
  <c r="CZ14" i="5" s="1"/>
  <c r="CX25" i="5"/>
  <c r="CZ25" i="5" s="1"/>
  <c r="CX8" i="5"/>
  <c r="CZ8" i="5" s="1"/>
  <c r="CX41" i="5"/>
  <c r="CZ41" i="5" s="1"/>
  <c r="CX23" i="5"/>
  <c r="CZ23" i="5" s="1"/>
  <c r="CX17" i="5"/>
  <c r="CZ17" i="5" s="1"/>
  <c r="CX40" i="5"/>
  <c r="CZ40" i="5" s="1"/>
  <c r="CX21" i="5"/>
  <c r="CZ21" i="5" s="1"/>
  <c r="CX19" i="5"/>
  <c r="CZ19" i="5" s="1"/>
  <c r="CX27" i="5"/>
  <c r="CZ27" i="5" s="1"/>
  <c r="CX30" i="5"/>
  <c r="CZ30" i="5" s="1"/>
  <c r="CX24" i="5"/>
  <c r="CZ24" i="5" s="1"/>
  <c r="BY48" i="5"/>
  <c r="CX47" i="5"/>
  <c r="CZ47" i="5" s="1"/>
  <c r="I15" i="4"/>
  <c r="K15" i="4"/>
  <c r="H15" i="4"/>
  <c r="CA38" i="5"/>
  <c r="CC38" i="5" s="1"/>
  <c r="CD9" i="5"/>
  <c r="CF9" i="5" s="1"/>
  <c r="BX23" i="5"/>
  <c r="CA66" i="5"/>
  <c r="CC66" i="5" s="1"/>
  <c r="CA6" i="5"/>
  <c r="CC6" i="5" s="1"/>
  <c r="CA43" i="5"/>
  <c r="CC43" i="5" s="1"/>
  <c r="CA24" i="5"/>
  <c r="CC24" i="5" s="1"/>
  <c r="CA47" i="5"/>
  <c r="CC47" i="5" s="1"/>
  <c r="CA44" i="5"/>
  <c r="CC44" i="5" s="1"/>
  <c r="CA18" i="5"/>
  <c r="CC18" i="5" s="1"/>
  <c r="CA49" i="5"/>
  <c r="CC49" i="5" s="1"/>
  <c r="CA40" i="5"/>
  <c r="CC40" i="5" s="1"/>
  <c r="CA14" i="5"/>
  <c r="CC14" i="5" s="1"/>
  <c r="CA4" i="5"/>
  <c r="CC4" i="5" s="1"/>
  <c r="CA58" i="5"/>
  <c r="CC58" i="5" s="1"/>
  <c r="CA11" i="5"/>
  <c r="CC11" i="5" s="1"/>
  <c r="CA21" i="5"/>
  <c r="CC21" i="5" s="1"/>
  <c r="CA10" i="5"/>
  <c r="CC10" i="5" s="1"/>
  <c r="CA45" i="5"/>
  <c r="CC45" i="5" s="1"/>
  <c r="CA39" i="5"/>
  <c r="CC39" i="5" s="1"/>
  <c r="CA29" i="5"/>
  <c r="CC29" i="5" s="1"/>
  <c r="CA19" i="5"/>
  <c r="CC19" i="5" s="1"/>
  <c r="CA17" i="5"/>
  <c r="CC17" i="5" s="1"/>
  <c r="CA28" i="5"/>
  <c r="CC28" i="5" s="1"/>
  <c r="CA20" i="5"/>
  <c r="CC20" i="5" s="1"/>
  <c r="CA25" i="5"/>
  <c r="CC25" i="5" s="1"/>
  <c r="AS60" i="5"/>
  <c r="AI60" i="5" s="1"/>
  <c r="CD60" i="5"/>
  <c r="CF60" i="5" s="1"/>
  <c r="AS16" i="5"/>
  <c r="AI16" i="5" s="1"/>
  <c r="CD16" i="5"/>
  <c r="AS10" i="5"/>
  <c r="AI10" i="5" s="1"/>
  <c r="CD10" i="5"/>
  <c r="AS50" i="5"/>
  <c r="AI50" i="5" s="1"/>
  <c r="CD50" i="5"/>
  <c r="AS33" i="5"/>
  <c r="AI33" i="5" s="1"/>
  <c r="CD33" i="5"/>
  <c r="CA36" i="5"/>
  <c r="CC36" i="5" s="1"/>
  <c r="CA42" i="5"/>
  <c r="CC42" i="5" s="1"/>
  <c r="AS59" i="5"/>
  <c r="AI59" i="5" s="1"/>
  <c r="CD59" i="5"/>
  <c r="AS64" i="5"/>
  <c r="AI64" i="5" s="1"/>
  <c r="CD64" i="5"/>
  <c r="CF64" i="5" s="1"/>
  <c r="CA64" i="5"/>
  <c r="CC64" i="5" s="1"/>
  <c r="AS7" i="5"/>
  <c r="AI7" i="5" s="1"/>
  <c r="CD7" i="5"/>
  <c r="AS61" i="5"/>
  <c r="AI61" i="5" s="1"/>
  <c r="CD61" i="5"/>
  <c r="CF61" i="5" s="1"/>
  <c r="AS68" i="5"/>
  <c r="AI68" i="5" s="1"/>
  <c r="CD68" i="5"/>
  <c r="CF68" i="5" s="1"/>
  <c r="CA62" i="5"/>
  <c r="CC62" i="5" s="1"/>
  <c r="AS53" i="5"/>
  <c r="AI53" i="5" s="1"/>
  <c r="CD53" i="5"/>
  <c r="AS65" i="5"/>
  <c r="AI65" i="5" s="1"/>
  <c r="CD65" i="5"/>
  <c r="CF65" i="5" s="1"/>
  <c r="AS44" i="5"/>
  <c r="AI44" i="5" s="1"/>
  <c r="CD44" i="5"/>
  <c r="AS3" i="5"/>
  <c r="AI3" i="5" s="1"/>
  <c r="CD3" i="5"/>
  <c r="CA51" i="5"/>
  <c r="CC51" i="5" s="1"/>
  <c r="AS34" i="5"/>
  <c r="AI34" i="5" s="1"/>
  <c r="CD34" i="5"/>
  <c r="AS58" i="5"/>
  <c r="AI58" i="5" s="1"/>
  <c r="CD58" i="5"/>
  <c r="CA59" i="5"/>
  <c r="CA8" i="5"/>
  <c r="CC8" i="5" s="1"/>
  <c r="AS15" i="5"/>
  <c r="AI15" i="5" s="1"/>
  <c r="CD15" i="5"/>
  <c r="CA32" i="5"/>
  <c r="CC32" i="5" s="1"/>
  <c r="CA41" i="5"/>
  <c r="CC41" i="5" s="1"/>
  <c r="AS20" i="5"/>
  <c r="AI20" i="5" s="1"/>
  <c r="CD20" i="5"/>
  <c r="CA61" i="5"/>
  <c r="CC61" i="5" s="1"/>
  <c r="AS4" i="5"/>
  <c r="AI4" i="5" s="1"/>
  <c r="CD4" i="5"/>
  <c r="AS67" i="5"/>
  <c r="AI67" i="5" s="1"/>
  <c r="CD67" i="5"/>
  <c r="CF67" i="5" s="1"/>
  <c r="AS36" i="5"/>
  <c r="AI36" i="5" s="1"/>
  <c r="CD36" i="5"/>
  <c r="CA33" i="5"/>
  <c r="CC33" i="5" s="1"/>
  <c r="AS21" i="5"/>
  <c r="AI21" i="5" s="1"/>
  <c r="CD21" i="5"/>
  <c r="CA35" i="5"/>
  <c r="CC35" i="5" s="1"/>
  <c r="AS54" i="5"/>
  <c r="AI54" i="5" s="1"/>
  <c r="CD54" i="5"/>
  <c r="CA9" i="5"/>
  <c r="CC9" i="5" s="1"/>
  <c r="CA31" i="5"/>
  <c r="CC31" i="5" s="1"/>
  <c r="CA48" i="5"/>
  <c r="CC48" i="5" s="1"/>
  <c r="CA50" i="5"/>
  <c r="CC50" i="5" s="1"/>
  <c r="AS14" i="5"/>
  <c r="AI14" i="5" s="1"/>
  <c r="CD14" i="5"/>
  <c r="AS18" i="5"/>
  <c r="AI18" i="5" s="1"/>
  <c r="CD18" i="5"/>
  <c r="AS49" i="5"/>
  <c r="AI49" i="5" s="1"/>
  <c r="CD49" i="5"/>
  <c r="CA57" i="5"/>
  <c r="CC57" i="5" s="1"/>
  <c r="AS8" i="5"/>
  <c r="AI8" i="5" s="1"/>
  <c r="CD8" i="5"/>
  <c r="AS55" i="5"/>
  <c r="AI55" i="5" s="1"/>
  <c r="CD55" i="5"/>
  <c r="AS47" i="5"/>
  <c r="AI47" i="5" s="1"/>
  <c r="CD47" i="5"/>
  <c r="AS32" i="5"/>
  <c r="AI32" i="5" s="1"/>
  <c r="CD32" i="5"/>
  <c r="AS62" i="5"/>
  <c r="AI62" i="5" s="1"/>
  <c r="CD62" i="5"/>
  <c r="CF62" i="5" s="1"/>
  <c r="AS63" i="5"/>
  <c r="AI63" i="5" s="1"/>
  <c r="CD63" i="5"/>
  <c r="CF63" i="5" s="1"/>
  <c r="AS28" i="5"/>
  <c r="AI28" i="5" s="1"/>
  <c r="CD28" i="5"/>
  <c r="AS46" i="5"/>
  <c r="AI46" i="5" s="1"/>
  <c r="CD46" i="5"/>
  <c r="AS12" i="5"/>
  <c r="AI12" i="5" s="1"/>
  <c r="CD12" i="5"/>
  <c r="CA23" i="5"/>
  <c r="CC23" i="5" s="1"/>
  <c r="AS23" i="5"/>
  <c r="AI23" i="5" s="1"/>
  <c r="CD23" i="5"/>
  <c r="CA15" i="5"/>
  <c r="CC15" i="5" s="1"/>
  <c r="AS31" i="5"/>
  <c r="AI31" i="5" s="1"/>
  <c r="CD31" i="5"/>
  <c r="AS25" i="5"/>
  <c r="AI25" i="5" s="1"/>
  <c r="CD25" i="5"/>
  <c r="AS41" i="5"/>
  <c r="AI41" i="5" s="1"/>
  <c r="CD41" i="5"/>
  <c r="CA67" i="5"/>
  <c r="CC67" i="5" s="1"/>
  <c r="CA63" i="5"/>
  <c r="CC63" i="5" s="1"/>
  <c r="AS17" i="5"/>
  <c r="AI17" i="5" s="1"/>
  <c r="CD17" i="5"/>
  <c r="CA65" i="5"/>
  <c r="CC65" i="5" s="1"/>
  <c r="AS40" i="5"/>
  <c r="AI40" i="5" s="1"/>
  <c r="CD40" i="5"/>
  <c r="AS45" i="5"/>
  <c r="AI45" i="5" s="1"/>
  <c r="CD45" i="5"/>
  <c r="CA37" i="5"/>
  <c r="CC37" i="5" s="1"/>
  <c r="AS57" i="5"/>
  <c r="AI57" i="5" s="1"/>
  <c r="CD57" i="5"/>
  <c r="AS19" i="5"/>
  <c r="AI19" i="5" s="1"/>
  <c r="CD19" i="5"/>
  <c r="CA16" i="5"/>
  <c r="CC16" i="5" s="1"/>
  <c r="AS27" i="5"/>
  <c r="AI27" i="5" s="1"/>
  <c r="CD27" i="5"/>
  <c r="AS30" i="5"/>
  <c r="AI30" i="5" s="1"/>
  <c r="CD30" i="5"/>
  <c r="CA26" i="5"/>
  <c r="CC26" i="5" s="1"/>
  <c r="CA56" i="5"/>
  <c r="CC56" i="5" s="1"/>
  <c r="AS24" i="5"/>
  <c r="AI24" i="5" s="1"/>
  <c r="CD24" i="5"/>
  <c r="AS51" i="5"/>
  <c r="AI51" i="5" s="1"/>
  <c r="CD51" i="5"/>
  <c r="AS11" i="5"/>
  <c r="AI11" i="5" s="1"/>
  <c r="CD11" i="5"/>
  <c r="AS39" i="5"/>
  <c r="AI39" i="5" s="1"/>
  <c r="CD39" i="5"/>
  <c r="AS6" i="5"/>
  <c r="CD6" i="5"/>
  <c r="CA12" i="5"/>
  <c r="CC12" i="5" s="1"/>
  <c r="AS42" i="5"/>
  <c r="AI42" i="5" s="1"/>
  <c r="CD42" i="5"/>
  <c r="AS5" i="5"/>
  <c r="AI5" i="5" s="1"/>
  <c r="CD5" i="5"/>
  <c r="AS13" i="5"/>
  <c r="AI13" i="5" s="1"/>
  <c r="CD13" i="5"/>
  <c r="AS38" i="5"/>
  <c r="AI38" i="5" s="1"/>
  <c r="CD38" i="5"/>
  <c r="AS56" i="5"/>
  <c r="AI56" i="5" s="1"/>
  <c r="CD56" i="5"/>
  <c r="AS48" i="5"/>
  <c r="AI48" i="5" s="1"/>
  <c r="CD48" i="5"/>
  <c r="CA30" i="5"/>
  <c r="CC30" i="5" s="1"/>
  <c r="AS37" i="5"/>
  <c r="AI37" i="5" s="1"/>
  <c r="CD37" i="5"/>
  <c r="CA46" i="5"/>
  <c r="CC46" i="5" s="1"/>
  <c r="CA7" i="5"/>
  <c r="CC7" i="5" s="1"/>
  <c r="AS29" i="5"/>
  <c r="AI29" i="5" s="1"/>
  <c r="CD29" i="5"/>
  <c r="AS35" i="5"/>
  <c r="AI35" i="5" s="1"/>
  <c r="CD35" i="5"/>
  <c r="AS26" i="5"/>
  <c r="AI26" i="5" s="1"/>
  <c r="CD26" i="5"/>
  <c r="AS43" i="5"/>
  <c r="AI43" i="5" s="1"/>
  <c r="CD43" i="5"/>
  <c r="AS66" i="5"/>
  <c r="AI66" i="5" s="1"/>
  <c r="CD66" i="5"/>
  <c r="CF66" i="5" s="1"/>
  <c r="CA55" i="5"/>
  <c r="CC55" i="5" s="1"/>
  <c r="CA54" i="5"/>
  <c r="CC54" i="5" s="1"/>
  <c r="CA5" i="5"/>
  <c r="CC5" i="5" s="1"/>
  <c r="CA22" i="5"/>
  <c r="CC22" i="5" s="1"/>
  <c r="CA53" i="5"/>
  <c r="CC53" i="5" s="1"/>
  <c r="AS52" i="5"/>
  <c r="AI52" i="5" s="1"/>
  <c r="CD52" i="5"/>
  <c r="CA60" i="5"/>
  <c r="CC60" i="5" s="1"/>
  <c r="CA34" i="5"/>
  <c r="CC34" i="5" s="1"/>
  <c r="CA27" i="5"/>
  <c r="CC27" i="5" s="1"/>
  <c r="CA13" i="5"/>
  <c r="CC13" i="5" s="1"/>
  <c r="AS22" i="5"/>
  <c r="CD22" i="5"/>
  <c r="CA52" i="5"/>
  <c r="BX43" i="5"/>
  <c r="AR62" i="5"/>
  <c r="AH62" i="5" s="1"/>
  <c r="Z62" i="5"/>
  <c r="AD62" i="5" s="1"/>
  <c r="AR32" i="5"/>
  <c r="AH32" i="5" s="1"/>
  <c r="Z32" i="5"/>
  <c r="AD32" i="5" s="1"/>
  <c r="AT19" i="5"/>
  <c r="AJ19" i="5" s="1"/>
  <c r="AA19" i="5"/>
  <c r="AE19" i="5" s="1"/>
  <c r="AT17" i="5"/>
  <c r="AJ17" i="5" s="1"/>
  <c r="AA17" i="5"/>
  <c r="AE17" i="5" s="1"/>
  <c r="AR8" i="5"/>
  <c r="AH8" i="5" s="1"/>
  <c r="Z8" i="5"/>
  <c r="AD8" i="5" s="1"/>
  <c r="AR50" i="5"/>
  <c r="AH50" i="5" s="1"/>
  <c r="Z50" i="5"/>
  <c r="AD50" i="5" s="1"/>
  <c r="AT64" i="5"/>
  <c r="AJ64" i="5" s="1"/>
  <c r="AA64" i="5"/>
  <c r="AE64" i="5" s="1"/>
  <c r="AR19" i="5"/>
  <c r="AH19" i="5" s="1"/>
  <c r="Z19" i="5"/>
  <c r="AD19" i="5" s="1"/>
  <c r="AT36" i="5"/>
  <c r="AJ36" i="5" s="1"/>
  <c r="AA36" i="5"/>
  <c r="AE36" i="5" s="1"/>
  <c r="BX39" i="5"/>
  <c r="AT11" i="5"/>
  <c r="AJ11" i="5" s="1"/>
  <c r="AA11" i="5"/>
  <c r="AE11" i="5" s="1"/>
  <c r="AR25" i="5"/>
  <c r="AH25" i="5" s="1"/>
  <c r="Z25" i="5"/>
  <c r="AD25" i="5" s="1"/>
  <c r="AR64" i="5"/>
  <c r="Z64" i="5"/>
  <c r="AD64" i="5" s="1"/>
  <c r="AR57" i="5"/>
  <c r="AH57" i="5" s="1"/>
  <c r="Z57" i="5"/>
  <c r="AD57" i="5" s="1"/>
  <c r="AT28" i="5"/>
  <c r="AJ28" i="5" s="1"/>
  <c r="AA28" i="5"/>
  <c r="AE28" i="5" s="1"/>
  <c r="AT22" i="5"/>
  <c r="AJ22" i="5" s="1"/>
  <c r="AA22" i="5"/>
  <c r="AT40" i="5"/>
  <c r="AJ40" i="5" s="1"/>
  <c r="AA40" i="5"/>
  <c r="AE40" i="5" s="1"/>
  <c r="BX24" i="5"/>
  <c r="BX52" i="5"/>
  <c r="AT68" i="5"/>
  <c r="AJ68" i="5" s="1"/>
  <c r="AA68" i="5"/>
  <c r="AE68" i="5" s="1"/>
  <c r="AT8" i="5"/>
  <c r="AJ8" i="5" s="1"/>
  <c r="AA8" i="5"/>
  <c r="AE8" i="5" s="1"/>
  <c r="AR34" i="5"/>
  <c r="AH34" i="5" s="1"/>
  <c r="Z34" i="5"/>
  <c r="AD34" i="5" s="1"/>
  <c r="AT32" i="5"/>
  <c r="AJ32" i="5" s="1"/>
  <c r="AA32" i="5"/>
  <c r="AE32" i="5" s="1"/>
  <c r="AR68" i="5"/>
  <c r="AH68" i="5" s="1"/>
  <c r="Z68" i="5"/>
  <c r="AD68" i="5" s="1"/>
  <c r="AR7" i="5"/>
  <c r="AH7" i="5" s="1"/>
  <c r="Z7" i="5"/>
  <c r="AD7" i="5" s="1"/>
  <c r="AR10" i="5"/>
  <c r="AH10" i="5" s="1"/>
  <c r="Z10" i="5"/>
  <c r="AD10" i="5" s="1"/>
  <c r="AT58" i="5"/>
  <c r="AJ58" i="5" s="1"/>
  <c r="AA58" i="5"/>
  <c r="AE58" i="5" s="1"/>
  <c r="BX40" i="5"/>
  <c r="AR40" i="5"/>
  <c r="AH40" i="5" s="1"/>
  <c r="Z40" i="5"/>
  <c r="AD40" i="5" s="1"/>
  <c r="AT61" i="5"/>
  <c r="AJ61" i="5" s="1"/>
  <c r="AA61" i="5"/>
  <c r="AE61" i="5" s="1"/>
  <c r="AR43" i="5"/>
  <c r="AH43" i="5" s="1"/>
  <c r="Z43" i="5"/>
  <c r="AD43" i="5" s="1"/>
  <c r="AT51" i="5"/>
  <c r="AJ51" i="5" s="1"/>
  <c r="AA51" i="5"/>
  <c r="AE51" i="5" s="1"/>
  <c r="AR65" i="5"/>
  <c r="AH65" i="5" s="1"/>
  <c r="Z65" i="5"/>
  <c r="AD65" i="5" s="1"/>
  <c r="AR17" i="5"/>
  <c r="AH17" i="5" s="1"/>
  <c r="Z17" i="5"/>
  <c r="AD17" i="5" s="1"/>
  <c r="AR41" i="5"/>
  <c r="AH41" i="5" s="1"/>
  <c r="Z41" i="5"/>
  <c r="AD41" i="5" s="1"/>
  <c r="AT4" i="5"/>
  <c r="AJ4" i="5" s="1"/>
  <c r="AA4" i="5"/>
  <c r="AE4" i="5" s="1"/>
  <c r="AR31" i="5"/>
  <c r="AH31" i="5" s="1"/>
  <c r="Z31" i="5"/>
  <c r="AD31" i="5" s="1"/>
  <c r="AR59" i="5"/>
  <c r="AH59" i="5" s="1"/>
  <c r="Z59" i="5"/>
  <c r="AD59" i="5" s="1"/>
  <c r="AR46" i="5"/>
  <c r="AH46" i="5" s="1"/>
  <c r="Z46" i="5"/>
  <c r="AD46" i="5" s="1"/>
  <c r="AT62" i="5"/>
  <c r="AJ62" i="5" s="1"/>
  <c r="AA62" i="5"/>
  <c r="AE62" i="5" s="1"/>
  <c r="AR5" i="5"/>
  <c r="AH5" i="5" s="1"/>
  <c r="Z5" i="5"/>
  <c r="AD5" i="5" s="1"/>
  <c r="AR61" i="5"/>
  <c r="AH61" i="5" s="1"/>
  <c r="Z61" i="5"/>
  <c r="AD61" i="5" s="1"/>
  <c r="BX53" i="5"/>
  <c r="AT59" i="5"/>
  <c r="AJ59" i="5" s="1"/>
  <c r="AA59" i="5"/>
  <c r="AE59" i="5" s="1"/>
  <c r="AR29" i="5"/>
  <c r="AH29" i="5" s="1"/>
  <c r="Z29" i="5"/>
  <c r="AD29" i="5" s="1"/>
  <c r="AT9" i="5"/>
  <c r="AJ9" i="5" s="1"/>
  <c r="AA9" i="5"/>
  <c r="AE9" i="5" s="1"/>
  <c r="AR63" i="5"/>
  <c r="AH63" i="5" s="1"/>
  <c r="Z63" i="5"/>
  <c r="AD63" i="5" s="1"/>
  <c r="AT31" i="5"/>
  <c r="AJ31" i="5" s="1"/>
  <c r="AA31" i="5"/>
  <c r="AE31" i="5" s="1"/>
  <c r="AR44" i="5"/>
  <c r="AH44" i="5" s="1"/>
  <c r="Z44" i="5"/>
  <c r="AD44" i="5" s="1"/>
  <c r="AR26" i="5"/>
  <c r="AH26" i="5" s="1"/>
  <c r="Z26" i="5"/>
  <c r="AD26" i="5" s="1"/>
  <c r="AT3" i="5"/>
  <c r="AJ3" i="5" s="1"/>
  <c r="AA3" i="5"/>
  <c r="AE3" i="5" s="1"/>
  <c r="AT49" i="5"/>
  <c r="AJ49" i="5" s="1"/>
  <c r="AA49" i="5"/>
  <c r="AE49" i="5" s="1"/>
  <c r="AT57" i="5"/>
  <c r="AJ57" i="5" s="1"/>
  <c r="AA57" i="5"/>
  <c r="AE57" i="5" s="1"/>
  <c r="AT33" i="5"/>
  <c r="AJ33" i="5" s="1"/>
  <c r="AA33" i="5"/>
  <c r="AE33" i="5" s="1"/>
  <c r="AR48" i="5"/>
  <c r="AH48" i="5" s="1"/>
  <c r="Z48" i="5"/>
  <c r="AD48" i="5" s="1"/>
  <c r="AR58" i="5"/>
  <c r="AH58" i="5" s="1"/>
  <c r="Z58" i="5"/>
  <c r="AD58" i="5" s="1"/>
  <c r="AT48" i="5"/>
  <c r="AJ48" i="5" s="1"/>
  <c r="AA48" i="5"/>
  <c r="AE48" i="5" s="1"/>
  <c r="AR66" i="5"/>
  <c r="AH66" i="5" s="1"/>
  <c r="Z66" i="5"/>
  <c r="AD66" i="5" s="1"/>
  <c r="AR21" i="5"/>
  <c r="AH21" i="5" s="1"/>
  <c r="Z21" i="5"/>
  <c r="AD21" i="5" s="1"/>
  <c r="AR55" i="5"/>
  <c r="AH55" i="5" s="1"/>
  <c r="Z55" i="5"/>
  <c r="AD55" i="5" s="1"/>
  <c r="AR60" i="5"/>
  <c r="AH60" i="5" s="1"/>
  <c r="Z60" i="5"/>
  <c r="AD60" i="5" s="1"/>
  <c r="AT41" i="5"/>
  <c r="AJ41" i="5" s="1"/>
  <c r="AA41" i="5"/>
  <c r="AE41" i="5" s="1"/>
  <c r="AR15" i="5"/>
  <c r="AH15" i="5" s="1"/>
  <c r="Z15" i="5"/>
  <c r="AD15" i="5" s="1"/>
  <c r="AT53" i="5"/>
  <c r="AJ53" i="5" s="1"/>
  <c r="AA53" i="5"/>
  <c r="AE53" i="5" s="1"/>
  <c r="AR23" i="5"/>
  <c r="AH23" i="5" s="1"/>
  <c r="Z23" i="5"/>
  <c r="AD23" i="5" s="1"/>
  <c r="AR37" i="5"/>
  <c r="AH37" i="5" s="1"/>
  <c r="Z37" i="5"/>
  <c r="AD37" i="5" s="1"/>
  <c r="AR45" i="5"/>
  <c r="AH45" i="5" s="1"/>
  <c r="Z45" i="5"/>
  <c r="AD45" i="5" s="1"/>
  <c r="AR13" i="5"/>
  <c r="AH13" i="5" s="1"/>
  <c r="Z13" i="5"/>
  <c r="AD13" i="5" s="1"/>
  <c r="AT35" i="5"/>
  <c r="AJ35" i="5" s="1"/>
  <c r="AA35" i="5"/>
  <c r="AE35" i="5" s="1"/>
  <c r="AT24" i="5"/>
  <c r="AJ24" i="5" s="1"/>
  <c r="AA24" i="5"/>
  <c r="AT47" i="5"/>
  <c r="AJ47" i="5" s="1"/>
  <c r="AA47" i="5"/>
  <c r="AE47" i="5" s="1"/>
  <c r="AT14" i="5"/>
  <c r="AJ14" i="5" s="1"/>
  <c r="AA14" i="5"/>
  <c r="AE14" i="5" s="1"/>
  <c r="AR14" i="5"/>
  <c r="AH14" i="5" s="1"/>
  <c r="Z14" i="5"/>
  <c r="AD14" i="5" s="1"/>
  <c r="AR33" i="5"/>
  <c r="AH33" i="5" s="1"/>
  <c r="Z33" i="5"/>
  <c r="AD33" i="5" s="1"/>
  <c r="AT63" i="5"/>
  <c r="AJ63" i="5" s="1"/>
  <c r="AA63" i="5"/>
  <c r="AE63" i="5" s="1"/>
  <c r="AR16" i="5"/>
  <c r="AH16" i="5" s="1"/>
  <c r="Z16" i="5"/>
  <c r="AD16" i="5" s="1"/>
  <c r="AT50" i="5"/>
  <c r="AJ50" i="5" s="1"/>
  <c r="AA50" i="5"/>
  <c r="AE50" i="5" s="1"/>
  <c r="AR39" i="5"/>
  <c r="Z39" i="5"/>
  <c r="AD39" i="5" s="1"/>
  <c r="AR3" i="5"/>
  <c r="Z3" i="5"/>
  <c r="AD3" i="5" s="1"/>
  <c r="AT16" i="5"/>
  <c r="AJ16" i="5" s="1"/>
  <c r="AA16" i="5"/>
  <c r="AE16" i="5" s="1"/>
  <c r="AR52" i="5"/>
  <c r="AH52" i="5" s="1"/>
  <c r="Z52" i="5"/>
  <c r="AD52" i="5" s="1"/>
  <c r="AR49" i="5"/>
  <c r="AH49" i="5" s="1"/>
  <c r="Z49" i="5"/>
  <c r="AD49" i="5" s="1"/>
  <c r="AT43" i="5"/>
  <c r="AJ43" i="5" s="1"/>
  <c r="AA43" i="5"/>
  <c r="AE43" i="5" s="1"/>
  <c r="AR4" i="5"/>
  <c r="AH4" i="5" s="1"/>
  <c r="Z4" i="5"/>
  <c r="AD4" i="5" s="1"/>
  <c r="AR56" i="5"/>
  <c r="AH56" i="5" s="1"/>
  <c r="Z56" i="5"/>
  <c r="AD56" i="5" s="1"/>
  <c r="AR36" i="5"/>
  <c r="AH36" i="5" s="1"/>
  <c r="Z36" i="5"/>
  <c r="AD36" i="5" s="1"/>
  <c r="AT20" i="5"/>
  <c r="AJ20" i="5" s="1"/>
  <c r="AA20" i="5"/>
  <c r="AE20" i="5" s="1"/>
  <c r="AT10" i="5"/>
  <c r="AJ10" i="5" s="1"/>
  <c r="AA10" i="5"/>
  <c r="AE10" i="5" s="1"/>
  <c r="AR11" i="5"/>
  <c r="AH11" i="5" s="1"/>
  <c r="Z11" i="5"/>
  <c r="AD11" i="5" s="1"/>
  <c r="AT67" i="5"/>
  <c r="AJ67" i="5" s="1"/>
  <c r="AA67" i="5"/>
  <c r="AE67" i="5" s="1"/>
  <c r="AR20" i="5"/>
  <c r="AH20" i="5" s="1"/>
  <c r="Z20" i="5"/>
  <c r="AD20" i="5" s="1"/>
  <c r="AR51" i="5"/>
  <c r="AH51" i="5" s="1"/>
  <c r="Z51" i="5"/>
  <c r="AD51" i="5" s="1"/>
  <c r="AT30" i="5"/>
  <c r="AJ30" i="5" s="1"/>
  <c r="AA30" i="5"/>
  <c r="AE30" i="5" s="1"/>
  <c r="AT65" i="5"/>
  <c r="AJ65" i="5" s="1"/>
  <c r="AA65" i="5"/>
  <c r="AE65" i="5" s="1"/>
  <c r="AT45" i="5"/>
  <c r="AJ45" i="5" s="1"/>
  <c r="AA45" i="5"/>
  <c r="AE45" i="5" s="1"/>
  <c r="AT26" i="5"/>
  <c r="AJ26" i="5" s="1"/>
  <c r="AA26" i="5"/>
  <c r="AE26" i="5" s="1"/>
  <c r="AT23" i="5"/>
  <c r="AJ23" i="5" s="1"/>
  <c r="AA23" i="5"/>
  <c r="AE23" i="5" s="1"/>
  <c r="AT15" i="5"/>
  <c r="AJ15" i="5" s="1"/>
  <c r="AA15" i="5"/>
  <c r="AE15" i="5" s="1"/>
  <c r="AT66" i="5"/>
  <c r="AJ66" i="5" s="1"/>
  <c r="AA66" i="5"/>
  <c r="AE66" i="5" s="1"/>
  <c r="AT18" i="5"/>
  <c r="AJ18" i="5" s="1"/>
  <c r="AA18" i="5"/>
  <c r="AE18" i="5" s="1"/>
  <c r="AT46" i="5"/>
  <c r="AJ46" i="5" s="1"/>
  <c r="AA46" i="5"/>
  <c r="AE46" i="5" s="1"/>
  <c r="AR27" i="5"/>
  <c r="AH27" i="5" s="1"/>
  <c r="Z27" i="5"/>
  <c r="AD27" i="5" s="1"/>
  <c r="AT6" i="5"/>
  <c r="AA6" i="5"/>
  <c r="AR28" i="5"/>
  <c r="AH28" i="5" s="1"/>
  <c r="Z28" i="5"/>
  <c r="AD28" i="5" s="1"/>
  <c r="AR47" i="5"/>
  <c r="AH47" i="5" s="1"/>
  <c r="Z47" i="5"/>
  <c r="AD47" i="5" s="1"/>
  <c r="AT37" i="5"/>
  <c r="AJ37" i="5" s="1"/>
  <c r="AA37" i="5"/>
  <c r="AE37" i="5" s="1"/>
  <c r="AT56" i="5"/>
  <c r="AJ56" i="5" s="1"/>
  <c r="AA56" i="5"/>
  <c r="AE56" i="5" s="1"/>
  <c r="AR53" i="5"/>
  <c r="AH53" i="5" s="1"/>
  <c r="Z53" i="5"/>
  <c r="AD53" i="5" s="1"/>
  <c r="AR67" i="5"/>
  <c r="AH67" i="5" s="1"/>
  <c r="Z67" i="5"/>
  <c r="AD67" i="5" s="1"/>
  <c r="AR12" i="5"/>
  <c r="AH12" i="5" s="1"/>
  <c r="Z12" i="5"/>
  <c r="AD12" i="5" s="1"/>
  <c r="AR18" i="5"/>
  <c r="AH18" i="5" s="1"/>
  <c r="Z18" i="5"/>
  <c r="AD18" i="5" s="1"/>
  <c r="AT21" i="5"/>
  <c r="AJ21" i="5" s="1"/>
  <c r="AA21" i="5"/>
  <c r="AE21" i="5" s="1"/>
  <c r="AT34" i="5"/>
  <c r="AJ34" i="5" s="1"/>
  <c r="AA34" i="5"/>
  <c r="AE34" i="5" s="1"/>
  <c r="AT13" i="5"/>
  <c r="AJ13" i="5" s="1"/>
  <c r="AA13" i="5"/>
  <c r="AE13" i="5" s="1"/>
  <c r="AT38" i="5"/>
  <c r="AJ38" i="5" s="1"/>
  <c r="BF38" i="5" s="1"/>
  <c r="BM38" i="5" s="1"/>
  <c r="AA38" i="5"/>
  <c r="AT29" i="5"/>
  <c r="AJ29" i="5" s="1"/>
  <c r="AA29" i="5"/>
  <c r="AE29" i="5" s="1"/>
  <c r="AT7" i="5"/>
  <c r="AJ7" i="5" s="1"/>
  <c r="AA7" i="5"/>
  <c r="AE7" i="5" s="1"/>
  <c r="AR42" i="5"/>
  <c r="AH42" i="5" s="1"/>
  <c r="Z42" i="5"/>
  <c r="AD42" i="5" s="1"/>
  <c r="AR9" i="5"/>
  <c r="Z9" i="5"/>
  <c r="AD9" i="5" s="1"/>
  <c r="AR30" i="5"/>
  <c r="AH30" i="5" s="1"/>
  <c r="Z30" i="5"/>
  <c r="AD30" i="5" s="1"/>
  <c r="AT55" i="5"/>
  <c r="AJ55" i="5" s="1"/>
  <c r="AA55" i="5"/>
  <c r="AE55" i="5" s="1"/>
  <c r="AT39" i="5"/>
  <c r="AJ39" i="5" s="1"/>
  <c r="AA39" i="5"/>
  <c r="AE39" i="5" s="1"/>
  <c r="AT12" i="5"/>
  <c r="AJ12" i="5" s="1"/>
  <c r="AA12" i="5"/>
  <c r="AE12" i="5" s="1"/>
  <c r="AR35" i="5"/>
  <c r="AH35" i="5" s="1"/>
  <c r="Z35" i="5"/>
  <c r="AD35" i="5" s="1"/>
  <c r="AT44" i="5"/>
  <c r="AJ44" i="5" s="1"/>
  <c r="AA44" i="5"/>
  <c r="AE44" i="5" s="1"/>
  <c r="AT60" i="5"/>
  <c r="AA60" i="5"/>
  <c r="AE60" i="5" s="1"/>
  <c r="AT27" i="5"/>
  <c r="AJ27" i="5" s="1"/>
  <c r="AA27" i="5"/>
  <c r="AE27" i="5" s="1"/>
  <c r="AT42" i="5"/>
  <c r="AJ42" i="5" s="1"/>
  <c r="AA42" i="5"/>
  <c r="AE42" i="5" s="1"/>
  <c r="AT52" i="5"/>
  <c r="AJ52" i="5" s="1"/>
  <c r="AA52" i="5"/>
  <c r="AE52" i="5" s="1"/>
  <c r="AT25" i="5"/>
  <c r="AJ25" i="5" s="1"/>
  <c r="AA25" i="5"/>
  <c r="AE25" i="5" s="1"/>
  <c r="AT54" i="5"/>
  <c r="AJ54" i="5" s="1"/>
  <c r="AA54" i="5"/>
  <c r="AT5" i="5"/>
  <c r="AJ5" i="5" s="1"/>
  <c r="AA5" i="5"/>
  <c r="AE5" i="5" s="1"/>
  <c r="BX25" i="5"/>
  <c r="BX66" i="5"/>
  <c r="BX49" i="5"/>
  <c r="BX62" i="5"/>
  <c r="BX45" i="5"/>
  <c r="BX28" i="5"/>
  <c r="BX55" i="5"/>
  <c r="BX42" i="5"/>
  <c r="BX34" i="5"/>
  <c r="BX31" i="5"/>
  <c r="BX67" i="5"/>
  <c r="BX60" i="5"/>
  <c r="BX68" i="5"/>
  <c r="BX44" i="5"/>
  <c r="BX64" i="5"/>
  <c r="BX26" i="5"/>
  <c r="BX35" i="5"/>
  <c r="BX32" i="5"/>
  <c r="BX57" i="5"/>
  <c r="BX47" i="5"/>
  <c r="BX37" i="5"/>
  <c r="BX29" i="5"/>
  <c r="BX58" i="5"/>
  <c r="BX46" i="5"/>
  <c r="BX51" i="5"/>
  <c r="BX36" i="5"/>
  <c r="BX65" i="5"/>
  <c r="BX54" i="5"/>
  <c r="BX63" i="5"/>
  <c r="BX41" i="5"/>
  <c r="BX48" i="5"/>
  <c r="BX56" i="5"/>
  <c r="BX59" i="5"/>
  <c r="BX50" i="5"/>
  <c r="BX30" i="5"/>
  <c r="BX38" i="5"/>
  <c r="BX33" i="5"/>
  <c r="BX27" i="5"/>
  <c r="BX61" i="5"/>
  <c r="AJ50" i="1"/>
  <c r="AB56" i="1"/>
  <c r="Q52" i="1"/>
  <c r="T48" i="1" s="1"/>
  <c r="AJ52" i="1"/>
  <c r="AB70" i="1"/>
  <c r="AC51" i="1"/>
  <c r="CL51" i="1"/>
  <c r="E12" i="1"/>
  <c r="AB12" i="1"/>
  <c r="I12" i="1" s="1"/>
  <c r="E8" i="1"/>
  <c r="AB8" i="1"/>
  <c r="I8" i="1" s="1"/>
  <c r="AB55" i="1"/>
  <c r="AB68" i="1"/>
  <c r="AB54" i="1"/>
  <c r="AB53" i="1"/>
  <c r="AB69" i="1"/>
  <c r="W5" i="1"/>
  <c r="AB65" i="1"/>
  <c r="AB44" i="1"/>
  <c r="AB57" i="1"/>
  <c r="AB67" i="1"/>
  <c r="AB60" i="1"/>
  <c r="AB61" i="1"/>
  <c r="AB71" i="1"/>
  <c r="AB64" i="1"/>
  <c r="AB66" i="1"/>
  <c r="AB63" i="1"/>
  <c r="AB59" i="1"/>
  <c r="AB48" i="1"/>
  <c r="AB45" i="1"/>
  <c r="AB62" i="1"/>
  <c r="AB47" i="1"/>
  <c r="V68" i="1"/>
  <c r="U69" i="1"/>
  <c r="T70" i="1"/>
  <c r="U63" i="1"/>
  <c r="T64" i="1"/>
  <c r="S65" i="1"/>
  <c r="V62" i="1"/>
  <c r="U62" i="1"/>
  <c r="T63" i="1"/>
  <c r="S64" i="1"/>
  <c r="V61" i="1"/>
  <c r="AB49" i="1"/>
  <c r="S73" i="1"/>
  <c r="T72" i="1"/>
  <c r="U71" i="1"/>
  <c r="AB46" i="1"/>
  <c r="AB58" i="1"/>
  <c r="AB42" i="1"/>
  <c r="AB43" i="1"/>
  <c r="I43" i="1" s="1"/>
  <c r="T59" i="1"/>
  <c r="S60" i="1"/>
  <c r="V57" i="1"/>
  <c r="U58" i="1"/>
  <c r="AB50" i="1"/>
  <c r="U65" i="1"/>
  <c r="T66" i="1"/>
  <c r="S67" i="1"/>
  <c r="V64" i="1"/>
  <c r="U64" i="1"/>
  <c r="T65" i="1"/>
  <c r="S66" i="1"/>
  <c r="V63" i="1"/>
  <c r="DA76" i="1"/>
  <c r="T61" i="1"/>
  <c r="S62" i="1"/>
  <c r="V59" i="1"/>
  <c r="U60" i="1"/>
  <c r="T60" i="1"/>
  <c r="S61" i="1"/>
  <c r="V58" i="1"/>
  <c r="U59" i="1"/>
  <c r="U61" i="1"/>
  <c r="T62" i="1"/>
  <c r="S63" i="1"/>
  <c r="V60" i="1"/>
  <c r="U68" i="1"/>
  <c r="T69" i="1"/>
  <c r="V67" i="1"/>
  <c r="S70" i="1"/>
  <c r="AB52" i="1"/>
  <c r="V66" i="1"/>
  <c r="U67" i="1"/>
  <c r="T68" i="1"/>
  <c r="S69" i="1"/>
  <c r="DA75" i="1"/>
  <c r="Q75" i="1"/>
  <c r="W16" i="1"/>
  <c r="W37" i="1"/>
  <c r="AB37" i="1" s="1"/>
  <c r="W31" i="1"/>
  <c r="W33" i="1"/>
  <c r="AB33" i="1" s="1"/>
  <c r="W28" i="1"/>
  <c r="W34" i="1"/>
  <c r="AB34" i="1" s="1"/>
  <c r="W38" i="1"/>
  <c r="AB38" i="1" s="1"/>
  <c r="W11" i="1"/>
  <c r="W26" i="1"/>
  <c r="W35" i="1"/>
  <c r="AB35" i="1" s="1"/>
  <c r="W29" i="1"/>
  <c r="W36" i="1"/>
  <c r="AB36" i="1" s="1"/>
  <c r="W14" i="1"/>
  <c r="W30" i="1"/>
  <c r="W20" i="1"/>
  <c r="W9" i="1"/>
  <c r="W24" i="1"/>
  <c r="W32" i="1"/>
  <c r="W17" i="1"/>
  <c r="W21" i="1"/>
  <c r="W6" i="1"/>
  <c r="W7" i="1"/>
  <c r="W25" i="1"/>
  <c r="W39" i="1"/>
  <c r="AB39" i="1" s="1"/>
  <c r="Q62" i="1"/>
  <c r="Q59" i="1"/>
  <c r="Q54" i="1"/>
  <c r="W10" i="1"/>
  <c r="W15" i="1"/>
  <c r="Q61" i="1"/>
  <c r="W19" i="1"/>
  <c r="Q53" i="1"/>
  <c r="W23" i="1"/>
  <c r="Q55" i="1"/>
  <c r="W27" i="1"/>
  <c r="Q56" i="1"/>
  <c r="Q60" i="1"/>
  <c r="Q51" i="1"/>
  <c r="W18" i="1"/>
  <c r="W13" i="1"/>
  <c r="W40" i="1"/>
  <c r="AB40" i="1" s="1"/>
  <c r="Q58" i="1"/>
  <c r="W22" i="1"/>
  <c r="FR30" i="7" l="1"/>
  <c r="GL79" i="7"/>
  <c r="FQ80" i="7"/>
  <c r="AY4" i="7" s="1"/>
  <c r="AQ102" i="7"/>
  <c r="CW102" i="7" s="1"/>
  <c r="AU57" i="7"/>
  <c r="AO14" i="7"/>
  <c r="AP14" i="7" s="1"/>
  <c r="AQ100" i="7"/>
  <c r="CW100" i="7" s="1"/>
  <c r="CW62" i="7"/>
  <c r="CW15" i="7"/>
  <c r="CW55" i="7"/>
  <c r="CW74" i="7"/>
  <c r="CW25" i="7"/>
  <c r="AQ82" i="7"/>
  <c r="CW82" i="7" s="1"/>
  <c r="CW42" i="7"/>
  <c r="CW65" i="7"/>
  <c r="CW20" i="7"/>
  <c r="CW61" i="7"/>
  <c r="CW71" i="7"/>
  <c r="AQ84" i="7"/>
  <c r="CW84" i="7" s="1"/>
  <c r="CW72" i="7"/>
  <c r="CW16" i="7"/>
  <c r="CW50" i="7"/>
  <c r="AQ101" i="7"/>
  <c r="CW101" i="7" s="1"/>
  <c r="CW41" i="7"/>
  <c r="CW64" i="7"/>
  <c r="CW33" i="7"/>
  <c r="CW28" i="7"/>
  <c r="CW46" i="7"/>
  <c r="CW31" i="7"/>
  <c r="CW23" i="7"/>
  <c r="AQ81" i="7"/>
  <c r="CW81" i="7" s="1"/>
  <c r="AQ91" i="7"/>
  <c r="CW91" i="7" s="1"/>
  <c r="CW32" i="7"/>
  <c r="CW56" i="7"/>
  <c r="AQ83" i="7"/>
  <c r="CW83" i="7" s="1"/>
  <c r="CW27" i="7"/>
  <c r="CW67" i="7"/>
  <c r="AQ92" i="7"/>
  <c r="CW92" i="7" s="1"/>
  <c r="CW44" i="7"/>
  <c r="AQ97" i="7"/>
  <c r="CW97" i="7" s="1"/>
  <c r="CW70" i="7"/>
  <c r="CW49" i="7"/>
  <c r="AQ95" i="7"/>
  <c r="CW95" i="7" s="1"/>
  <c r="AQ89" i="7"/>
  <c r="CW89" i="7" s="1"/>
  <c r="CW73" i="7"/>
  <c r="CW30" i="7"/>
  <c r="CW76" i="7"/>
  <c r="CW52" i="7"/>
  <c r="CW63" i="7"/>
  <c r="CW38" i="7"/>
  <c r="CW40" i="7"/>
  <c r="CW48" i="7"/>
  <c r="CW36" i="7"/>
  <c r="CW47" i="7"/>
  <c r="CW37" i="7"/>
  <c r="CW51" i="7"/>
  <c r="AQ99" i="7"/>
  <c r="CW99" i="7" s="1"/>
  <c r="AQ98" i="7"/>
  <c r="CW98" i="7" s="1"/>
  <c r="AQ104" i="7"/>
  <c r="CW22" i="7"/>
  <c r="AQ90" i="7"/>
  <c r="CW90" i="7" s="1"/>
  <c r="CW59" i="7"/>
  <c r="AQ85" i="7"/>
  <c r="CW85" i="7" s="1"/>
  <c r="AQ80" i="7"/>
  <c r="CW80" i="7" s="1"/>
  <c r="AQ103" i="7"/>
  <c r="CW103" i="7" s="1"/>
  <c r="AQ93" i="7"/>
  <c r="CW93" i="7" s="1"/>
  <c r="CW45" i="7"/>
  <c r="CW29" i="7"/>
  <c r="CW34" i="7"/>
  <c r="CW35" i="7"/>
  <c r="CW57" i="7"/>
  <c r="CW17" i="7"/>
  <c r="CW39" i="7"/>
  <c r="AQ96" i="7"/>
  <c r="CW96" i="7" s="1"/>
  <c r="AQ14" i="7"/>
  <c r="AQ94" i="7"/>
  <c r="CW94" i="7" s="1"/>
  <c r="CW60" i="7"/>
  <c r="CW58" i="7"/>
  <c r="CW75" i="7"/>
  <c r="CW69" i="7"/>
  <c r="CW18" i="7"/>
  <c r="CW19" i="7"/>
  <c r="CW54" i="7"/>
  <c r="AQ86" i="7"/>
  <c r="CW86" i="7" s="1"/>
  <c r="AQ87" i="7"/>
  <c r="CW87" i="7" s="1"/>
  <c r="CW78" i="7"/>
  <c r="CW26" i="7"/>
  <c r="CW53" i="7"/>
  <c r="AQ88" i="7"/>
  <c r="CW88" i="7" s="1"/>
  <c r="CW43" i="7"/>
  <c r="CW21" i="7"/>
  <c r="CW77" i="7"/>
  <c r="CW79" i="7"/>
  <c r="CW68" i="7"/>
  <c r="CW24" i="7"/>
  <c r="CW66" i="7"/>
  <c r="EP40" i="7"/>
  <c r="EQ40" i="7" s="1"/>
  <c r="ER40" i="7" s="1"/>
  <c r="FR60" i="7"/>
  <c r="FR67" i="7"/>
  <c r="FR63" i="7"/>
  <c r="FR45" i="7"/>
  <c r="FR66" i="7"/>
  <c r="FR41" i="7"/>
  <c r="FR24" i="7"/>
  <c r="FR22" i="7"/>
  <c r="FR37" i="7"/>
  <c r="FR21" i="7"/>
  <c r="FR50" i="7"/>
  <c r="FR33" i="7"/>
  <c r="FR65" i="7"/>
  <c r="FR32" i="7"/>
  <c r="FR52" i="7"/>
  <c r="FR16" i="7"/>
  <c r="FR61" i="7"/>
  <c r="FR38" i="7"/>
  <c r="FR77" i="7"/>
  <c r="FR36" i="7"/>
  <c r="FR44" i="7"/>
  <c r="FR73" i="7"/>
  <c r="FR23" i="7"/>
  <c r="FR31" i="7"/>
  <c r="FR62" i="7"/>
  <c r="FR57" i="7"/>
  <c r="FR20" i="7"/>
  <c r="FR15" i="7"/>
  <c r="FR74" i="7"/>
  <c r="FR49" i="7"/>
  <c r="FR35" i="7"/>
  <c r="FQ79" i="7"/>
  <c r="FR79" i="7"/>
  <c r="FR46" i="7"/>
  <c r="FR68" i="7"/>
  <c r="FR19" i="7"/>
  <c r="FR29" i="7"/>
  <c r="FR58" i="7"/>
  <c r="FR48" i="7"/>
  <c r="FR28" i="7"/>
  <c r="FR75" i="7"/>
  <c r="FR53" i="7"/>
  <c r="FR47" i="7"/>
  <c r="FR42" i="7"/>
  <c r="FR59" i="7"/>
  <c r="FR56" i="7"/>
  <c r="FR51" i="7"/>
  <c r="FR39" i="7"/>
  <c r="FR76" i="7"/>
  <c r="FR72" i="7"/>
  <c r="FR26" i="7"/>
  <c r="FR34" i="7"/>
  <c r="FR69" i="7"/>
  <c r="FR54" i="7"/>
  <c r="FR27" i="7"/>
  <c r="FR18" i="7"/>
  <c r="FR78" i="7"/>
  <c r="FR55" i="7"/>
  <c r="FR25" i="7"/>
  <c r="FR17" i="7"/>
  <c r="FR71" i="7"/>
  <c r="FR70" i="7"/>
  <c r="FR43" i="7"/>
  <c r="FR40" i="7"/>
  <c r="FR64" i="7"/>
  <c r="CP129" i="7"/>
  <c r="CV128" i="7"/>
  <c r="CV101" i="7" s="1"/>
  <c r="AX46" i="5"/>
  <c r="BE46" i="5"/>
  <c r="BL46" i="5" s="1"/>
  <c r="AW55" i="5"/>
  <c r="BD55" i="5"/>
  <c r="BK55" i="5" s="1"/>
  <c r="AX3" i="5"/>
  <c r="BE3" i="5"/>
  <c r="AY13" i="5"/>
  <c r="BF13" i="5"/>
  <c r="AY4" i="5"/>
  <c r="BF4" i="5"/>
  <c r="AY64" i="5"/>
  <c r="BF64" i="5"/>
  <c r="BM64" i="5" s="1"/>
  <c r="AW56" i="5"/>
  <c r="BD56" i="5"/>
  <c r="BK56" i="5" s="1"/>
  <c r="AY17" i="5"/>
  <c r="BF17" i="5"/>
  <c r="AW15" i="5"/>
  <c r="BD15" i="5"/>
  <c r="AY56" i="5"/>
  <c r="BF56" i="5"/>
  <c r="BM56" i="5" s="1"/>
  <c r="AW52" i="5"/>
  <c r="BD52" i="5"/>
  <c r="BK52" i="5" s="1"/>
  <c r="AW48" i="5"/>
  <c r="BD48" i="5"/>
  <c r="BK48" i="5" s="1"/>
  <c r="AX24" i="5"/>
  <c r="BE24" i="5"/>
  <c r="AX49" i="5"/>
  <c r="BE49" i="5"/>
  <c r="BL49" i="5" s="1"/>
  <c r="AX64" i="5"/>
  <c r="BE64" i="5"/>
  <c r="BL64" i="5" s="1"/>
  <c r="AX53" i="5"/>
  <c r="BE53" i="5"/>
  <c r="BL53" i="5" s="1"/>
  <c r="AW66" i="5"/>
  <c r="BD66" i="5"/>
  <c r="BK66" i="5" s="1"/>
  <c r="AY41" i="5"/>
  <c r="BF41" i="5"/>
  <c r="BM41" i="5" s="1"/>
  <c r="AW50" i="5"/>
  <c r="BD50" i="5"/>
  <c r="BK50" i="5" s="1"/>
  <c r="AY51" i="5"/>
  <c r="BF51" i="5"/>
  <c r="BM51" i="5" s="1"/>
  <c r="AY48" i="5"/>
  <c r="BF48" i="5"/>
  <c r="BM48" i="5" s="1"/>
  <c r="AX38" i="5"/>
  <c r="BE38" i="5"/>
  <c r="BL38" i="5" s="1"/>
  <c r="AX5" i="5"/>
  <c r="BE5" i="5"/>
  <c r="AY36" i="5"/>
  <c r="BF36" i="5"/>
  <c r="BM36" i="5" s="1"/>
  <c r="AX8" i="5"/>
  <c r="BE8" i="5"/>
  <c r="AX65" i="5"/>
  <c r="BE65" i="5"/>
  <c r="BL65" i="5" s="1"/>
  <c r="AY16" i="5"/>
  <c r="BF16" i="5"/>
  <c r="AX9" i="5"/>
  <c r="BE9" i="5"/>
  <c r="AX62" i="5"/>
  <c r="BE62" i="5"/>
  <c r="BL62" i="5" s="1"/>
  <c r="AW21" i="5"/>
  <c r="BD21" i="5"/>
  <c r="AY5" i="5"/>
  <c r="BF5" i="5"/>
  <c r="AX19" i="5"/>
  <c r="BE19" i="5"/>
  <c r="AX28" i="5"/>
  <c r="BE28" i="5"/>
  <c r="BL28" i="5" s="1"/>
  <c r="AW62" i="5"/>
  <c r="BD62" i="5"/>
  <c r="BK62" i="5" s="1"/>
  <c r="AY58" i="5"/>
  <c r="BF58" i="5"/>
  <c r="BM58" i="5" s="1"/>
  <c r="AY54" i="5"/>
  <c r="BF54" i="5"/>
  <c r="BM54" i="5" s="1"/>
  <c r="AX14" i="5"/>
  <c r="BE14" i="5"/>
  <c r="AY25" i="5"/>
  <c r="BF25" i="5"/>
  <c r="AX27" i="5"/>
  <c r="BE27" i="5"/>
  <c r="BL27" i="5" s="1"/>
  <c r="AW68" i="5"/>
  <c r="BD68" i="5"/>
  <c r="BK68" i="5" s="1"/>
  <c r="AX50" i="5"/>
  <c r="BE50" i="5"/>
  <c r="BL50" i="5" s="1"/>
  <c r="AY42" i="5"/>
  <c r="BF42" i="5"/>
  <c r="BM42" i="5" s="1"/>
  <c r="AW27" i="5"/>
  <c r="BD27" i="5"/>
  <c r="BK27" i="5" s="1"/>
  <c r="AW16" i="5"/>
  <c r="BD16" i="5"/>
  <c r="AW26" i="5"/>
  <c r="BD26" i="5"/>
  <c r="AY32" i="5"/>
  <c r="BF32" i="5"/>
  <c r="BM32" i="5" s="1"/>
  <c r="AX54" i="5"/>
  <c r="BE54" i="5"/>
  <c r="BL54" i="5" s="1"/>
  <c r="AX10" i="5"/>
  <c r="BE10" i="5"/>
  <c r="AX42" i="5"/>
  <c r="BE42" i="5"/>
  <c r="BL42" i="5" s="1"/>
  <c r="AY21" i="5"/>
  <c r="BF21" i="5"/>
  <c r="AW65" i="5"/>
  <c r="BD65" i="5"/>
  <c r="BK65" i="5" s="1"/>
  <c r="AX55" i="5"/>
  <c r="BE55" i="5"/>
  <c r="BL55" i="5" s="1"/>
  <c r="AY43" i="5"/>
  <c r="BF43" i="5"/>
  <c r="BM43" i="5" s="1"/>
  <c r="AW53" i="5"/>
  <c r="BD53" i="5"/>
  <c r="BK53" i="5" s="1"/>
  <c r="AY33" i="5"/>
  <c r="BF33" i="5"/>
  <c r="BM33" i="5" s="1"/>
  <c r="AW47" i="5"/>
  <c r="BD47" i="5"/>
  <c r="BK47" i="5" s="1"/>
  <c r="AX30" i="5"/>
  <c r="BE30" i="5"/>
  <c r="BL30" i="5" s="1"/>
  <c r="AY3" i="5"/>
  <c r="BF3" i="5"/>
  <c r="AX52" i="5"/>
  <c r="BE52" i="5"/>
  <c r="BL52" i="5" s="1"/>
  <c r="AX57" i="5"/>
  <c r="BE57" i="5"/>
  <c r="BL57" i="5" s="1"/>
  <c r="AY61" i="5"/>
  <c r="BF61" i="5"/>
  <c r="BM61" i="5" s="1"/>
  <c r="AX18" i="5"/>
  <c r="BE18" i="5"/>
  <c r="AX16" i="5"/>
  <c r="BE16" i="5"/>
  <c r="AW58" i="5"/>
  <c r="BD58" i="5"/>
  <c r="BK58" i="5" s="1"/>
  <c r="AX21" i="5"/>
  <c r="BE21" i="5"/>
  <c r="AX63" i="5"/>
  <c r="BE63" i="5"/>
  <c r="BL63" i="5" s="1"/>
  <c r="AX47" i="5"/>
  <c r="BE47" i="5"/>
  <c r="BL47" i="5" s="1"/>
  <c r="AW32" i="5"/>
  <c r="BD32" i="5"/>
  <c r="BK32" i="5" s="1"/>
  <c r="AY8" i="5"/>
  <c r="BF8" i="5"/>
  <c r="AX45" i="5"/>
  <c r="BE45" i="5"/>
  <c r="BL45" i="5" s="1"/>
  <c r="AX60" i="5"/>
  <c r="BE60" i="5"/>
  <c r="BL60" i="5" s="1"/>
  <c r="AW41" i="5"/>
  <c r="BD41" i="5"/>
  <c r="BK41" i="5" s="1"/>
  <c r="AX39" i="5"/>
  <c r="BE39" i="5"/>
  <c r="BL39" i="5" s="1"/>
  <c r="AX13" i="5"/>
  <c r="BE13" i="5"/>
  <c r="AX32" i="5"/>
  <c r="BE32" i="5"/>
  <c r="BL32" i="5" s="1"/>
  <c r="AX11" i="5"/>
  <c r="BE11" i="5"/>
  <c r="AY66" i="5"/>
  <c r="BF66" i="5"/>
  <c r="BM66" i="5" s="1"/>
  <c r="AW14" i="5"/>
  <c r="BD14" i="5"/>
  <c r="AW63" i="5"/>
  <c r="BD63" i="5"/>
  <c r="BK63" i="5" s="1"/>
  <c r="AY68" i="5"/>
  <c r="BF68" i="5"/>
  <c r="BM68" i="5" s="1"/>
  <c r="AX66" i="5"/>
  <c r="BE66" i="5"/>
  <c r="BL66" i="5" s="1"/>
  <c r="AX40" i="5"/>
  <c r="BE40" i="5"/>
  <c r="BL40" i="5" s="1"/>
  <c r="AX36" i="5"/>
  <c r="BE36" i="5"/>
  <c r="BL36" i="5" s="1"/>
  <c r="AY34" i="5"/>
  <c r="BF34" i="5"/>
  <c r="BM34" i="5" s="1"/>
  <c r="AY57" i="5"/>
  <c r="BF57" i="5"/>
  <c r="BM57" i="5" s="1"/>
  <c r="AW7" i="5"/>
  <c r="BD7" i="5"/>
  <c r="AW4" i="5"/>
  <c r="BD4" i="5"/>
  <c r="AX43" i="5"/>
  <c r="BE43" i="5"/>
  <c r="BL43" i="5" s="1"/>
  <c r="AX67" i="5"/>
  <c r="BE67" i="5"/>
  <c r="BL67" i="5" s="1"/>
  <c r="AW60" i="5"/>
  <c r="BD60" i="5"/>
  <c r="BK60" i="5" s="1"/>
  <c r="AX59" i="5"/>
  <c r="BE59" i="5"/>
  <c r="BL59" i="5" s="1"/>
  <c r="AY27" i="5"/>
  <c r="BF27" i="5"/>
  <c r="BM27" i="5" s="1"/>
  <c r="AX17" i="5"/>
  <c r="BE17" i="5"/>
  <c r="AY50" i="5"/>
  <c r="BF50" i="5"/>
  <c r="BM50" i="5" s="1"/>
  <c r="AY31" i="5"/>
  <c r="BF31" i="5"/>
  <c r="BM31" i="5" s="1"/>
  <c r="AY23" i="5"/>
  <c r="BF23" i="5"/>
  <c r="AY47" i="5"/>
  <c r="BF47" i="5"/>
  <c r="BM47" i="5" s="1"/>
  <c r="AW29" i="5"/>
  <c r="BD29" i="5"/>
  <c r="BK29" i="5" s="1"/>
  <c r="AY40" i="5"/>
  <c r="BF40" i="5"/>
  <c r="BM40" i="5" s="1"/>
  <c r="AX26" i="5"/>
  <c r="BE26" i="5"/>
  <c r="AX4" i="5"/>
  <c r="BE4" i="5"/>
  <c r="AW17" i="5"/>
  <c r="BD17" i="5"/>
  <c r="AW43" i="5"/>
  <c r="BD43" i="5"/>
  <c r="BK43" i="5" s="1"/>
  <c r="AY37" i="5"/>
  <c r="BF37" i="5"/>
  <c r="BM37" i="5" s="1"/>
  <c r="AW49" i="5"/>
  <c r="BD49" i="5"/>
  <c r="BK49" i="5" s="1"/>
  <c r="AW34" i="5"/>
  <c r="BD34" i="5"/>
  <c r="BK34" i="5" s="1"/>
  <c r="AY26" i="5"/>
  <c r="BF26" i="5"/>
  <c r="AY24" i="5"/>
  <c r="BF24" i="5"/>
  <c r="AY59" i="5"/>
  <c r="BF59" i="5"/>
  <c r="BM59" i="5" s="1"/>
  <c r="AY22" i="5"/>
  <c r="BF22" i="5"/>
  <c r="AX35" i="5"/>
  <c r="BE35" i="5"/>
  <c r="BL35" i="5" s="1"/>
  <c r="AW11" i="5"/>
  <c r="BD11" i="5"/>
  <c r="AY10" i="5"/>
  <c r="BF10" i="5"/>
  <c r="AW44" i="5"/>
  <c r="BD44" i="5"/>
  <c r="BK44" i="5" s="1"/>
  <c r="AX41" i="5"/>
  <c r="BE41" i="5"/>
  <c r="BL41" i="5" s="1"/>
  <c r="AX20" i="5"/>
  <c r="BE20" i="5"/>
  <c r="AW18" i="5"/>
  <c r="BD18" i="5"/>
  <c r="AX33" i="5"/>
  <c r="BE33" i="5"/>
  <c r="BL33" i="5" s="1"/>
  <c r="AY46" i="5"/>
  <c r="BF46" i="5"/>
  <c r="BM46" i="5" s="1"/>
  <c r="AY35" i="5"/>
  <c r="BF35" i="5"/>
  <c r="BM35" i="5" s="1"/>
  <c r="AY28" i="5"/>
  <c r="BF28" i="5"/>
  <c r="BM28" i="5" s="1"/>
  <c r="AX29" i="5"/>
  <c r="BE29" i="5"/>
  <c r="BL29" i="5" s="1"/>
  <c r="AY52" i="5"/>
  <c r="BF52" i="5"/>
  <c r="BM52" i="5" s="1"/>
  <c r="AW61" i="5"/>
  <c r="BD61" i="5"/>
  <c r="BK61" i="5" s="1"/>
  <c r="AX25" i="5"/>
  <c r="BE25" i="5"/>
  <c r="AW19" i="5"/>
  <c r="BD19" i="5"/>
  <c r="AX68" i="5"/>
  <c r="BE68" i="5"/>
  <c r="BL68" i="5" s="1"/>
  <c r="AY9" i="5"/>
  <c r="BF9" i="5"/>
  <c r="AW30" i="5"/>
  <c r="BD30" i="5"/>
  <c r="BK30" i="5" s="1"/>
  <c r="AY65" i="5"/>
  <c r="BF65" i="5"/>
  <c r="BM65" i="5" s="1"/>
  <c r="AW13" i="5"/>
  <c r="BD13" i="5"/>
  <c r="AW57" i="5"/>
  <c r="BD57" i="5"/>
  <c r="BK57" i="5" s="1"/>
  <c r="AW40" i="5"/>
  <c r="BD40" i="5"/>
  <c r="BK40" i="5" s="1"/>
  <c r="AW10" i="5"/>
  <c r="BD10" i="5"/>
  <c r="AW28" i="5"/>
  <c r="BD28" i="5"/>
  <c r="BK28" i="5" s="1"/>
  <c r="AY63" i="5"/>
  <c r="BF63" i="5"/>
  <c r="BM63" i="5" s="1"/>
  <c r="AY14" i="5"/>
  <c r="BF14" i="5"/>
  <c r="AY45" i="5"/>
  <c r="BF45" i="5"/>
  <c r="BM45" i="5" s="1"/>
  <c r="AW5" i="5"/>
  <c r="BD5" i="5"/>
  <c r="AX31" i="5"/>
  <c r="BE31" i="5"/>
  <c r="BL31" i="5" s="1"/>
  <c r="AX15" i="5"/>
  <c r="BE15" i="5"/>
  <c r="AW31" i="5"/>
  <c r="BD31" i="5"/>
  <c r="BK31" i="5" s="1"/>
  <c r="AW67" i="5"/>
  <c r="BD67" i="5"/>
  <c r="BK67" i="5" s="1"/>
  <c r="AY30" i="5"/>
  <c r="BF30" i="5"/>
  <c r="BM30" i="5" s="1"/>
  <c r="AW45" i="5"/>
  <c r="BD45" i="5"/>
  <c r="BK45" i="5" s="1"/>
  <c r="AX37" i="5"/>
  <c r="BE37" i="5"/>
  <c r="BL37" i="5" s="1"/>
  <c r="AX44" i="5"/>
  <c r="BE44" i="5"/>
  <c r="BL44" i="5" s="1"/>
  <c r="AY20" i="5"/>
  <c r="BF20" i="5"/>
  <c r="AW36" i="5"/>
  <c r="BD36" i="5"/>
  <c r="BK36" i="5" s="1"/>
  <c r="AX61" i="5"/>
  <c r="BE61" i="5"/>
  <c r="BL61" i="5" s="1"/>
  <c r="AY62" i="5"/>
  <c r="BF62" i="5"/>
  <c r="BM62" i="5" s="1"/>
  <c r="AX7" i="5"/>
  <c r="BE7" i="5"/>
  <c r="AW35" i="5"/>
  <c r="BD35" i="5"/>
  <c r="BK35" i="5" s="1"/>
  <c r="AW42" i="5"/>
  <c r="BD42" i="5"/>
  <c r="BK42" i="5" s="1"/>
  <c r="AW51" i="5"/>
  <c r="BD51" i="5"/>
  <c r="BK51" i="5" s="1"/>
  <c r="AW37" i="5"/>
  <c r="BD37" i="5"/>
  <c r="BK37" i="5" s="1"/>
  <c r="AW25" i="5"/>
  <c r="BD25" i="5"/>
  <c r="AX23" i="5"/>
  <c r="BE23" i="5"/>
  <c r="AW12" i="5"/>
  <c r="BD12" i="5"/>
  <c r="AX51" i="5"/>
  <c r="BE51" i="5"/>
  <c r="BL51" i="5" s="1"/>
  <c r="AW33" i="5"/>
  <c r="BD33" i="5"/>
  <c r="BK33" i="5" s="1"/>
  <c r="AY15" i="5"/>
  <c r="BF15" i="5"/>
  <c r="AY39" i="5"/>
  <c r="BF39" i="5"/>
  <c r="BM39" i="5" s="1"/>
  <c r="AW46" i="5"/>
  <c r="BD46" i="5"/>
  <c r="BK46" i="5" s="1"/>
  <c r="AX48" i="5"/>
  <c r="BE48" i="5"/>
  <c r="BL48" i="5" s="1"/>
  <c r="AX58" i="5"/>
  <c r="BE58" i="5"/>
  <c r="BL58" i="5" s="1"/>
  <c r="AW8" i="5"/>
  <c r="BD8" i="5"/>
  <c r="AY49" i="5"/>
  <c r="BF49" i="5"/>
  <c r="BM49" i="5" s="1"/>
  <c r="AY44" i="5"/>
  <c r="BF44" i="5"/>
  <c r="BM44" i="5" s="1"/>
  <c r="AY7" i="5"/>
  <c r="BF7" i="5"/>
  <c r="AW20" i="5"/>
  <c r="BD20" i="5"/>
  <c r="AW23" i="5"/>
  <c r="BD23" i="5"/>
  <c r="AY11" i="5"/>
  <c r="BF11" i="5"/>
  <c r="AY19" i="5"/>
  <c r="BF19" i="5"/>
  <c r="AY18" i="5"/>
  <c r="BF18" i="5"/>
  <c r="AY55" i="5"/>
  <c r="BF55" i="5"/>
  <c r="BM55" i="5" s="1"/>
  <c r="AW59" i="5"/>
  <c r="BD59" i="5"/>
  <c r="BK59" i="5" s="1"/>
  <c r="AX56" i="5"/>
  <c r="BE56" i="5"/>
  <c r="BL56" i="5" s="1"/>
  <c r="AX12" i="5"/>
  <c r="BE12" i="5"/>
  <c r="AX34" i="5"/>
  <c r="BE34" i="5"/>
  <c r="BL34" i="5" s="1"/>
  <c r="AY12" i="5"/>
  <c r="BF12" i="5"/>
  <c r="AY29" i="5"/>
  <c r="BF29" i="5"/>
  <c r="BM29" i="5" s="1"/>
  <c r="AY67" i="5"/>
  <c r="BF67" i="5"/>
  <c r="BM67" i="5" s="1"/>
  <c r="AY53" i="5"/>
  <c r="BF53" i="5"/>
  <c r="BM53" i="5" s="1"/>
  <c r="AR80" i="7"/>
  <c r="AR91" i="7"/>
  <c r="AR92" i="7"/>
  <c r="AR100" i="7"/>
  <c r="AR84" i="7"/>
  <c r="AR87" i="7"/>
  <c r="AR93" i="7"/>
  <c r="AR94" i="7"/>
  <c r="AR95" i="7"/>
  <c r="AR81" i="7"/>
  <c r="AR96" i="7"/>
  <c r="AR97" i="7"/>
  <c r="AR98" i="7"/>
  <c r="AR99" i="7"/>
  <c r="AR90" i="7"/>
  <c r="AR101" i="7"/>
  <c r="AR82" i="7"/>
  <c r="AR85" i="7"/>
  <c r="AR102" i="7"/>
  <c r="AR103" i="7"/>
  <c r="AR86" i="7"/>
  <c r="AR88" i="7"/>
  <c r="AR83" i="7"/>
  <c r="AR89" i="7"/>
  <c r="FK98" i="7"/>
  <c r="FK90" i="7"/>
  <c r="FK87" i="7"/>
  <c r="GL87" i="7" s="1"/>
  <c r="FK83" i="7"/>
  <c r="GL83" i="7" s="1"/>
  <c r="FK97" i="7"/>
  <c r="FK85" i="7"/>
  <c r="GL85" i="7" s="1"/>
  <c r="FK81" i="7"/>
  <c r="GL81" i="7" s="1"/>
  <c r="FK92" i="7"/>
  <c r="FK91" i="7"/>
  <c r="FK88" i="7"/>
  <c r="GL88" i="7" s="1"/>
  <c r="FK82" i="7"/>
  <c r="GL82" i="7" s="1"/>
  <c r="FK96" i="7"/>
  <c r="FK94" i="7"/>
  <c r="FK95" i="7"/>
  <c r="FK93" i="7"/>
  <c r="FK86" i="7"/>
  <c r="GL86" i="7" s="1"/>
  <c r="FK84" i="7"/>
  <c r="GL84" i="7" s="1"/>
  <c r="FK89" i="7"/>
  <c r="FK103" i="7"/>
  <c r="FK102" i="7"/>
  <c r="FK101" i="7"/>
  <c r="FK100" i="7"/>
  <c r="FK99" i="7"/>
  <c r="AR104" i="7"/>
  <c r="EJ42" i="7"/>
  <c r="EM42" i="7" s="1"/>
  <c r="EL44" i="7"/>
  <c r="EI41" i="7"/>
  <c r="EM41" i="7" s="1"/>
  <c r="EK43" i="7"/>
  <c r="EM43" i="7" s="1"/>
  <c r="FD16" i="7"/>
  <c r="FL16" i="7" s="1"/>
  <c r="CG49" i="7"/>
  <c r="CF48" i="7"/>
  <c r="CD46" i="7"/>
  <c r="CE47" i="7"/>
  <c r="CC45" i="7"/>
  <c r="CH45" i="7" s="1"/>
  <c r="CR41" i="7"/>
  <c r="FD15" i="7"/>
  <c r="CG50" i="7"/>
  <c r="CE48" i="7"/>
  <c r="CD47" i="7"/>
  <c r="CF49" i="7"/>
  <c r="CR42" i="7"/>
  <c r="CC46" i="7"/>
  <c r="FF16" i="7"/>
  <c r="CR43" i="7"/>
  <c r="CD48" i="7"/>
  <c r="CC47" i="7"/>
  <c r="CG51" i="7"/>
  <c r="CF50" i="7"/>
  <c r="CE49" i="7"/>
  <c r="CE50" i="7"/>
  <c r="CD49" i="7"/>
  <c r="CC48" i="7"/>
  <c r="CF51" i="7"/>
  <c r="CG52" i="7"/>
  <c r="CX25" i="7"/>
  <c r="DA25" i="7" s="1"/>
  <c r="CQ25" i="7" s="1"/>
  <c r="CR25" i="7" s="1"/>
  <c r="CX22" i="7"/>
  <c r="CX23" i="7"/>
  <c r="DA23" i="7" s="1"/>
  <c r="CQ23" i="7" s="1"/>
  <c r="CR23" i="7" s="1"/>
  <c r="CX24" i="7"/>
  <c r="CX66" i="7"/>
  <c r="CX20" i="7"/>
  <c r="CX29" i="7"/>
  <c r="CX26" i="7"/>
  <c r="CX27" i="7"/>
  <c r="DA27" i="7" s="1"/>
  <c r="CQ27" i="7" s="1"/>
  <c r="CR27" i="7" s="1"/>
  <c r="CX28" i="7"/>
  <c r="CX33" i="7"/>
  <c r="CX30" i="7"/>
  <c r="CX31" i="7"/>
  <c r="CX32" i="7"/>
  <c r="CX37" i="7"/>
  <c r="DA37" i="7" s="1"/>
  <c r="CQ37" i="7" s="1"/>
  <c r="CR37" i="7" s="1"/>
  <c r="CX34" i="7"/>
  <c r="CX35" i="7"/>
  <c r="CX36" i="7"/>
  <c r="CX74" i="7"/>
  <c r="CX19" i="7"/>
  <c r="CX41" i="7"/>
  <c r="CX38" i="7"/>
  <c r="CX39" i="7"/>
  <c r="CX40" i="7"/>
  <c r="CX58" i="7"/>
  <c r="CX57" i="7"/>
  <c r="CX53" i="7"/>
  <c r="CX49" i="7"/>
  <c r="CX45" i="7"/>
  <c r="AR14" i="7"/>
  <c r="CX78" i="7"/>
  <c r="CX73" i="7"/>
  <c r="CX69" i="7"/>
  <c r="DA69" i="7" s="1"/>
  <c r="CX65" i="7"/>
  <c r="CX61" i="7"/>
  <c r="DA61" i="7" s="1"/>
  <c r="CX70" i="7"/>
  <c r="CX17" i="7"/>
  <c r="CX18" i="7"/>
  <c r="DA18" i="7" s="1"/>
  <c r="CQ18" i="7" s="1"/>
  <c r="CR18" i="7" s="1"/>
  <c r="CX52" i="7"/>
  <c r="CX48" i="7"/>
  <c r="CX44" i="7"/>
  <c r="CX77" i="7"/>
  <c r="CX68" i="7"/>
  <c r="CX64" i="7"/>
  <c r="CX60" i="7"/>
  <c r="CX56" i="7"/>
  <c r="CX47" i="7"/>
  <c r="CX43" i="7"/>
  <c r="CX76" i="7"/>
  <c r="CX72" i="7"/>
  <c r="CX63" i="7"/>
  <c r="CX59" i="7"/>
  <c r="CX55" i="7"/>
  <c r="DA55" i="7" s="1"/>
  <c r="CX51" i="7"/>
  <c r="CX15" i="7"/>
  <c r="DA15" i="7" s="1"/>
  <c r="CQ15" i="7" s="1"/>
  <c r="CR15" i="7" s="1"/>
  <c r="CX46" i="7"/>
  <c r="CX79" i="7"/>
  <c r="CX75" i="7"/>
  <c r="CX71" i="7"/>
  <c r="DA71" i="7" s="1"/>
  <c r="CX67" i="7"/>
  <c r="DA67" i="7" s="1"/>
  <c r="CX16" i="7"/>
  <c r="CX62" i="7"/>
  <c r="DA62" i="7" s="1"/>
  <c r="CX42" i="7"/>
  <c r="DA42" i="7" s="1"/>
  <c r="CX54" i="7"/>
  <c r="CX50" i="7"/>
  <c r="CX21" i="7"/>
  <c r="AU31" i="7"/>
  <c r="GZ31" i="7" s="1"/>
  <c r="AU44" i="7"/>
  <c r="GZ44" i="7" s="1"/>
  <c r="AU26" i="7"/>
  <c r="GZ26" i="7" s="1"/>
  <c r="AU68" i="7"/>
  <c r="GZ68" i="7" s="1"/>
  <c r="AU56" i="7"/>
  <c r="GZ56" i="7" s="1"/>
  <c r="AU79" i="7"/>
  <c r="GZ79" i="7" s="1"/>
  <c r="AU28" i="7"/>
  <c r="GZ28" i="7" s="1"/>
  <c r="AU54" i="7"/>
  <c r="GZ54" i="7" s="1"/>
  <c r="AU29" i="7"/>
  <c r="GZ29" i="7" s="1"/>
  <c r="AU55" i="7"/>
  <c r="GZ55" i="7" s="1"/>
  <c r="AU50" i="7"/>
  <c r="GZ50" i="7" s="1"/>
  <c r="GZ57" i="7"/>
  <c r="AU52" i="7"/>
  <c r="GZ52" i="7" s="1"/>
  <c r="AU76" i="7"/>
  <c r="GZ76" i="7" s="1"/>
  <c r="AU41" i="7"/>
  <c r="GZ41" i="7" s="1"/>
  <c r="AU51" i="7"/>
  <c r="GZ51" i="7" s="1"/>
  <c r="AU62" i="7"/>
  <c r="GZ62" i="7" s="1"/>
  <c r="AU69" i="7"/>
  <c r="GZ69" i="7" s="1"/>
  <c r="AU15" i="7"/>
  <c r="GZ15" i="7" s="1"/>
  <c r="AU21" i="7"/>
  <c r="GZ21" i="7" s="1"/>
  <c r="AU42" i="7"/>
  <c r="GZ42" i="7" s="1"/>
  <c r="AU17" i="7"/>
  <c r="GZ17" i="7" s="1"/>
  <c r="AU65" i="7"/>
  <c r="GZ65" i="7" s="1"/>
  <c r="AU47" i="7"/>
  <c r="GZ47" i="7" s="1"/>
  <c r="AU64" i="7"/>
  <c r="GZ64" i="7" s="1"/>
  <c r="AU70" i="7"/>
  <c r="GZ70" i="7" s="1"/>
  <c r="AU27" i="7"/>
  <c r="GZ27" i="7" s="1"/>
  <c r="AU66" i="7"/>
  <c r="GZ66" i="7" s="1"/>
  <c r="AU40" i="7"/>
  <c r="GZ40" i="7" s="1"/>
  <c r="AU24" i="7"/>
  <c r="GZ24" i="7" s="1"/>
  <c r="AU71" i="7"/>
  <c r="GZ71" i="7" s="1"/>
  <c r="AU45" i="7"/>
  <c r="GZ45" i="7" s="1"/>
  <c r="AU67" i="7"/>
  <c r="GZ67" i="7" s="1"/>
  <c r="AU73" i="7"/>
  <c r="GZ73" i="7" s="1"/>
  <c r="AU60" i="7"/>
  <c r="GZ60" i="7" s="1"/>
  <c r="AU74" i="7"/>
  <c r="GZ74" i="7" s="1"/>
  <c r="AU63" i="7"/>
  <c r="GZ63" i="7" s="1"/>
  <c r="AU75" i="7"/>
  <c r="AU78" i="7"/>
  <c r="GZ78" i="7" s="1"/>
  <c r="AU48" i="7"/>
  <c r="GZ48" i="7" s="1"/>
  <c r="AU22" i="7"/>
  <c r="GZ22" i="7" s="1"/>
  <c r="AU25" i="7"/>
  <c r="GZ25" i="7" s="1"/>
  <c r="AU59" i="7"/>
  <c r="GZ59" i="7" s="1"/>
  <c r="AU43" i="7"/>
  <c r="GZ43" i="7" s="1"/>
  <c r="AU58" i="7"/>
  <c r="GZ58" i="7" s="1"/>
  <c r="AU18" i="7"/>
  <c r="GZ18" i="7" s="1"/>
  <c r="AU37" i="7"/>
  <c r="GZ37" i="7" s="1"/>
  <c r="AU20" i="7"/>
  <c r="GZ20" i="7" s="1"/>
  <c r="AU19" i="7"/>
  <c r="GZ19" i="7" s="1"/>
  <c r="AU30" i="7"/>
  <c r="GZ30" i="7" s="1"/>
  <c r="AU16" i="7"/>
  <c r="GZ16" i="7" s="1"/>
  <c r="AU61" i="7"/>
  <c r="GZ61" i="7" s="1"/>
  <c r="AU23" i="7"/>
  <c r="GZ23" i="7" s="1"/>
  <c r="AU33" i="7"/>
  <c r="GZ33" i="7" s="1"/>
  <c r="AU72" i="7"/>
  <c r="GZ72" i="7" s="1"/>
  <c r="AU36" i="7"/>
  <c r="GZ36" i="7" s="1"/>
  <c r="AU39" i="7"/>
  <c r="GZ39" i="7" s="1"/>
  <c r="AU38" i="7"/>
  <c r="GZ38" i="7" s="1"/>
  <c r="AU53" i="7"/>
  <c r="GZ53" i="7" s="1"/>
  <c r="AU32" i="7"/>
  <c r="GZ32" i="7" s="1"/>
  <c r="AU35" i="7"/>
  <c r="GZ35" i="7" s="1"/>
  <c r="AU46" i="7"/>
  <c r="GZ46" i="7" s="1"/>
  <c r="AU34" i="7"/>
  <c r="GZ34" i="7" s="1"/>
  <c r="AU49" i="7"/>
  <c r="GZ49" i="7" s="1"/>
  <c r="AU77" i="7"/>
  <c r="GZ77" i="7" s="1"/>
  <c r="CQ62" i="5"/>
  <c r="CS62" i="5" s="1"/>
  <c r="CM38" i="5"/>
  <c r="AY38" i="5"/>
  <c r="CQ53" i="5"/>
  <c r="CS53" i="5" s="1"/>
  <c r="CQ51" i="5"/>
  <c r="CS51" i="5" s="1"/>
  <c r="CQ16" i="5"/>
  <c r="CS16" i="5" s="1"/>
  <c r="CQ13" i="5"/>
  <c r="CQ55" i="5"/>
  <c r="CQ28" i="5"/>
  <c r="CS28" i="5" s="1"/>
  <c r="CY32" i="5"/>
  <c r="CY40" i="5"/>
  <c r="CY20" i="5"/>
  <c r="CY12" i="5"/>
  <c r="CY24" i="5"/>
  <c r="CY39" i="5"/>
  <c r="CY38" i="5"/>
  <c r="CQ21" i="5"/>
  <c r="CS21" i="5" s="1"/>
  <c r="CQ10" i="5"/>
  <c r="CS10" i="5" s="1"/>
  <c r="CY26" i="5"/>
  <c r="CY6" i="5"/>
  <c r="CY18" i="5"/>
  <c r="CY7" i="5"/>
  <c r="CY5" i="5"/>
  <c r="CY15" i="5"/>
  <c r="CY22" i="5"/>
  <c r="CY8" i="5"/>
  <c r="CY21" i="5"/>
  <c r="CY9" i="5"/>
  <c r="CY3" i="5"/>
  <c r="CY27" i="5"/>
  <c r="CY28" i="5"/>
  <c r="CY4" i="5"/>
  <c r="CY11" i="5"/>
  <c r="CY17" i="5"/>
  <c r="CY33" i="5"/>
  <c r="CY42" i="5"/>
  <c r="CY31" i="5"/>
  <c r="CY13" i="5"/>
  <c r="CY10" i="5"/>
  <c r="CY34" i="5"/>
  <c r="CQ42" i="5"/>
  <c r="CS42" i="5" s="1"/>
  <c r="CQ36" i="5"/>
  <c r="CS36" i="5" s="1"/>
  <c r="CQ39" i="5"/>
  <c r="CS39" i="5" s="1"/>
  <c r="CQ25" i="5"/>
  <c r="CS25" i="5" s="1"/>
  <c r="CY30" i="5"/>
  <c r="CY14" i="5"/>
  <c r="CY43" i="5"/>
  <c r="BY49" i="5"/>
  <c r="CX48" i="5"/>
  <c r="CZ48" i="5" s="1"/>
  <c r="CY41" i="5"/>
  <c r="CQ67" i="5"/>
  <c r="CS67" i="5" s="1"/>
  <c r="CY29" i="5"/>
  <c r="CY23" i="5"/>
  <c r="CY36" i="5"/>
  <c r="CY16" i="5"/>
  <c r="CY25" i="5"/>
  <c r="CY35" i="5"/>
  <c r="CY19" i="5"/>
  <c r="CY37" i="5"/>
  <c r="CQ4" i="5"/>
  <c r="CS4" i="5" s="1"/>
  <c r="CQ35" i="5"/>
  <c r="CS35" i="5" s="1"/>
  <c r="CQ27" i="5"/>
  <c r="CS27" i="5" s="1"/>
  <c r="CQ17" i="5"/>
  <c r="CS17" i="5" s="1"/>
  <c r="CQ19" i="5"/>
  <c r="CS19" i="5" s="1"/>
  <c r="CQ45" i="5"/>
  <c r="CS45" i="5" s="1"/>
  <c r="CQ47" i="5"/>
  <c r="CS47" i="5" s="1"/>
  <c r="CQ20" i="5"/>
  <c r="CQ61" i="5"/>
  <c r="CS61" i="5" s="1"/>
  <c r="CQ30" i="5"/>
  <c r="CS30" i="5" s="1"/>
  <c r="CQ57" i="5"/>
  <c r="CS57" i="5" s="1"/>
  <c r="CS13" i="5"/>
  <c r="CS55" i="5"/>
  <c r="CQ41" i="5"/>
  <c r="CQ49" i="5"/>
  <c r="CQ33" i="5"/>
  <c r="CQ37" i="5"/>
  <c r="CQ66" i="5"/>
  <c r="CS66" i="5" s="1"/>
  <c r="CQ26" i="5"/>
  <c r="CQ7" i="5"/>
  <c r="CQ65" i="5"/>
  <c r="CS65" i="5" s="1"/>
  <c r="CQ11" i="5"/>
  <c r="CQ52" i="5"/>
  <c r="CQ14" i="5"/>
  <c r="CQ23" i="5"/>
  <c r="CQ44" i="5"/>
  <c r="CQ68" i="5"/>
  <c r="CS68" i="5" s="1"/>
  <c r="CQ5" i="5"/>
  <c r="CQ50" i="5"/>
  <c r="CQ8" i="5"/>
  <c r="CQ58" i="5"/>
  <c r="CQ43" i="5"/>
  <c r="CQ9" i="5"/>
  <c r="CQ18" i="5"/>
  <c r="CQ3" i="5"/>
  <c r="CQ15" i="5"/>
  <c r="CQ48" i="5"/>
  <c r="CQ63" i="5"/>
  <c r="CS63" i="5" s="1"/>
  <c r="CQ34" i="5"/>
  <c r="CQ64" i="5"/>
  <c r="CS64" i="5" s="1"/>
  <c r="CQ46" i="5"/>
  <c r="CQ59" i="5"/>
  <c r="CQ12" i="5"/>
  <c r="CQ31" i="5"/>
  <c r="CQ40" i="5"/>
  <c r="CQ56" i="5"/>
  <c r="CQ60" i="5"/>
  <c r="CS60" i="5" s="1"/>
  <c r="CQ29" i="5"/>
  <c r="CQ32" i="5"/>
  <c r="M15" i="4"/>
  <c r="Q15" i="4" s="1"/>
  <c r="J14" i="4"/>
  <c r="CG6" i="5"/>
  <c r="CI6" i="5" s="1"/>
  <c r="AE6" i="5"/>
  <c r="CQ6" i="5" s="1"/>
  <c r="CG24" i="5"/>
  <c r="CI24" i="5" s="1"/>
  <c r="AE24" i="5"/>
  <c r="CQ24" i="5" s="1"/>
  <c r="CG54" i="5"/>
  <c r="CI54" i="5" s="1"/>
  <c r="AE54" i="5"/>
  <c r="CQ54" i="5" s="1"/>
  <c r="CG38" i="5"/>
  <c r="CI38" i="5" s="1"/>
  <c r="AE38" i="5"/>
  <c r="CQ38" i="5" s="1"/>
  <c r="CG22" i="5"/>
  <c r="CI22" i="5" s="1"/>
  <c r="AE22" i="5"/>
  <c r="CQ22" i="5" s="1"/>
  <c r="CM54" i="5"/>
  <c r="CU38" i="5"/>
  <c r="CU24" i="5"/>
  <c r="CU45" i="5"/>
  <c r="CM45" i="5"/>
  <c r="K56" i="7" s="1"/>
  <c r="CU17" i="5"/>
  <c r="CM17" i="5"/>
  <c r="K28" i="7" s="1"/>
  <c r="CM49" i="5"/>
  <c r="K60" i="7" s="1"/>
  <c r="CU49" i="5"/>
  <c r="CU33" i="5"/>
  <c r="CM33" i="5"/>
  <c r="K44" i="7" s="1"/>
  <c r="CM37" i="5"/>
  <c r="K48" i="7" s="1"/>
  <c r="CU37" i="5"/>
  <c r="CU66" i="5"/>
  <c r="CW66" i="5" s="1"/>
  <c r="CM66" i="5"/>
  <c r="CU26" i="5"/>
  <c r="CM26" i="5"/>
  <c r="K37" i="7" s="1"/>
  <c r="CU7" i="5"/>
  <c r="CM7" i="5"/>
  <c r="K18" i="7" s="1"/>
  <c r="CM11" i="5"/>
  <c r="K22" i="7" s="1"/>
  <c r="CU11" i="5"/>
  <c r="CM14" i="5"/>
  <c r="K25" i="7" s="1"/>
  <c r="CU14" i="5"/>
  <c r="CU23" i="5"/>
  <c r="CM23" i="5"/>
  <c r="K34" i="7" s="1"/>
  <c r="CM44" i="5"/>
  <c r="K55" i="7" s="1"/>
  <c r="CU44" i="5"/>
  <c r="CW44" i="5" s="1"/>
  <c r="CM68" i="5"/>
  <c r="CU68" i="5"/>
  <c r="CW68" i="5" s="1"/>
  <c r="CM52" i="5"/>
  <c r="K63" i="7" s="1"/>
  <c r="CU52" i="5"/>
  <c r="CU50" i="5"/>
  <c r="CM50" i="5"/>
  <c r="K61" i="7" s="1"/>
  <c r="CM20" i="5"/>
  <c r="K31" i="7" s="1"/>
  <c r="CU20" i="5"/>
  <c r="CU30" i="5"/>
  <c r="CM30" i="5"/>
  <c r="K41" i="7" s="1"/>
  <c r="CU28" i="5"/>
  <c r="CM28" i="5"/>
  <c r="K39" i="7" s="1"/>
  <c r="CU58" i="5"/>
  <c r="CM58" i="5"/>
  <c r="K69" i="7" s="1"/>
  <c r="CU57" i="5"/>
  <c r="CM57" i="5"/>
  <c r="K68" i="7" s="1"/>
  <c r="CM24" i="5"/>
  <c r="K35" i="7" s="1"/>
  <c r="CM19" i="5"/>
  <c r="K30" i="7" s="1"/>
  <c r="CU19" i="5"/>
  <c r="CM5" i="5"/>
  <c r="K16" i="7" s="1"/>
  <c r="CU5" i="5"/>
  <c r="CU46" i="5"/>
  <c r="CM46" i="5"/>
  <c r="K57" i="7" s="1"/>
  <c r="CM18" i="5"/>
  <c r="K29" i="7" s="1"/>
  <c r="CU18" i="5"/>
  <c r="CM15" i="5"/>
  <c r="K26" i="7" s="1"/>
  <c r="CU15" i="5"/>
  <c r="CW15" i="5" s="1"/>
  <c r="CM48" i="5"/>
  <c r="K59" i="7" s="1"/>
  <c r="CU48" i="5"/>
  <c r="CU63" i="5"/>
  <c r="CW63" i="5" s="1"/>
  <c r="CM63" i="5"/>
  <c r="CM34" i="5"/>
  <c r="K45" i="7" s="1"/>
  <c r="CU34" i="5"/>
  <c r="CW34" i="5" s="1"/>
  <c r="CU54" i="5"/>
  <c r="CU41" i="5"/>
  <c r="CW41" i="5" s="1"/>
  <c r="CM41" i="5"/>
  <c r="K52" i="7" s="1"/>
  <c r="CM21" i="5"/>
  <c r="K32" i="7" s="1"/>
  <c r="CU21" i="5"/>
  <c r="CG3" i="5"/>
  <c r="CM43" i="5"/>
  <c r="K54" i="7" s="1"/>
  <c r="CU43" i="5"/>
  <c r="CM59" i="5"/>
  <c r="K70" i="7" s="1"/>
  <c r="CU59" i="5"/>
  <c r="CW59" i="5" s="1"/>
  <c r="CM61" i="5"/>
  <c r="CU61" i="5"/>
  <c r="CW61" i="5" s="1"/>
  <c r="CM12" i="5"/>
  <c r="K23" i="7" s="1"/>
  <c r="CU12" i="5"/>
  <c r="CW12" i="5" s="1"/>
  <c r="CM27" i="5"/>
  <c r="K38" i="7" s="1"/>
  <c r="CU27" i="5"/>
  <c r="CW27" i="5" s="1"/>
  <c r="CM36" i="5"/>
  <c r="K47" i="7" s="1"/>
  <c r="CU36" i="5"/>
  <c r="CU25" i="5"/>
  <c r="CW25" i="5" s="1"/>
  <c r="CM25" i="5"/>
  <c r="K36" i="7" s="1"/>
  <c r="CM62" i="5"/>
  <c r="CU62" i="5"/>
  <c r="CW62" i="5" s="1"/>
  <c r="CU10" i="5"/>
  <c r="CM10" i="5"/>
  <c r="K21" i="7" s="1"/>
  <c r="CU65" i="5"/>
  <c r="CW65" i="5" s="1"/>
  <c r="CM65" i="5"/>
  <c r="CU8" i="5"/>
  <c r="CM8" i="5"/>
  <c r="K19" i="7" s="1"/>
  <c r="CU42" i="5"/>
  <c r="CM42" i="5"/>
  <c r="K53" i="7" s="1"/>
  <c r="CG56" i="5"/>
  <c r="CI56" i="5" s="1"/>
  <c r="CM31" i="5"/>
  <c r="K42" i="7" s="1"/>
  <c r="CU31" i="5"/>
  <c r="CU40" i="5"/>
  <c r="CM40" i="5"/>
  <c r="K51" i="7" s="1"/>
  <c r="CM67" i="5"/>
  <c r="CU67" i="5"/>
  <c r="CW67" i="5" s="1"/>
  <c r="CU56" i="5"/>
  <c r="CM56" i="5"/>
  <c r="K67" i="7" s="1"/>
  <c r="CU60" i="5"/>
  <c r="CW60" i="5" s="1"/>
  <c r="CU29" i="5"/>
  <c r="CM29" i="5"/>
  <c r="K40" i="7" s="1"/>
  <c r="CM32" i="5"/>
  <c r="K43" i="7" s="1"/>
  <c r="CU32" i="5"/>
  <c r="CM47" i="5"/>
  <c r="K58" i="7" s="1"/>
  <c r="CU47" i="5"/>
  <c r="CW47" i="5" s="1"/>
  <c r="CM35" i="5"/>
  <c r="K46" i="7" s="1"/>
  <c r="CU35" i="5"/>
  <c r="CW35" i="5" s="1"/>
  <c r="CM53" i="5"/>
  <c r="K64" i="7" s="1"/>
  <c r="CU53" i="5"/>
  <c r="CW53" i="5" s="1"/>
  <c r="CM51" i="5"/>
  <c r="K62" i="7" s="1"/>
  <c r="CU51" i="5"/>
  <c r="CM4" i="5"/>
  <c r="K15" i="7" s="1"/>
  <c r="CU4" i="5"/>
  <c r="CU16" i="5"/>
  <c r="CM16" i="5"/>
  <c r="K27" i="7" s="1"/>
  <c r="CM13" i="5"/>
  <c r="K24" i="7" s="1"/>
  <c r="CU13" i="5"/>
  <c r="CW13" i="5" s="1"/>
  <c r="CU55" i="5"/>
  <c r="CM55" i="5"/>
  <c r="K66" i="7" s="1"/>
  <c r="AH9" i="5"/>
  <c r="CJ6" i="5"/>
  <c r="CL6" i="5" s="1"/>
  <c r="AJ6" i="5"/>
  <c r="AH3" i="5"/>
  <c r="BD3" i="5" s="1"/>
  <c r="CG59" i="5"/>
  <c r="CI59" i="5" s="1"/>
  <c r="AH64" i="5"/>
  <c r="AH39" i="5"/>
  <c r="AI6" i="5"/>
  <c r="CJ60" i="5"/>
  <c r="CL60" i="5" s="1"/>
  <c r="AJ60" i="5"/>
  <c r="BF60" i="5" s="1"/>
  <c r="BM60" i="5" s="1"/>
  <c r="AI22" i="5"/>
  <c r="CB40" i="5"/>
  <c r="CJ29" i="5"/>
  <c r="CL29" i="5" s="1"/>
  <c r="CJ18" i="5"/>
  <c r="CL18" i="5" s="1"/>
  <c r="CJ11" i="5"/>
  <c r="CL11" i="5" s="1"/>
  <c r="CJ68" i="5"/>
  <c r="CL68" i="5" s="1"/>
  <c r="CB4" i="5"/>
  <c r="CJ31" i="5"/>
  <c r="CL31" i="5" s="1"/>
  <c r="CJ48" i="5"/>
  <c r="CL48" i="5" s="1"/>
  <c r="CJ21" i="5"/>
  <c r="CL21" i="5" s="1"/>
  <c r="CJ10" i="5"/>
  <c r="CL10" i="5" s="1"/>
  <c r="CG26" i="5"/>
  <c r="CI26" i="5" s="1"/>
  <c r="CB35" i="5"/>
  <c r="CJ26" i="5"/>
  <c r="CL26" i="5" s="1"/>
  <c r="CG5" i="5"/>
  <c r="CI5" i="5" s="1"/>
  <c r="CB38" i="5"/>
  <c r="CG14" i="5"/>
  <c r="CI14" i="5" s="1"/>
  <c r="CG29" i="5"/>
  <c r="CJ19" i="5"/>
  <c r="CB9" i="5"/>
  <c r="CJ57" i="5"/>
  <c r="CL57" i="5" s="1"/>
  <c r="CB5" i="5"/>
  <c r="CJ63" i="5"/>
  <c r="CL63" i="5" s="1"/>
  <c r="CG17" i="5"/>
  <c r="CI17" i="5" s="1"/>
  <c r="CG19" i="5"/>
  <c r="CB42" i="5"/>
  <c r="CJ20" i="5"/>
  <c r="CL20" i="5" s="1"/>
  <c r="CJ45" i="5"/>
  <c r="CL45" i="5" s="1"/>
  <c r="CG61" i="5"/>
  <c r="CI61" i="5" s="1"/>
  <c r="CB41" i="5"/>
  <c r="CG49" i="5"/>
  <c r="CI49" i="5" s="1"/>
  <c r="CG66" i="5"/>
  <c r="CI66" i="5" s="1"/>
  <c r="CC52" i="5"/>
  <c r="CB57" i="5"/>
  <c r="CJ33" i="5"/>
  <c r="CL33" i="5" s="1"/>
  <c r="CG65" i="5"/>
  <c r="CI65" i="5" s="1"/>
  <c r="CB43" i="5"/>
  <c r="CB17" i="5"/>
  <c r="CJ50" i="5"/>
  <c r="CC59" i="5"/>
  <c r="CB65" i="5"/>
  <c r="CB64" i="5"/>
  <c r="CJ24" i="5"/>
  <c r="CL24" i="5" s="1"/>
  <c r="CJ30" i="5"/>
  <c r="CL30" i="5" s="1"/>
  <c r="CJ7" i="5"/>
  <c r="CL7" i="5" s="1"/>
  <c r="CG63" i="5"/>
  <c r="CI63" i="5" s="1"/>
  <c r="CJ46" i="5"/>
  <c r="CL46" i="5" s="1"/>
  <c r="CJ8" i="5"/>
  <c r="CL8" i="5" s="1"/>
  <c r="CF32" i="5"/>
  <c r="CE37" i="5"/>
  <c r="CF54" i="5"/>
  <c r="CE59" i="5"/>
  <c r="CF31" i="5"/>
  <c r="CE36" i="5"/>
  <c r="CF59" i="5"/>
  <c r="CE68" i="5"/>
  <c r="CE67" i="5"/>
  <c r="CE66" i="5"/>
  <c r="CE65" i="5"/>
  <c r="CE64" i="5"/>
  <c r="CF38" i="5"/>
  <c r="CE43" i="5"/>
  <c r="CF53" i="5"/>
  <c r="CE58" i="5"/>
  <c r="CF11" i="5"/>
  <c r="CE16" i="5"/>
  <c r="CF45" i="5"/>
  <c r="CE50" i="5"/>
  <c r="CF23" i="5"/>
  <c r="CE28" i="5"/>
  <c r="CF15" i="5"/>
  <c r="CE20" i="5"/>
  <c r="CF24" i="5"/>
  <c r="CE29" i="5"/>
  <c r="CF13" i="5"/>
  <c r="CE18" i="5"/>
  <c r="CF12" i="5"/>
  <c r="CE17" i="5"/>
  <c r="CF8" i="5"/>
  <c r="CE13" i="5"/>
  <c r="CF21" i="5"/>
  <c r="CE26" i="5"/>
  <c r="CF50" i="5"/>
  <c r="CE55" i="5"/>
  <c r="CF48" i="5"/>
  <c r="CE53" i="5"/>
  <c r="CF44" i="5"/>
  <c r="CE49" i="5"/>
  <c r="CF47" i="5"/>
  <c r="CE52" i="5"/>
  <c r="CF43" i="5"/>
  <c r="CE48" i="5"/>
  <c r="CF22" i="5"/>
  <c r="CE27" i="5"/>
  <c r="CF26" i="5"/>
  <c r="CE31" i="5"/>
  <c r="CF40" i="5"/>
  <c r="CE45" i="5"/>
  <c r="CF35" i="5"/>
  <c r="CE40" i="5"/>
  <c r="CF5" i="5"/>
  <c r="CE10" i="5"/>
  <c r="CF17" i="5"/>
  <c r="CE22" i="5"/>
  <c r="CF46" i="5"/>
  <c r="CE51" i="5"/>
  <c r="CF58" i="5"/>
  <c r="CE63" i="5"/>
  <c r="CF10" i="5"/>
  <c r="CE15" i="5"/>
  <c r="CF57" i="5"/>
  <c r="CE62" i="5"/>
  <c r="CF20" i="5"/>
  <c r="CE25" i="5"/>
  <c r="CF56" i="5"/>
  <c r="CE61" i="5"/>
  <c r="CF51" i="5"/>
  <c r="CE56" i="5"/>
  <c r="CF55" i="5"/>
  <c r="CE60" i="5"/>
  <c r="CF33" i="5"/>
  <c r="CE38" i="5"/>
  <c r="CF29" i="5"/>
  <c r="CE34" i="5"/>
  <c r="CF30" i="5"/>
  <c r="CE35" i="5"/>
  <c r="CF49" i="5"/>
  <c r="CE54" i="5"/>
  <c r="CF36" i="5"/>
  <c r="CE41" i="5"/>
  <c r="CF52" i="5"/>
  <c r="CE57" i="5"/>
  <c r="CF42" i="5"/>
  <c r="CE47" i="5"/>
  <c r="CF28" i="5"/>
  <c r="CE33" i="5"/>
  <c r="CF16" i="5"/>
  <c r="CE21" i="5"/>
  <c r="CF34" i="5"/>
  <c r="CE39" i="5"/>
  <c r="CF7" i="5"/>
  <c r="CE12" i="5"/>
  <c r="CF18" i="5"/>
  <c r="CE23" i="5"/>
  <c r="CF41" i="5"/>
  <c r="CE46" i="5"/>
  <c r="CF37" i="5"/>
  <c r="CE42" i="5"/>
  <c r="CF6" i="5"/>
  <c r="CE11" i="5"/>
  <c r="CF14" i="5"/>
  <c r="CE19" i="5"/>
  <c r="CF4" i="5"/>
  <c r="CE9" i="5"/>
  <c r="CF25" i="5"/>
  <c r="CE30" i="5"/>
  <c r="CF27" i="5"/>
  <c r="CE32" i="5"/>
  <c r="CF19" i="5"/>
  <c r="CE24" i="5"/>
  <c r="CF3" i="5"/>
  <c r="CE4" i="5"/>
  <c r="CE3" i="5"/>
  <c r="CE8" i="5"/>
  <c r="CE7" i="5"/>
  <c r="CE6" i="5"/>
  <c r="CE5" i="5"/>
  <c r="CF39" i="5"/>
  <c r="CE44" i="5"/>
  <c r="CE14" i="5"/>
  <c r="CG33" i="5"/>
  <c r="CJ61" i="5"/>
  <c r="CL61" i="5" s="1"/>
  <c r="CJ17" i="5"/>
  <c r="CL17" i="5" s="1"/>
  <c r="CJ25" i="5"/>
  <c r="CL25" i="5" s="1"/>
  <c r="CB53" i="5"/>
  <c r="CJ5" i="5"/>
  <c r="CL5" i="5" s="1"/>
  <c r="CJ9" i="5"/>
  <c r="CL9" i="5" s="1"/>
  <c r="CJ34" i="5"/>
  <c r="CJ47" i="5"/>
  <c r="CJ52" i="5"/>
  <c r="CL52" i="5" s="1"/>
  <c r="CJ14" i="5"/>
  <c r="CJ23" i="5"/>
  <c r="CJ38" i="5"/>
  <c r="CL38" i="5" s="1"/>
  <c r="CJ44" i="5"/>
  <c r="CJ65" i="5"/>
  <c r="CL65" i="5" s="1"/>
  <c r="CB13" i="5"/>
  <c r="CG58" i="5"/>
  <c r="CJ32" i="5"/>
  <c r="CL32" i="5" s="1"/>
  <c r="CJ22" i="5"/>
  <c r="CJ37" i="5"/>
  <c r="CB6" i="5"/>
  <c r="CB18" i="5"/>
  <c r="CB25" i="5"/>
  <c r="CB16" i="5"/>
  <c r="CB39" i="5"/>
  <c r="CJ28" i="5"/>
  <c r="CG8" i="5"/>
  <c r="CJ54" i="5"/>
  <c r="CJ64" i="5"/>
  <c r="CL64" i="5" s="1"/>
  <c r="CJ15" i="5"/>
  <c r="CJ66" i="5"/>
  <c r="CB45" i="5"/>
  <c r="CG9" i="5"/>
  <c r="CI9" i="5" s="1"/>
  <c r="CG18" i="5"/>
  <c r="CI18" i="5" s="1"/>
  <c r="CG15" i="5"/>
  <c r="CI15" i="5" s="1"/>
  <c r="CG48" i="5"/>
  <c r="CI48" i="5" s="1"/>
  <c r="CJ43" i="5"/>
  <c r="CG34" i="5"/>
  <c r="CI34" i="5" s="1"/>
  <c r="CG64" i="5"/>
  <c r="CI64" i="5" s="1"/>
  <c r="CJ3" i="5"/>
  <c r="CJ12" i="5"/>
  <c r="CB34" i="5"/>
  <c r="CJ42" i="5"/>
  <c r="CL42" i="5" s="1"/>
  <c r="CJ67" i="5"/>
  <c r="CJ49" i="5"/>
  <c r="CJ36" i="5"/>
  <c r="CL36" i="5" s="1"/>
  <c r="CJ58" i="5"/>
  <c r="CL58" i="5" s="1"/>
  <c r="CG60" i="5"/>
  <c r="CI60" i="5" s="1"/>
  <c r="CJ35" i="5"/>
  <c r="CL35" i="5" s="1"/>
  <c r="CJ53" i="5"/>
  <c r="CL53" i="5" s="1"/>
  <c r="CJ51" i="5"/>
  <c r="CJ4" i="5"/>
  <c r="CJ16" i="5"/>
  <c r="CJ13" i="5"/>
  <c r="CJ55" i="5"/>
  <c r="CJ59" i="5"/>
  <c r="CL59" i="5" s="1"/>
  <c r="CG41" i="5"/>
  <c r="CI41" i="5" s="1"/>
  <c r="CG62" i="5"/>
  <c r="CI62" i="5" s="1"/>
  <c r="CJ27" i="5"/>
  <c r="CL27" i="5" s="1"/>
  <c r="CB44" i="5"/>
  <c r="CB19" i="5"/>
  <c r="CB10" i="5"/>
  <c r="CG21" i="5"/>
  <c r="CJ41" i="5"/>
  <c r="CL41" i="5" s="1"/>
  <c r="CG10" i="5"/>
  <c r="CJ62" i="5"/>
  <c r="CL62" i="5" s="1"/>
  <c r="CJ39" i="5"/>
  <c r="CB60" i="5"/>
  <c r="CG20" i="5"/>
  <c r="CG45" i="5"/>
  <c r="CG37" i="5"/>
  <c r="CG7" i="5"/>
  <c r="CB59" i="5"/>
  <c r="CB36" i="5"/>
  <c r="CB11" i="5"/>
  <c r="CB8" i="5"/>
  <c r="CB56" i="5"/>
  <c r="CB68" i="5"/>
  <c r="CB46" i="5"/>
  <c r="CG47" i="5"/>
  <c r="CG11" i="5"/>
  <c r="CG52" i="5"/>
  <c r="CG23" i="5"/>
  <c r="CG44" i="5"/>
  <c r="CG68" i="5"/>
  <c r="CB32" i="5"/>
  <c r="CB67" i="5"/>
  <c r="CB63" i="5"/>
  <c r="CB61" i="5"/>
  <c r="CB22" i="5"/>
  <c r="CG50" i="5"/>
  <c r="CB58" i="5"/>
  <c r="CB51" i="5"/>
  <c r="CB49" i="5"/>
  <c r="CB15" i="5"/>
  <c r="CG30" i="5"/>
  <c r="CG28" i="5"/>
  <c r="CG57" i="5"/>
  <c r="CB30" i="5"/>
  <c r="CB31" i="5"/>
  <c r="CG46" i="5"/>
  <c r="CG43" i="5"/>
  <c r="CB3" i="5"/>
  <c r="CC3" i="5"/>
  <c r="CB14" i="5"/>
  <c r="CB47" i="5"/>
  <c r="CB62" i="5"/>
  <c r="CB7" i="5"/>
  <c r="CB66" i="5"/>
  <c r="CG42" i="5"/>
  <c r="CG12" i="5"/>
  <c r="CG27" i="5"/>
  <c r="CG36" i="5"/>
  <c r="CG39" i="5"/>
  <c r="CG25" i="5"/>
  <c r="CB29" i="5"/>
  <c r="CB23" i="5"/>
  <c r="CB24" i="5"/>
  <c r="CB52" i="5"/>
  <c r="CG31" i="5"/>
  <c r="CG40" i="5"/>
  <c r="CB54" i="5"/>
  <c r="CB50" i="5"/>
  <c r="CB27" i="5"/>
  <c r="CG67" i="5"/>
  <c r="CJ40" i="5"/>
  <c r="CB55" i="5"/>
  <c r="CB33" i="5"/>
  <c r="CB12" i="5"/>
  <c r="CB37" i="5"/>
  <c r="CJ56" i="5"/>
  <c r="CG32" i="5"/>
  <c r="CB28" i="5"/>
  <c r="CB26" i="5"/>
  <c r="CB20" i="5"/>
  <c r="CB21" i="5"/>
  <c r="CB48" i="5"/>
  <c r="CG35" i="5"/>
  <c r="CG53" i="5"/>
  <c r="CG51" i="5"/>
  <c r="CG4" i="5"/>
  <c r="CG16" i="5"/>
  <c r="CG13" i="5"/>
  <c r="CG55" i="5"/>
  <c r="CL56" i="1"/>
  <c r="CL38" i="1"/>
  <c r="I38" i="1"/>
  <c r="CL37" i="1"/>
  <c r="I37" i="1"/>
  <c r="CL34" i="1"/>
  <c r="I34" i="1"/>
  <c r="CL40" i="1"/>
  <c r="I40" i="1"/>
  <c r="CL35" i="1"/>
  <c r="I35" i="1"/>
  <c r="CL42" i="1"/>
  <c r="I42" i="1"/>
  <c r="CL33" i="1"/>
  <c r="I33" i="1"/>
  <c r="AC56" i="1"/>
  <c r="CL36" i="1"/>
  <c r="I36" i="1"/>
  <c r="CL39" i="1"/>
  <c r="I39" i="1"/>
  <c r="E27" i="1"/>
  <c r="AB27" i="1"/>
  <c r="I27" i="1" s="1"/>
  <c r="E6" i="1"/>
  <c r="AB6" i="1"/>
  <c r="I6" i="1" s="1"/>
  <c r="AC69" i="1"/>
  <c r="CL69" i="1"/>
  <c r="E9" i="1"/>
  <c r="AB9" i="1"/>
  <c r="I9" i="1" s="1"/>
  <c r="V46" i="1"/>
  <c r="E15" i="1"/>
  <c r="AB15" i="1"/>
  <c r="I15" i="1" s="1"/>
  <c r="E14" i="1"/>
  <c r="AB14" i="1"/>
  <c r="I14" i="1" s="1"/>
  <c r="AC66" i="1"/>
  <c r="CL66" i="1"/>
  <c r="AC71" i="1"/>
  <c r="CL71" i="1"/>
  <c r="E16" i="1"/>
  <c r="AB16" i="1"/>
  <c r="I16" i="1" s="1"/>
  <c r="AC68" i="1"/>
  <c r="CL68" i="1"/>
  <c r="E10" i="1"/>
  <c r="AB10" i="1"/>
  <c r="I10" i="1" s="1"/>
  <c r="AC58" i="1"/>
  <c r="CL58" i="1"/>
  <c r="E21" i="1"/>
  <c r="AB21" i="1"/>
  <c r="I21" i="1" s="1"/>
  <c r="AC65" i="1"/>
  <c r="CL65" i="1"/>
  <c r="E31" i="1"/>
  <c r="AB31" i="1"/>
  <c r="I31" i="1" s="1"/>
  <c r="CL47" i="1"/>
  <c r="AC47" i="1"/>
  <c r="AC62" i="1"/>
  <c r="CL62" i="1"/>
  <c r="AC54" i="1"/>
  <c r="CL54" i="1"/>
  <c r="AC59" i="1"/>
  <c r="CL59" i="1"/>
  <c r="AC50" i="1"/>
  <c r="CL50" i="1"/>
  <c r="E28" i="1"/>
  <c r="AB28" i="1"/>
  <c r="I28" i="1" s="1"/>
  <c r="AC70" i="1"/>
  <c r="CL70" i="1"/>
  <c r="E32" i="1"/>
  <c r="AB32" i="1"/>
  <c r="I32" i="1" s="1"/>
  <c r="E24" i="1"/>
  <c r="AB24" i="1"/>
  <c r="I24" i="1" s="1"/>
  <c r="AC53" i="1"/>
  <c r="CL53" i="1"/>
  <c r="E19" i="1"/>
  <c r="AB19" i="1"/>
  <c r="I19" i="1" s="1"/>
  <c r="E20" i="1"/>
  <c r="AB20" i="1"/>
  <c r="I20" i="1" s="1"/>
  <c r="U47" i="1"/>
  <c r="E22" i="1"/>
  <c r="AB22" i="1"/>
  <c r="I22" i="1" s="1"/>
  <c r="AC63" i="1"/>
  <c r="CL63" i="1"/>
  <c r="E13" i="1"/>
  <c r="AB13" i="1"/>
  <c r="I13" i="1" s="1"/>
  <c r="AC52" i="1"/>
  <c r="CL52" i="1"/>
  <c r="E18" i="1"/>
  <c r="AB18" i="1"/>
  <c r="I18" i="1" s="1"/>
  <c r="AC61" i="1"/>
  <c r="CL61" i="1"/>
  <c r="AC67" i="1"/>
  <c r="CL67" i="1"/>
  <c r="E17" i="1"/>
  <c r="AB17" i="1"/>
  <c r="I17" i="1" s="1"/>
  <c r="E5" i="1"/>
  <c r="I5" i="1"/>
  <c r="E23" i="1"/>
  <c r="AB23" i="1"/>
  <c r="I23" i="1" s="1"/>
  <c r="S49" i="1"/>
  <c r="E30" i="1"/>
  <c r="AB30" i="1"/>
  <c r="I30" i="1" s="1"/>
  <c r="AC55" i="1"/>
  <c r="CL55" i="1"/>
  <c r="E29" i="1"/>
  <c r="AB29" i="1"/>
  <c r="I29" i="1" s="1"/>
  <c r="AC64" i="1"/>
  <c r="CL64" i="1"/>
  <c r="E26" i="1"/>
  <c r="AB26" i="1"/>
  <c r="I26" i="1" s="1"/>
  <c r="E11" i="1"/>
  <c r="AB11" i="1"/>
  <c r="I11" i="1" s="1"/>
  <c r="AC60" i="1"/>
  <c r="CL60" i="1"/>
  <c r="E25" i="1"/>
  <c r="AB25" i="1"/>
  <c r="I25" i="1" s="1"/>
  <c r="W66" i="1"/>
  <c r="I66" i="1" s="1"/>
  <c r="E7" i="1"/>
  <c r="AB7" i="1"/>
  <c r="I7" i="1" s="1"/>
  <c r="AC57" i="1"/>
  <c r="CL57" i="1"/>
  <c r="E37" i="1"/>
  <c r="E35" i="1"/>
  <c r="E33" i="1"/>
  <c r="E39" i="1"/>
  <c r="E38" i="1"/>
  <c r="E34" i="1"/>
  <c r="AC48" i="1"/>
  <c r="E36" i="1"/>
  <c r="E40" i="1"/>
  <c r="AC49" i="1"/>
  <c r="U49" i="1"/>
  <c r="T50" i="1"/>
  <c r="V48" i="1"/>
  <c r="U70" i="1"/>
  <c r="W70" i="1" s="1"/>
  <c r="I70" i="1" s="1"/>
  <c r="S72" i="1"/>
  <c r="V69" i="1"/>
  <c r="W69" i="1" s="1"/>
  <c r="I69" i="1" s="1"/>
  <c r="I71" i="1"/>
  <c r="T49" i="1"/>
  <c r="U48" i="1"/>
  <c r="S50" i="1"/>
  <c r="V47" i="1"/>
  <c r="S56" i="1"/>
  <c r="U54" i="1"/>
  <c r="T55" i="1"/>
  <c r="V49" i="1"/>
  <c r="S52" i="1"/>
  <c r="U50" i="1"/>
  <c r="T51" i="1"/>
  <c r="S55" i="1"/>
  <c r="V52" i="1"/>
  <c r="U53" i="1"/>
  <c r="T52" i="1"/>
  <c r="S53" i="1"/>
  <c r="S59" i="1"/>
  <c r="W59" i="1" s="1"/>
  <c r="I59" i="1" s="1"/>
  <c r="V56" i="1"/>
  <c r="U57" i="1"/>
  <c r="T58" i="1"/>
  <c r="S58" i="1"/>
  <c r="W58" i="1" s="1"/>
  <c r="I58" i="1" s="1"/>
  <c r="V55" i="1"/>
  <c r="U56" i="1"/>
  <c r="T57" i="1"/>
  <c r="U46" i="1"/>
  <c r="S48" i="1"/>
  <c r="T47" i="1"/>
  <c r="U45" i="1"/>
  <c r="S47" i="1"/>
  <c r="T46" i="1"/>
  <c r="S57" i="1"/>
  <c r="V54" i="1"/>
  <c r="T56" i="1"/>
  <c r="U55" i="1"/>
  <c r="W68" i="1"/>
  <c r="I68" i="1" s="1"/>
  <c r="W67" i="1"/>
  <c r="I67" i="1" s="1"/>
  <c r="W61" i="1"/>
  <c r="I61" i="1" s="1"/>
  <c r="W63" i="1"/>
  <c r="I63" i="1" s="1"/>
  <c r="W62" i="1"/>
  <c r="I62" i="1" s="1"/>
  <c r="W64" i="1"/>
  <c r="I64" i="1" s="1"/>
  <c r="W65" i="1"/>
  <c r="I65" i="1" s="1"/>
  <c r="W60" i="1"/>
  <c r="I60" i="1" s="1"/>
  <c r="DA56" i="7" l="1"/>
  <c r="DA65" i="7"/>
  <c r="DA74" i="7"/>
  <c r="DA54" i="7"/>
  <c r="DA16" i="7"/>
  <c r="DA34" i="7"/>
  <c r="CQ34" i="7" s="1"/>
  <c r="CR34" i="7" s="1"/>
  <c r="DA31" i="7"/>
  <c r="CQ31" i="7" s="1"/>
  <c r="CR31" i="7" s="1"/>
  <c r="DA29" i="7"/>
  <c r="CQ29" i="7" s="1"/>
  <c r="CR29" i="7" s="1"/>
  <c r="DA20" i="7"/>
  <c r="CQ20" i="7" s="1"/>
  <c r="CR20" i="7" s="1"/>
  <c r="DA63" i="7"/>
  <c r="DA72" i="7"/>
  <c r="GZ75" i="7"/>
  <c r="AZ79" i="7"/>
  <c r="DA46" i="7"/>
  <c r="DA45" i="7"/>
  <c r="DA66" i="7"/>
  <c r="DA43" i="7"/>
  <c r="DA39" i="7"/>
  <c r="CQ39" i="7" s="1"/>
  <c r="CR39" i="7" s="1"/>
  <c r="DA41" i="7"/>
  <c r="DA64" i="7"/>
  <c r="DA33" i="7"/>
  <c r="CQ33" i="7" s="1"/>
  <c r="CR33" i="7" s="1"/>
  <c r="DA28" i="7"/>
  <c r="CQ28" i="7" s="1"/>
  <c r="CR28" i="7" s="1"/>
  <c r="DA21" i="7"/>
  <c r="CQ21" i="7" s="1"/>
  <c r="CR21" i="7" s="1"/>
  <c r="GZ14" i="7"/>
  <c r="DA57" i="7"/>
  <c r="DA76" i="7"/>
  <c r="DA50" i="7"/>
  <c r="DA44" i="7"/>
  <c r="DA40" i="7"/>
  <c r="CQ40" i="7" s="1"/>
  <c r="CR40" i="7" s="1"/>
  <c r="DA38" i="7"/>
  <c r="CQ38" i="7" s="1"/>
  <c r="CR38" i="7" s="1"/>
  <c r="DA48" i="7"/>
  <c r="DA52" i="7"/>
  <c r="DA70" i="7"/>
  <c r="DA73" i="7"/>
  <c r="DA49" i="7"/>
  <c r="ES40" i="7"/>
  <c r="EE40" i="7"/>
  <c r="DA32" i="7"/>
  <c r="CQ32" i="7" s="1"/>
  <c r="CR32" i="7" s="1"/>
  <c r="DA19" i="7"/>
  <c r="CQ19" i="7" s="1"/>
  <c r="CR19" i="7" s="1"/>
  <c r="DA36" i="7"/>
  <c r="CQ36" i="7" s="1"/>
  <c r="CR36" i="7" s="1"/>
  <c r="DA53" i="7"/>
  <c r="DA59" i="7"/>
  <c r="DA22" i="7"/>
  <c r="CQ22" i="7" s="1"/>
  <c r="CR22" i="7" s="1"/>
  <c r="DA30" i="7"/>
  <c r="CQ30" i="7" s="1"/>
  <c r="CR30" i="7" s="1"/>
  <c r="DA35" i="7"/>
  <c r="CQ35" i="7" s="1"/>
  <c r="CR35" i="7" s="1"/>
  <c r="DA47" i="7"/>
  <c r="DA78" i="7"/>
  <c r="DA51" i="7"/>
  <c r="DA17" i="7"/>
  <c r="CQ17" i="7" s="1"/>
  <c r="CR17" i="7" s="1"/>
  <c r="CW14" i="7"/>
  <c r="DA60" i="7"/>
  <c r="DA68" i="7"/>
  <c r="DA77" i="7"/>
  <c r="DA58" i="7"/>
  <c r="DA75" i="7"/>
  <c r="DA79" i="7"/>
  <c r="DA26" i="7"/>
  <c r="CQ26" i="7" s="1"/>
  <c r="CR26" i="7" s="1"/>
  <c r="DA24" i="7"/>
  <c r="CQ24" i="7" s="1"/>
  <c r="CR24" i="7" s="1"/>
  <c r="FD14" i="7"/>
  <c r="EP43" i="7"/>
  <c r="EQ43" i="7" s="1"/>
  <c r="ER43" i="7" s="1"/>
  <c r="EP41" i="7"/>
  <c r="EQ41" i="7" s="1"/>
  <c r="ER41" i="7" s="1"/>
  <c r="EP42" i="7"/>
  <c r="EQ42" i="7" s="1"/>
  <c r="ER42" i="7" s="1"/>
  <c r="AU107" i="7"/>
  <c r="DA107" i="7" s="1"/>
  <c r="FQ99" i="7"/>
  <c r="CP130" i="7"/>
  <c r="CV130" i="7" s="1"/>
  <c r="CV103" i="7" s="1"/>
  <c r="CV129" i="7"/>
  <c r="CV102" i="7" s="1"/>
  <c r="FQ88" i="7"/>
  <c r="FQ91" i="7"/>
  <c r="AW39" i="5"/>
  <c r="BD39" i="5"/>
  <c r="BK39" i="5" s="1"/>
  <c r="AW64" i="5"/>
  <c r="BD64" i="5"/>
  <c r="BK64" i="5" s="1"/>
  <c r="AX6" i="5"/>
  <c r="BE6" i="5"/>
  <c r="AX22" i="5"/>
  <c r="BE22" i="5"/>
  <c r="AW9" i="5"/>
  <c r="BD9" i="5"/>
  <c r="AY6" i="5"/>
  <c r="BF6" i="5"/>
  <c r="AU106" i="7"/>
  <c r="AU104" i="7"/>
  <c r="AU105" i="7"/>
  <c r="FQ82" i="7"/>
  <c r="FQ95" i="7"/>
  <c r="FQ89" i="7"/>
  <c r="FQ84" i="7"/>
  <c r="FQ86" i="7"/>
  <c r="FQ93" i="7"/>
  <c r="FQ100" i="7"/>
  <c r="FQ101" i="7"/>
  <c r="FQ102" i="7"/>
  <c r="FQ103" i="7"/>
  <c r="FQ94" i="7"/>
  <c r="FQ96" i="7"/>
  <c r="FQ92" i="7"/>
  <c r="FQ81" i="7"/>
  <c r="FQ85" i="7"/>
  <c r="FQ97" i="7"/>
  <c r="FQ83" i="7"/>
  <c r="FQ87" i="7"/>
  <c r="FQ90" i="7"/>
  <c r="FQ98" i="7"/>
  <c r="CO62" i="5"/>
  <c r="K73" i="7"/>
  <c r="CO54" i="5"/>
  <c r="K65" i="7"/>
  <c r="CX82" i="7"/>
  <c r="CX97" i="7"/>
  <c r="CX87" i="7"/>
  <c r="CO67" i="5"/>
  <c r="K78" i="7"/>
  <c r="CX103" i="7"/>
  <c r="CO66" i="5"/>
  <c r="K77" i="7"/>
  <c r="CX85" i="7"/>
  <c r="CX95" i="7"/>
  <c r="CX14" i="7"/>
  <c r="CX98" i="7"/>
  <c r="CK45" i="7"/>
  <c r="CL45" i="7" s="1"/>
  <c r="CN45" i="7" s="1"/>
  <c r="CX88" i="7"/>
  <c r="AW3" i="5"/>
  <c r="CM3" i="5"/>
  <c r="K14" i="7" s="1"/>
  <c r="CO68" i="5"/>
  <c r="K79" i="7"/>
  <c r="CQ16" i="7"/>
  <c r="CR16" i="7" s="1"/>
  <c r="CX84" i="7"/>
  <c r="CX86" i="7"/>
  <c r="CX92" i="7"/>
  <c r="CX93" i="7"/>
  <c r="CX83" i="7"/>
  <c r="CO63" i="5"/>
  <c r="K74" i="7"/>
  <c r="CX101" i="7"/>
  <c r="CX94" i="7"/>
  <c r="CH46" i="7"/>
  <c r="CO38" i="5"/>
  <c r="K49" i="7"/>
  <c r="CX91" i="7"/>
  <c r="CO61" i="5"/>
  <c r="K72" i="7"/>
  <c r="CX96" i="7"/>
  <c r="CO65" i="5"/>
  <c r="K76" i="7"/>
  <c r="CX80" i="7"/>
  <c r="CX99" i="7"/>
  <c r="CX100" i="7"/>
  <c r="CX89" i="7"/>
  <c r="CX81" i="7"/>
  <c r="CX102" i="7"/>
  <c r="CX90" i="7"/>
  <c r="FF15" i="7"/>
  <c r="FH19" i="7" s="1"/>
  <c r="CM60" i="5"/>
  <c r="CN59" i="5" s="1"/>
  <c r="L70" i="7" s="1"/>
  <c r="AY60" i="5"/>
  <c r="CR25" i="5"/>
  <c r="BY50" i="5"/>
  <c r="CX49" i="5"/>
  <c r="CR18" i="5"/>
  <c r="CY44" i="5"/>
  <c r="CR44" i="5"/>
  <c r="CS20" i="5"/>
  <c r="CR41" i="5"/>
  <c r="CR62" i="5"/>
  <c r="CR9" i="5"/>
  <c r="CR60" i="5"/>
  <c r="CR37" i="5"/>
  <c r="CS32" i="5"/>
  <c r="CR14" i="5"/>
  <c r="CS9" i="5"/>
  <c r="CR57" i="5"/>
  <c r="CS52" i="5"/>
  <c r="CR54" i="5"/>
  <c r="CS49" i="5"/>
  <c r="CR34" i="5"/>
  <c r="CS29" i="5"/>
  <c r="CR48" i="5"/>
  <c r="CS43" i="5"/>
  <c r="CR16" i="5"/>
  <c r="CS11" i="5"/>
  <c r="CR46" i="5"/>
  <c r="CS41" i="5"/>
  <c r="CR17" i="5"/>
  <c r="CS12" i="5"/>
  <c r="CR27" i="5"/>
  <c r="CS22" i="5"/>
  <c r="CR51" i="5"/>
  <c r="CS46" i="5"/>
  <c r="CR68" i="5"/>
  <c r="CR67" i="5"/>
  <c r="CR66" i="5"/>
  <c r="CR65" i="5"/>
  <c r="CR64" i="5"/>
  <c r="CS59" i="5"/>
  <c r="CR43" i="5"/>
  <c r="CS38" i="5"/>
  <c r="CR33" i="5"/>
  <c r="CR22" i="5"/>
  <c r="CR47" i="5"/>
  <c r="CR21" i="5"/>
  <c r="CR59" i="5"/>
  <c r="CS54" i="5"/>
  <c r="CR26" i="5"/>
  <c r="CR50" i="5"/>
  <c r="CR61" i="5"/>
  <c r="CS56" i="5"/>
  <c r="CR15" i="5"/>
  <c r="CR35" i="5"/>
  <c r="CR13" i="5"/>
  <c r="CS8" i="5"/>
  <c r="CR29" i="5"/>
  <c r="CS24" i="5"/>
  <c r="CR45" i="5"/>
  <c r="CS40" i="5"/>
  <c r="CR39" i="5"/>
  <c r="CS34" i="5"/>
  <c r="CR55" i="5"/>
  <c r="CS50" i="5"/>
  <c r="CR24" i="5"/>
  <c r="CR36" i="5"/>
  <c r="CS31" i="5"/>
  <c r="CR10" i="5"/>
  <c r="CS5" i="5"/>
  <c r="CR12" i="5"/>
  <c r="CS7" i="5"/>
  <c r="CR56" i="5"/>
  <c r="CR11" i="5"/>
  <c r="CS6" i="5"/>
  <c r="CR53" i="5"/>
  <c r="CS48" i="5"/>
  <c r="CR31" i="5"/>
  <c r="CS26" i="5"/>
  <c r="CR32" i="5"/>
  <c r="CR20" i="5"/>
  <c r="CS15" i="5"/>
  <c r="CR49" i="5"/>
  <c r="CS44" i="5"/>
  <c r="CR58" i="5"/>
  <c r="CR63" i="5"/>
  <c r="CS58" i="5"/>
  <c r="CR8" i="5"/>
  <c r="CR7" i="5"/>
  <c r="CR6" i="5"/>
  <c r="CR4" i="5"/>
  <c r="CR3" i="5"/>
  <c r="CR5" i="5"/>
  <c r="CS3" i="5"/>
  <c r="CR28" i="5"/>
  <c r="CS23" i="5"/>
  <c r="CR42" i="5"/>
  <c r="CS37" i="5"/>
  <c r="CR52" i="5"/>
  <c r="CR30" i="5"/>
  <c r="CR23" i="5"/>
  <c r="CS18" i="5"/>
  <c r="CR19" i="5"/>
  <c r="CS14" i="5"/>
  <c r="CR38" i="5"/>
  <c r="CS33" i="5"/>
  <c r="CR40" i="5"/>
  <c r="G16" i="4"/>
  <c r="L16" i="4"/>
  <c r="R15" i="4"/>
  <c r="CU3" i="5"/>
  <c r="CW3" i="5" s="1"/>
  <c r="CO53" i="5"/>
  <c r="CO52" i="5"/>
  <c r="CO36" i="5"/>
  <c r="CO19" i="5"/>
  <c r="CN46" i="5"/>
  <c r="L57" i="7" s="1"/>
  <c r="CO41" i="5"/>
  <c r="CU9" i="5"/>
  <c r="CW9" i="5" s="1"/>
  <c r="CM9" i="5"/>
  <c r="CN32" i="5"/>
  <c r="L43" i="7" s="1"/>
  <c r="CO27" i="5"/>
  <c r="CO34" i="5"/>
  <c r="CO57" i="5"/>
  <c r="CO33" i="5"/>
  <c r="CN52" i="5"/>
  <c r="L63" i="7" s="1"/>
  <c r="CO47" i="5"/>
  <c r="CN47" i="5"/>
  <c r="L58" i="7" s="1"/>
  <c r="CO42" i="5"/>
  <c r="CN49" i="5"/>
  <c r="L60" i="7" s="1"/>
  <c r="CO44" i="5"/>
  <c r="CN45" i="5"/>
  <c r="L56" i="7" s="1"/>
  <c r="CO40" i="5"/>
  <c r="CN29" i="5"/>
  <c r="L40" i="7" s="1"/>
  <c r="CO24" i="5"/>
  <c r="CO55" i="5"/>
  <c r="CN17" i="5"/>
  <c r="L28" i="7" s="1"/>
  <c r="CO12" i="5"/>
  <c r="CO58" i="5"/>
  <c r="CN28" i="5"/>
  <c r="L39" i="7" s="1"/>
  <c r="CO23" i="5"/>
  <c r="CO31" i="5"/>
  <c r="CO32" i="5"/>
  <c r="CN34" i="5"/>
  <c r="L45" i="7" s="1"/>
  <c r="CO29" i="5"/>
  <c r="CN53" i="5"/>
  <c r="L64" i="7" s="1"/>
  <c r="CO48" i="5"/>
  <c r="CN33" i="5"/>
  <c r="L44" i="7" s="1"/>
  <c r="CO28" i="5"/>
  <c r="CO17" i="5"/>
  <c r="CN54" i="5"/>
  <c r="L65" i="7" s="1"/>
  <c r="CO49" i="5"/>
  <c r="CO13" i="5"/>
  <c r="CO14" i="5"/>
  <c r="CO16" i="5"/>
  <c r="CO59" i="5"/>
  <c r="CO15" i="5"/>
  <c r="CO30" i="5"/>
  <c r="CN50" i="5"/>
  <c r="L61" i="7" s="1"/>
  <c r="CO45" i="5"/>
  <c r="CO5" i="5"/>
  <c r="CM22" i="5"/>
  <c r="CU22" i="5"/>
  <c r="CW22" i="5" s="1"/>
  <c r="CO8" i="5"/>
  <c r="CM6" i="5"/>
  <c r="K17" i="7" s="1"/>
  <c r="CU6" i="5"/>
  <c r="CW6" i="5" s="1"/>
  <c r="CN15" i="5"/>
  <c r="L26" i="7" s="1"/>
  <c r="CO10" i="5"/>
  <c r="CN16" i="5"/>
  <c r="L27" i="7" s="1"/>
  <c r="CO11" i="5"/>
  <c r="CO37" i="5"/>
  <c r="CO7" i="5"/>
  <c r="CU39" i="5"/>
  <c r="CW39" i="5" s="1"/>
  <c r="CM39" i="5"/>
  <c r="CO4" i="5"/>
  <c r="CN51" i="5"/>
  <c r="L62" i="7" s="1"/>
  <c r="CO46" i="5"/>
  <c r="CO20" i="5"/>
  <c r="CO35" i="5"/>
  <c r="CO56" i="5"/>
  <c r="CN48" i="5"/>
  <c r="L59" i="7" s="1"/>
  <c r="CO43" i="5"/>
  <c r="CO18" i="5"/>
  <c r="CU64" i="5"/>
  <c r="CW64" i="5" s="1"/>
  <c r="CM64" i="5"/>
  <c r="CN55" i="5"/>
  <c r="L66" i="7" s="1"/>
  <c r="CO50" i="5"/>
  <c r="CN31" i="5"/>
  <c r="L42" i="7" s="1"/>
  <c r="CO26" i="5"/>
  <c r="CO51" i="5"/>
  <c r="CN30" i="5"/>
  <c r="L41" i="7" s="1"/>
  <c r="CO25" i="5"/>
  <c r="CO21" i="5"/>
  <c r="CK15" i="5"/>
  <c r="CK33" i="5"/>
  <c r="CH31" i="5"/>
  <c r="CK31" i="5"/>
  <c r="CK26" i="5"/>
  <c r="CH50" i="5"/>
  <c r="CV49" i="5"/>
  <c r="CK34" i="5"/>
  <c r="CK11" i="5"/>
  <c r="CK18" i="5"/>
  <c r="CL13" i="5"/>
  <c r="CV17" i="5"/>
  <c r="CH34" i="5"/>
  <c r="CV52" i="5"/>
  <c r="CH27" i="5"/>
  <c r="CH43" i="5"/>
  <c r="CL22" i="5"/>
  <c r="CK59" i="5"/>
  <c r="CH51" i="5"/>
  <c r="CK49" i="5"/>
  <c r="CL28" i="5"/>
  <c r="CV30" i="5"/>
  <c r="CH3" i="5"/>
  <c r="CH6" i="5"/>
  <c r="CH8" i="5"/>
  <c r="CH7" i="5"/>
  <c r="CH5" i="5"/>
  <c r="CH4" i="5"/>
  <c r="CH13" i="5"/>
  <c r="CH61" i="5"/>
  <c r="CV15" i="5"/>
  <c r="CW10" i="5"/>
  <c r="CW20" i="5"/>
  <c r="CK60" i="5"/>
  <c r="CW5" i="5"/>
  <c r="CK28" i="5"/>
  <c r="CK12" i="5"/>
  <c r="CH67" i="5"/>
  <c r="CH22" i="5"/>
  <c r="CI43" i="5"/>
  <c r="CH48" i="5"/>
  <c r="CK65" i="5"/>
  <c r="CK68" i="5"/>
  <c r="CK64" i="5"/>
  <c r="CK67" i="5"/>
  <c r="CK66" i="5"/>
  <c r="CL55" i="5"/>
  <c r="CL39" i="5"/>
  <c r="CK44" i="5"/>
  <c r="CH39" i="5"/>
  <c r="CK19" i="5"/>
  <c r="CV54" i="5"/>
  <c r="CW49" i="5"/>
  <c r="CW19" i="5"/>
  <c r="CV47" i="5"/>
  <c r="CW42" i="5"/>
  <c r="CH64" i="5"/>
  <c r="CI42" i="5"/>
  <c r="CH47" i="5"/>
  <c r="CH66" i="5"/>
  <c r="CK61" i="5"/>
  <c r="CK21" i="5"/>
  <c r="CV34" i="5"/>
  <c r="CW29" i="5"/>
  <c r="CK48" i="5"/>
  <c r="CK57" i="5"/>
  <c r="CV48" i="5"/>
  <c r="CW43" i="5"/>
  <c r="CI20" i="5"/>
  <c r="CH25" i="5"/>
  <c r="CI10" i="5"/>
  <c r="CH15" i="5"/>
  <c r="CK9" i="5"/>
  <c r="CW7" i="5"/>
  <c r="CH53" i="5"/>
  <c r="CK52" i="5"/>
  <c r="CH62" i="5"/>
  <c r="CK46" i="5"/>
  <c r="CK56" i="5"/>
  <c r="CV16" i="5"/>
  <c r="CW11" i="5"/>
  <c r="CH20" i="5"/>
  <c r="CK39" i="5"/>
  <c r="CK55" i="5"/>
  <c r="CK62" i="5"/>
  <c r="CK24" i="5"/>
  <c r="CH18" i="5"/>
  <c r="CH28" i="5"/>
  <c r="CL43" i="5"/>
  <c r="CI21" i="5"/>
  <c r="CH26" i="5"/>
  <c r="CK58" i="5"/>
  <c r="CV55" i="5"/>
  <c r="CW50" i="5"/>
  <c r="CH23" i="5"/>
  <c r="CW8" i="5"/>
  <c r="CH19" i="5"/>
  <c r="CW32" i="5"/>
  <c r="CH37" i="5"/>
  <c r="CH60" i="5"/>
  <c r="CI3" i="5"/>
  <c r="CI44" i="5"/>
  <c r="CH49" i="5"/>
  <c r="CL44" i="5"/>
  <c r="CI28" i="5"/>
  <c r="CH33" i="5"/>
  <c r="CH21" i="5"/>
  <c r="CH35" i="5"/>
  <c r="CL23" i="5"/>
  <c r="CK40" i="5"/>
  <c r="CK47" i="5"/>
  <c r="CH14" i="5"/>
  <c r="CL37" i="5"/>
  <c r="CK42" i="5"/>
  <c r="CW17" i="5"/>
  <c r="CH54" i="5"/>
  <c r="CH45" i="5"/>
  <c r="CH65" i="5"/>
  <c r="CW16" i="5"/>
  <c r="CK45" i="5"/>
  <c r="CV57" i="5"/>
  <c r="CW52" i="5"/>
  <c r="CK27" i="5"/>
  <c r="CK14" i="5"/>
  <c r="CH59" i="5"/>
  <c r="CV51" i="5"/>
  <c r="CW46" i="5"/>
  <c r="CV28" i="5"/>
  <c r="CW23" i="5"/>
  <c r="CH12" i="5"/>
  <c r="CH56" i="5"/>
  <c r="CI29" i="5"/>
  <c r="CH30" i="5"/>
  <c r="CI11" i="5"/>
  <c r="CH16" i="5"/>
  <c r="CL34" i="5"/>
  <c r="CV45" i="5"/>
  <c r="CW40" i="5"/>
  <c r="CV50" i="5"/>
  <c r="CW45" i="5"/>
  <c r="CK37" i="5"/>
  <c r="CK10" i="5"/>
  <c r="CW57" i="5"/>
  <c r="CH10" i="5"/>
  <c r="CK38" i="5"/>
  <c r="CW4" i="5"/>
  <c r="CV46" i="5"/>
  <c r="CW56" i="5"/>
  <c r="CH38" i="5"/>
  <c r="CH29" i="5"/>
  <c r="CV33" i="5"/>
  <c r="CW28" i="5"/>
  <c r="CI53" i="5"/>
  <c r="CH58" i="5"/>
  <c r="CH52" i="5"/>
  <c r="CW14" i="5"/>
  <c r="CL12" i="5"/>
  <c r="CK17" i="5"/>
  <c r="CI58" i="5"/>
  <c r="CH63" i="5"/>
  <c r="CW58" i="5"/>
  <c r="CK50" i="5"/>
  <c r="CW36" i="5"/>
  <c r="CI12" i="5"/>
  <c r="CH17" i="5"/>
  <c r="CV59" i="5"/>
  <c r="CW54" i="5"/>
  <c r="CV29" i="5"/>
  <c r="CW24" i="5"/>
  <c r="CH24" i="5"/>
  <c r="CW38" i="5"/>
  <c r="CI37" i="5"/>
  <c r="CH42" i="5"/>
  <c r="CL15" i="5"/>
  <c r="CK20" i="5"/>
  <c r="CK23" i="5"/>
  <c r="CH40" i="5"/>
  <c r="CH44" i="5"/>
  <c r="CI33" i="5"/>
  <c r="CL50" i="5"/>
  <c r="CK32" i="5"/>
  <c r="CK63" i="5"/>
  <c r="CK5" i="5"/>
  <c r="CK8" i="5"/>
  <c r="CK7" i="5"/>
  <c r="CK4" i="5"/>
  <c r="CK6" i="5"/>
  <c r="CK3" i="5"/>
  <c r="CW21" i="5"/>
  <c r="CK13" i="5"/>
  <c r="CK35" i="5"/>
  <c r="CK25" i="5"/>
  <c r="CV32" i="5"/>
  <c r="CH46" i="5"/>
  <c r="CH11" i="5"/>
  <c r="CK43" i="5"/>
  <c r="CI52" i="5"/>
  <c r="CH57" i="5"/>
  <c r="CW31" i="5"/>
  <c r="CW33" i="5"/>
  <c r="CV53" i="5"/>
  <c r="CW48" i="5"/>
  <c r="CK29" i="5"/>
  <c r="CV58" i="5"/>
  <c r="CH36" i="5"/>
  <c r="CW18" i="5"/>
  <c r="CI4" i="5"/>
  <c r="CH9" i="5"/>
  <c r="CI36" i="5"/>
  <c r="CH41" i="5"/>
  <c r="CK41" i="5"/>
  <c r="CW30" i="5"/>
  <c r="CK30" i="5"/>
  <c r="CK51" i="5"/>
  <c r="CI27" i="5"/>
  <c r="CH32" i="5"/>
  <c r="CI8" i="5"/>
  <c r="CH55" i="5"/>
  <c r="CL19" i="5"/>
  <c r="CI19" i="5"/>
  <c r="CL14" i="5"/>
  <c r="CW55" i="5"/>
  <c r="CL49" i="5"/>
  <c r="CK54" i="5"/>
  <c r="CW37" i="5"/>
  <c r="CV31" i="5"/>
  <c r="CW26" i="5"/>
  <c r="CK22" i="5"/>
  <c r="CK16" i="5"/>
  <c r="CH68" i="5"/>
  <c r="CK53" i="5"/>
  <c r="CV56" i="5"/>
  <c r="CW51" i="5"/>
  <c r="CK36" i="5"/>
  <c r="CL3" i="5"/>
  <c r="CL47" i="5"/>
  <c r="CL54" i="5"/>
  <c r="CL16" i="5"/>
  <c r="CL66" i="5"/>
  <c r="CL4" i="5"/>
  <c r="CL67" i="5"/>
  <c r="CL51" i="5"/>
  <c r="CI57" i="5"/>
  <c r="CI40" i="5"/>
  <c r="CI31" i="5"/>
  <c r="CI45" i="5"/>
  <c r="CL40" i="5"/>
  <c r="CI47" i="5"/>
  <c r="CI55" i="5"/>
  <c r="CI67" i="5"/>
  <c r="CI39" i="5"/>
  <c r="CI68" i="5"/>
  <c r="CI46" i="5"/>
  <c r="CI7" i="5"/>
  <c r="CI32" i="5"/>
  <c r="CI23" i="5"/>
  <c r="CI30" i="5"/>
  <c r="CI13" i="5"/>
  <c r="CI25" i="5"/>
  <c r="CL56" i="5"/>
  <c r="CI50" i="5"/>
  <c r="CI16" i="5"/>
  <c r="CI51" i="5"/>
  <c r="CI35" i="5"/>
  <c r="W49" i="1"/>
  <c r="W47" i="1"/>
  <c r="W48" i="1"/>
  <c r="W54" i="1"/>
  <c r="I54" i="1" s="1"/>
  <c r="W51" i="1"/>
  <c r="I51" i="1" s="1"/>
  <c r="W50" i="1"/>
  <c r="I50" i="1" s="1"/>
  <c r="W46" i="1"/>
  <c r="W45" i="1"/>
  <c r="W57" i="1"/>
  <c r="I57" i="1" s="1"/>
  <c r="W52" i="1"/>
  <c r="I52" i="1" s="1"/>
  <c r="W53" i="1"/>
  <c r="I53" i="1" s="1"/>
  <c r="W55" i="1"/>
  <c r="I55" i="1" s="1"/>
  <c r="W56" i="1"/>
  <c r="I56" i="1" s="1"/>
  <c r="W43" i="1"/>
  <c r="D43" i="1" s="1"/>
  <c r="E43" i="1" s="1"/>
  <c r="V41" i="1"/>
  <c r="W41" i="1" s="1"/>
  <c r="AB41" i="1" s="1"/>
  <c r="W42" i="1"/>
  <c r="AH47" i="1"/>
  <c r="AI47" i="1"/>
  <c r="AJ47" i="1" s="1"/>
  <c r="EU40" i="7" l="1"/>
  <c r="EV40" i="7" s="1"/>
  <c r="EL48" i="7" s="1"/>
  <c r="GB40" i="7"/>
  <c r="AW11" i="7"/>
  <c r="DD40" i="7"/>
  <c r="FI16" i="7"/>
  <c r="FJ16" i="7" s="1"/>
  <c r="FH20" i="7"/>
  <c r="FH18" i="7"/>
  <c r="FN16" i="7"/>
  <c r="DA106" i="7"/>
  <c r="DA105" i="7"/>
  <c r="EE42" i="7"/>
  <c r="DA104" i="7"/>
  <c r="EE43" i="7"/>
  <c r="ES43" i="7"/>
  <c r="CM45" i="7"/>
  <c r="EE41" i="7"/>
  <c r="ES41" i="7"/>
  <c r="ES42" i="7"/>
  <c r="EK47" i="7"/>
  <c r="EI45" i="7"/>
  <c r="AU109" i="7"/>
  <c r="CN57" i="5"/>
  <c r="L68" i="7" s="1"/>
  <c r="CN58" i="5"/>
  <c r="L69" i="7" s="1"/>
  <c r="CN56" i="5"/>
  <c r="L67" i="7" s="1"/>
  <c r="EJ46" i="7"/>
  <c r="EH44" i="7"/>
  <c r="EM44" i="7" s="1"/>
  <c r="CO45" i="7"/>
  <c r="FT45" i="7" s="1"/>
  <c r="FI15" i="7"/>
  <c r="FM15" i="7"/>
  <c r="FO15" i="7" s="1"/>
  <c r="FM16" i="7"/>
  <c r="FO16" i="7" s="1"/>
  <c r="M69" i="7"/>
  <c r="CP58" i="5"/>
  <c r="M45" i="7"/>
  <c r="CP34" i="5"/>
  <c r="CO64" i="5"/>
  <c r="K75" i="7"/>
  <c r="M22" i="7"/>
  <c r="CP11" i="5"/>
  <c r="M25" i="7"/>
  <c r="CP14" i="5"/>
  <c r="M23" i="7"/>
  <c r="CP12" i="5"/>
  <c r="M38" i="7"/>
  <c r="CP27" i="5"/>
  <c r="M48" i="7"/>
  <c r="CP37" i="5"/>
  <c r="M24" i="7"/>
  <c r="CP13" i="5"/>
  <c r="M29" i="7"/>
  <c r="CP18" i="5"/>
  <c r="M21" i="7"/>
  <c r="CP10" i="5"/>
  <c r="M60" i="7"/>
  <c r="CP49" i="5"/>
  <c r="M66" i="7"/>
  <c r="CP55" i="5"/>
  <c r="CN12" i="5"/>
  <c r="L23" i="7" s="1"/>
  <c r="K20" i="7"/>
  <c r="M72" i="7"/>
  <c r="CP61" i="5"/>
  <c r="M54" i="7"/>
  <c r="CP43" i="5"/>
  <c r="M35" i="7"/>
  <c r="CP24" i="5"/>
  <c r="M78" i="7"/>
  <c r="CP67" i="5"/>
  <c r="M27" i="7"/>
  <c r="CP16" i="5"/>
  <c r="M28" i="7"/>
  <c r="CP17" i="5"/>
  <c r="M52" i="7"/>
  <c r="CP41" i="5"/>
  <c r="M67" i="7"/>
  <c r="CP56" i="5"/>
  <c r="M39" i="7"/>
  <c r="CP28" i="5"/>
  <c r="M51" i="7"/>
  <c r="CP40" i="5"/>
  <c r="M46" i="7"/>
  <c r="CP35" i="5"/>
  <c r="M19" i="7"/>
  <c r="CP8" i="5"/>
  <c r="M30" i="7"/>
  <c r="CP19" i="5"/>
  <c r="M32" i="7"/>
  <c r="CP21" i="5"/>
  <c r="M59" i="7"/>
  <c r="CP48" i="5"/>
  <c r="M55" i="7"/>
  <c r="CP44" i="5"/>
  <c r="M47" i="7"/>
  <c r="CP36" i="5"/>
  <c r="M36" i="7"/>
  <c r="CP25" i="5"/>
  <c r="M31" i="7"/>
  <c r="CP20" i="5"/>
  <c r="CN25" i="5"/>
  <c r="L36" i="7" s="1"/>
  <c r="K33" i="7"/>
  <c r="M63" i="7"/>
  <c r="CP52" i="5"/>
  <c r="M49" i="7"/>
  <c r="CP38" i="5"/>
  <c r="M57" i="7"/>
  <c r="CP46" i="5"/>
  <c r="M16" i="7"/>
  <c r="CP5" i="5"/>
  <c r="M40" i="7"/>
  <c r="CP29" i="5"/>
  <c r="M53" i="7"/>
  <c r="CP42" i="5"/>
  <c r="CK46" i="7"/>
  <c r="CL46" i="7" s="1"/>
  <c r="CN46" i="7" s="1"/>
  <c r="CQ14" i="7"/>
  <c r="CR14" i="7" s="1"/>
  <c r="M74" i="7"/>
  <c r="CP63" i="5"/>
  <c r="M62" i="7"/>
  <c r="CP51" i="5"/>
  <c r="M56" i="7"/>
  <c r="CP45" i="5"/>
  <c r="M64" i="7"/>
  <c r="CP53" i="5"/>
  <c r="CO60" i="5"/>
  <c r="K71" i="7"/>
  <c r="M15" i="7"/>
  <c r="CP4" i="5"/>
  <c r="M43" i="7"/>
  <c r="CP32" i="5"/>
  <c r="M58" i="7"/>
  <c r="CP47" i="5"/>
  <c r="M37" i="7"/>
  <c r="CP26" i="5"/>
  <c r="CN37" i="5"/>
  <c r="L48" i="7" s="1"/>
  <c r="K50" i="7"/>
  <c r="M41" i="7"/>
  <c r="CP30" i="5"/>
  <c r="M42" i="7"/>
  <c r="CP31" i="5"/>
  <c r="M65" i="7"/>
  <c r="CP54" i="5"/>
  <c r="M77" i="7"/>
  <c r="CP66" i="5"/>
  <c r="M26" i="7"/>
  <c r="CP15" i="5"/>
  <c r="M34" i="7"/>
  <c r="CP23" i="5"/>
  <c r="M44" i="7"/>
  <c r="CP33" i="5"/>
  <c r="M76" i="7"/>
  <c r="CP65" i="5"/>
  <c r="M79" i="7"/>
  <c r="CP68" i="5"/>
  <c r="M61" i="7"/>
  <c r="CP50" i="5"/>
  <c r="M18" i="7"/>
  <c r="CP7" i="5"/>
  <c r="M70" i="7"/>
  <c r="CP59" i="5"/>
  <c r="M68" i="7"/>
  <c r="CP57" i="5"/>
  <c r="M73" i="7"/>
  <c r="CP62" i="5"/>
  <c r="CV61" i="5"/>
  <c r="CV63" i="5"/>
  <c r="CY45" i="5"/>
  <c r="CZ49" i="5"/>
  <c r="CV60" i="5"/>
  <c r="CV44" i="5"/>
  <c r="CV62" i="5"/>
  <c r="CV64" i="5"/>
  <c r="BY51" i="5"/>
  <c r="CX50" i="5"/>
  <c r="CZ50" i="5" s="1"/>
  <c r="CN60" i="5"/>
  <c r="L71" i="7" s="1"/>
  <c r="CN10" i="5"/>
  <c r="L21" i="7" s="1"/>
  <c r="CV67" i="5"/>
  <c r="CN39" i="5"/>
  <c r="L50" i="7" s="1"/>
  <c r="CV14" i="5"/>
  <c r="CV21" i="5"/>
  <c r="CV12" i="5"/>
  <c r="CN67" i="5"/>
  <c r="L78" i="7" s="1"/>
  <c r="H16" i="4"/>
  <c r="K16" i="4"/>
  <c r="I16" i="4"/>
  <c r="CV26" i="5"/>
  <c r="CV22" i="5"/>
  <c r="CV38" i="5"/>
  <c r="CV43" i="5"/>
  <c r="CV19" i="5"/>
  <c r="CV20" i="5"/>
  <c r="CN66" i="5"/>
  <c r="L77" i="7" s="1"/>
  <c r="CV35" i="5"/>
  <c r="CV27" i="5"/>
  <c r="CN68" i="5"/>
  <c r="L79" i="7" s="1"/>
  <c r="CV42" i="5"/>
  <c r="CN64" i="5"/>
  <c r="L75" i="7" s="1"/>
  <c r="CV36" i="5"/>
  <c r="CV25" i="5"/>
  <c r="CV10" i="5"/>
  <c r="CN13" i="5"/>
  <c r="L24" i="7" s="1"/>
  <c r="CN65" i="5"/>
  <c r="L76" i="7" s="1"/>
  <c r="CV9" i="5"/>
  <c r="CN9" i="5"/>
  <c r="L20" i="7" s="1"/>
  <c r="CN27" i="5"/>
  <c r="L38" i="7" s="1"/>
  <c r="CO22" i="5"/>
  <c r="CN21" i="5"/>
  <c r="L32" i="7" s="1"/>
  <c r="CN44" i="5"/>
  <c r="L55" i="7" s="1"/>
  <c r="CO39" i="5"/>
  <c r="CN43" i="5"/>
  <c r="L54" i="7" s="1"/>
  <c r="CV5" i="5"/>
  <c r="CN19" i="5"/>
  <c r="L30" i="7" s="1"/>
  <c r="CN36" i="5"/>
  <c r="L47" i="7" s="1"/>
  <c r="CN24" i="5"/>
  <c r="L35" i="7" s="1"/>
  <c r="CV3" i="5"/>
  <c r="CN23" i="5"/>
  <c r="L34" i="7" s="1"/>
  <c r="CV37" i="5"/>
  <c r="CV4" i="5"/>
  <c r="CN18" i="5"/>
  <c r="L29" i="7" s="1"/>
  <c r="CN41" i="5"/>
  <c r="L52" i="7" s="1"/>
  <c r="CV23" i="5"/>
  <c r="CV39" i="5"/>
  <c r="CV66" i="5"/>
  <c r="CV65" i="5"/>
  <c r="CV68" i="5"/>
  <c r="CN42" i="5"/>
  <c r="L53" i="7" s="1"/>
  <c r="CN35" i="5"/>
  <c r="L46" i="7" s="1"/>
  <c r="CN63" i="5"/>
  <c r="L74" i="7" s="1"/>
  <c r="CN38" i="5"/>
  <c r="L49" i="7" s="1"/>
  <c r="CN14" i="5"/>
  <c r="L25" i="7" s="1"/>
  <c r="CO9" i="5"/>
  <c r="CV11" i="5"/>
  <c r="CV7" i="5"/>
  <c r="CN26" i="5"/>
  <c r="L37" i="7" s="1"/>
  <c r="CN61" i="5"/>
  <c r="L72" i="7" s="1"/>
  <c r="CN11" i="5"/>
  <c r="L22" i="7" s="1"/>
  <c r="CO6" i="5"/>
  <c r="CV40" i="5"/>
  <c r="CV41" i="5"/>
  <c r="CV13" i="5"/>
  <c r="CV6" i="5"/>
  <c r="CN20" i="5"/>
  <c r="L31" i="7" s="1"/>
  <c r="CN22" i="5"/>
  <c r="L33" i="7" s="1"/>
  <c r="CN62" i="5"/>
  <c r="L73" i="7" s="1"/>
  <c r="CV18" i="5"/>
  <c r="CV24" i="5"/>
  <c r="CN40" i="5"/>
  <c r="L51" i="7" s="1"/>
  <c r="CV8" i="5"/>
  <c r="CN3" i="5"/>
  <c r="L14" i="7" s="1"/>
  <c r="CN8" i="5"/>
  <c r="L19" i="7" s="1"/>
  <c r="CN7" i="5"/>
  <c r="L18" i="7" s="1"/>
  <c r="CN6" i="5"/>
  <c r="L17" i="7" s="1"/>
  <c r="CN5" i="5"/>
  <c r="L16" i="7" s="1"/>
  <c r="CN4" i="5"/>
  <c r="L15" i="7" s="1"/>
  <c r="CO3" i="5"/>
  <c r="D45" i="1"/>
  <c r="E45" i="1" s="1"/>
  <c r="I45" i="1"/>
  <c r="I46" i="1"/>
  <c r="D46" i="1"/>
  <c r="E46" i="1" s="1"/>
  <c r="I48" i="1"/>
  <c r="E48" i="1"/>
  <c r="E47" i="1"/>
  <c r="I47" i="1"/>
  <c r="E49" i="1"/>
  <c r="I49" i="1"/>
  <c r="CL41" i="1"/>
  <c r="I41" i="1"/>
  <c r="E41" i="1"/>
  <c r="E42" i="1"/>
  <c r="EU43" i="7" l="1"/>
  <c r="EV43" i="7" s="1"/>
  <c r="EK50" i="7" s="1"/>
  <c r="GB43" i="7"/>
  <c r="DD42" i="7"/>
  <c r="GB42" i="7"/>
  <c r="FV45" i="7"/>
  <c r="FU45" i="7"/>
  <c r="FW45" i="7" s="1"/>
  <c r="GE40" i="7"/>
  <c r="GC40" i="7"/>
  <c r="DD41" i="7"/>
  <c r="GB41" i="7"/>
  <c r="FJ15" i="7"/>
  <c r="FN15" i="7"/>
  <c r="FN14" i="7"/>
  <c r="FO14" i="7"/>
  <c r="DD43" i="7"/>
  <c r="EU41" i="7"/>
  <c r="EV41" i="7" s="1"/>
  <c r="EK48" i="7" s="1"/>
  <c r="EU42" i="7"/>
  <c r="EV42" i="7" s="1"/>
  <c r="EH46" i="7" s="1"/>
  <c r="CM46" i="7"/>
  <c r="U11" i="7"/>
  <c r="V11" i="7"/>
  <c r="EP44" i="7"/>
  <c r="EQ44" i="7" s="1"/>
  <c r="ER44" i="7" s="1"/>
  <c r="DA109" i="7"/>
  <c r="DA80" i="7" s="1"/>
  <c r="AU110" i="7"/>
  <c r="AU80" i="7"/>
  <c r="EJ49" i="7"/>
  <c r="CY46" i="5"/>
  <c r="EL51" i="7"/>
  <c r="EI48" i="7"/>
  <c r="CQ45" i="7"/>
  <c r="CR45" i="7" s="1"/>
  <c r="AY45" i="7"/>
  <c r="CO46" i="7"/>
  <c r="FT46" i="7" s="1"/>
  <c r="M71" i="7"/>
  <c r="CP60" i="5"/>
  <c r="N47" i="7"/>
  <c r="Y50" i="7" s="1"/>
  <c r="N72" i="7"/>
  <c r="Y75" i="7" s="1"/>
  <c r="N38" i="7"/>
  <c r="AB44" i="7" s="1"/>
  <c r="N65" i="7"/>
  <c r="Z69" i="7" s="1"/>
  <c r="M50" i="7"/>
  <c r="CP39" i="5"/>
  <c r="N57" i="7"/>
  <c r="Y60" i="7" s="1"/>
  <c r="N59" i="7"/>
  <c r="Z63" i="7" s="1"/>
  <c r="N52" i="7"/>
  <c r="AA57" i="7" s="1"/>
  <c r="N66" i="7"/>
  <c r="Z70" i="7" s="1"/>
  <c r="N23" i="7"/>
  <c r="Z27" i="7" s="1"/>
  <c r="N18" i="7"/>
  <c r="AB24" i="7" s="1"/>
  <c r="N55" i="7"/>
  <c r="Y58" i="7" s="1"/>
  <c r="N76" i="7"/>
  <c r="AB82" i="7" s="1"/>
  <c r="N39" i="7"/>
  <c r="AB45" i="7" s="1"/>
  <c r="M33" i="7"/>
  <c r="CP22" i="5"/>
  <c r="N64" i="7"/>
  <c r="Z68" i="7" s="1"/>
  <c r="M17" i="7"/>
  <c r="CP6" i="5"/>
  <c r="N79" i="7"/>
  <c r="Y82" i="7" s="1"/>
  <c r="N49" i="7"/>
  <c r="AB55" i="7" s="1"/>
  <c r="N32" i="7"/>
  <c r="Y35" i="7" s="1"/>
  <c r="N28" i="7"/>
  <c r="Z32" i="7" s="1"/>
  <c r="N60" i="7"/>
  <c r="AB66" i="7" s="1"/>
  <c r="N25" i="7"/>
  <c r="Y28" i="7" s="1"/>
  <c r="N61" i="7"/>
  <c r="AB67" i="7" s="1"/>
  <c r="N44" i="7"/>
  <c r="Y47" i="7" s="1"/>
  <c r="N67" i="7"/>
  <c r="AB73" i="7" s="1"/>
  <c r="N74" i="7"/>
  <c r="AA79" i="7" s="1"/>
  <c r="N63" i="7"/>
  <c r="Y66" i="7" s="1"/>
  <c r="N30" i="7"/>
  <c r="AB36" i="7" s="1"/>
  <c r="N27" i="7"/>
  <c r="AB33" i="7" s="1"/>
  <c r="N21" i="7"/>
  <c r="AA26" i="7" s="1"/>
  <c r="N22" i="7"/>
  <c r="Y25" i="7" s="1"/>
  <c r="N41" i="7"/>
  <c r="Y44" i="7" s="1"/>
  <c r="N73" i="7"/>
  <c r="Y76" i="7" s="1"/>
  <c r="N34" i="7"/>
  <c r="AB40" i="7" s="1"/>
  <c r="N58" i="7"/>
  <c r="AB64" i="7" s="1"/>
  <c r="N40" i="7"/>
  <c r="AB46" i="7" s="1"/>
  <c r="N56" i="7"/>
  <c r="AA61" i="7" s="1"/>
  <c r="N19" i="7"/>
  <c r="Y22" i="7" s="1"/>
  <c r="N78" i="7"/>
  <c r="Z82" i="7" s="1"/>
  <c r="N29" i="7"/>
  <c r="AB35" i="7" s="1"/>
  <c r="M75" i="7"/>
  <c r="CP64" i="5"/>
  <c r="N42" i="7"/>
  <c r="AB48" i="7" s="1"/>
  <c r="N37" i="7"/>
  <c r="AA42" i="7" s="1"/>
  <c r="N68" i="7"/>
  <c r="Z72" i="7" s="1"/>
  <c r="N26" i="7"/>
  <c r="AB32" i="7" s="1"/>
  <c r="N43" i="7"/>
  <c r="AB49" i="7" s="1"/>
  <c r="N51" i="7"/>
  <c r="AA56" i="7" s="1"/>
  <c r="N31" i="7"/>
  <c r="Z35" i="7" s="1"/>
  <c r="N46" i="7"/>
  <c r="Y49" i="7" s="1"/>
  <c r="N35" i="7"/>
  <c r="AB41" i="7" s="1"/>
  <c r="N24" i="7"/>
  <c r="AB30" i="7" s="1"/>
  <c r="N45" i="7"/>
  <c r="AB51" i="7" s="1"/>
  <c r="M14" i="7"/>
  <c r="CP3" i="5"/>
  <c r="M20" i="7"/>
  <c r="CP9" i="5"/>
  <c r="N70" i="7"/>
  <c r="Y73" i="7" s="1"/>
  <c r="N77" i="7"/>
  <c r="Z81" i="7" s="1"/>
  <c r="N15" i="7"/>
  <c r="AW15" i="7" s="1"/>
  <c r="N16" i="7"/>
  <c r="AW16" i="7" s="1"/>
  <c r="N62" i="7"/>
  <c r="AB68" i="7" s="1"/>
  <c r="N53" i="7"/>
  <c r="AB59" i="7" s="1"/>
  <c r="N36" i="7"/>
  <c r="AB42" i="7" s="1"/>
  <c r="N54" i="7"/>
  <c r="Y57" i="7" s="1"/>
  <c r="N48" i="7"/>
  <c r="AA53" i="7" s="1"/>
  <c r="N69" i="7"/>
  <c r="Y72" i="7" s="1"/>
  <c r="BY52" i="5"/>
  <c r="CX51" i="5"/>
  <c r="CZ51" i="5" s="1"/>
  <c r="M16" i="4"/>
  <c r="Q16" i="4" s="1"/>
  <c r="J15" i="4"/>
  <c r="I44" i="1"/>
  <c r="D44" i="1"/>
  <c r="EH47" i="7" l="1"/>
  <c r="FV46" i="7"/>
  <c r="FU46" i="7"/>
  <c r="GF40" i="7"/>
  <c r="GD46" i="7"/>
  <c r="ES44" i="7"/>
  <c r="DD44" i="7" s="1"/>
  <c r="GC43" i="7"/>
  <c r="GE43" i="7"/>
  <c r="GE41" i="7"/>
  <c r="GC41" i="7"/>
  <c r="FX45" i="7"/>
  <c r="FZ45" i="7"/>
  <c r="GC42" i="7"/>
  <c r="GE42" i="7"/>
  <c r="EE44" i="7"/>
  <c r="FJ14" i="7"/>
  <c r="EH45" i="7"/>
  <c r="EM45" i="7" s="1"/>
  <c r="EP45" i="7" s="1"/>
  <c r="EQ45" i="7" s="1"/>
  <c r="ER45" i="7" s="1"/>
  <c r="EJ47" i="7"/>
  <c r="EL49" i="7"/>
  <c r="EI46" i="7"/>
  <c r="EM46" i="7" s="1"/>
  <c r="EI47" i="7"/>
  <c r="EL50" i="7"/>
  <c r="EK49" i="7"/>
  <c r="EJ48" i="7"/>
  <c r="GZ80" i="7"/>
  <c r="DA110" i="7"/>
  <c r="DA81" i="7" s="1"/>
  <c r="AU111" i="7"/>
  <c r="AU81" i="7"/>
  <c r="GZ81" i="7" s="1"/>
  <c r="CE51" i="7"/>
  <c r="CD50" i="7"/>
  <c r="CC49" i="7"/>
  <c r="CG53" i="7"/>
  <c r="CF52" i="7"/>
  <c r="CQ46" i="7"/>
  <c r="CR46" i="7" s="1"/>
  <c r="AY46" i="7"/>
  <c r="Z53" i="7"/>
  <c r="Z57" i="7"/>
  <c r="Y52" i="7"/>
  <c r="Y21" i="7"/>
  <c r="FP15" i="7"/>
  <c r="FP16" i="7"/>
  <c r="FP14" i="7"/>
  <c r="Z22" i="7"/>
  <c r="AA39" i="7"/>
  <c r="Z38" i="7"/>
  <c r="AA40" i="7"/>
  <c r="AA31" i="7"/>
  <c r="AB21" i="7"/>
  <c r="Z52" i="7"/>
  <c r="AB54" i="7"/>
  <c r="Z55" i="7"/>
  <c r="Z43" i="7"/>
  <c r="AA49" i="7"/>
  <c r="AA27" i="7"/>
  <c r="AB28" i="7"/>
  <c r="Y42" i="7"/>
  <c r="Z30" i="7"/>
  <c r="Z19" i="7"/>
  <c r="AB57" i="7"/>
  <c r="AA35" i="7"/>
  <c r="AC35" i="7" s="1"/>
  <c r="Y37" i="7"/>
  <c r="Y51" i="7"/>
  <c r="Y18" i="7"/>
  <c r="AA44" i="7"/>
  <c r="AA58" i="7"/>
  <c r="AB50" i="7"/>
  <c r="AA20" i="7"/>
  <c r="Y56" i="7"/>
  <c r="AA54" i="7"/>
  <c r="Z64" i="7"/>
  <c r="AB65" i="7"/>
  <c r="Z42" i="7"/>
  <c r="Y62" i="7"/>
  <c r="Y41" i="7"/>
  <c r="Y59" i="7"/>
  <c r="Y26" i="7"/>
  <c r="AA64" i="7"/>
  <c r="AA43" i="7"/>
  <c r="AB29" i="7"/>
  <c r="AB85" i="7"/>
  <c r="AC85" i="7" s="1"/>
  <c r="AD85" i="7" s="1"/>
  <c r="Y79" i="7"/>
  <c r="AA28" i="7"/>
  <c r="Z60" i="7"/>
  <c r="AA50" i="7"/>
  <c r="AA66" i="7"/>
  <c r="AB74" i="7"/>
  <c r="AB79" i="7"/>
  <c r="Z78" i="7"/>
  <c r="Y31" i="7"/>
  <c r="Z83" i="7"/>
  <c r="AA81" i="7"/>
  <c r="Z61" i="7"/>
  <c r="AA77" i="7"/>
  <c r="AA82" i="7"/>
  <c r="AC82" i="7" s="1"/>
  <c r="AD82" i="7" s="1"/>
  <c r="Z77" i="7"/>
  <c r="AB34" i="7"/>
  <c r="Z80" i="7"/>
  <c r="AB63" i="7"/>
  <c r="AB78" i="7"/>
  <c r="Z33" i="7"/>
  <c r="AA84" i="7"/>
  <c r="Y24" i="7"/>
  <c r="AB43" i="7"/>
  <c r="AA32" i="7"/>
  <c r="Y77" i="7"/>
  <c r="AA33" i="7"/>
  <c r="N17" i="7"/>
  <c r="AA22" i="7" s="1"/>
  <c r="AB72" i="7"/>
  <c r="AA62" i="7"/>
  <c r="Z76" i="7"/>
  <c r="Z25" i="7"/>
  <c r="Z67" i="7"/>
  <c r="Z50" i="7"/>
  <c r="Y71" i="7"/>
  <c r="AA34" i="7"/>
  <c r="AA67" i="7"/>
  <c r="Z31" i="7"/>
  <c r="AB61" i="7"/>
  <c r="AA71" i="7"/>
  <c r="Z49" i="7"/>
  <c r="AB27" i="7"/>
  <c r="AB52" i="7"/>
  <c r="AA78" i="7"/>
  <c r="Z58" i="7"/>
  <c r="AA36" i="7"/>
  <c r="AA83" i="7"/>
  <c r="AA75" i="7"/>
  <c r="AB84" i="7"/>
  <c r="AB47" i="7"/>
  <c r="Y30" i="7"/>
  <c r="Y70" i="7"/>
  <c r="AB38" i="7"/>
  <c r="AA69" i="7"/>
  <c r="Z59" i="7"/>
  <c r="Y69" i="7"/>
  <c r="Z51" i="7"/>
  <c r="Y63" i="7"/>
  <c r="AA73" i="7"/>
  <c r="AB62" i="7"/>
  <c r="Y48" i="7"/>
  <c r="AA45" i="7"/>
  <c r="Z66" i="7"/>
  <c r="Y81" i="7"/>
  <c r="Y65" i="7"/>
  <c r="Y43" i="7"/>
  <c r="DB16" i="7"/>
  <c r="AM22" i="7"/>
  <c r="AJ19" i="7"/>
  <c r="AK20" i="7"/>
  <c r="AL21" i="7"/>
  <c r="Z74" i="7"/>
  <c r="Z47" i="7"/>
  <c r="Z62" i="7"/>
  <c r="AA46" i="7"/>
  <c r="Z71" i="7"/>
  <c r="Z36" i="7"/>
  <c r="Y67" i="7"/>
  <c r="AA60" i="7"/>
  <c r="N50" i="7"/>
  <c r="Y53" i="7" s="1"/>
  <c r="AB53" i="7"/>
  <c r="AA65" i="7"/>
  <c r="Z65" i="7"/>
  <c r="AB80" i="7"/>
  <c r="Y46" i="7"/>
  <c r="AA48" i="7"/>
  <c r="Y34" i="7"/>
  <c r="AB25" i="7"/>
  <c r="AA63" i="7"/>
  <c r="Z45" i="7"/>
  <c r="AA72" i="7"/>
  <c r="AB31" i="7"/>
  <c r="AA37" i="7"/>
  <c r="AB70" i="7"/>
  <c r="AB58" i="7"/>
  <c r="AA52" i="7"/>
  <c r="N75" i="7"/>
  <c r="AB81" i="7" s="1"/>
  <c r="AA68" i="7"/>
  <c r="AA51" i="7"/>
  <c r="Y64" i="7"/>
  <c r="Y32" i="7"/>
  <c r="Y40" i="7"/>
  <c r="AB37" i="7"/>
  <c r="AA41" i="7"/>
  <c r="AB75" i="7"/>
  <c r="Y39" i="7"/>
  <c r="Z20" i="7"/>
  <c r="N20" i="7"/>
  <c r="Y23" i="7" s="1"/>
  <c r="Y38" i="7"/>
  <c r="AA47" i="7"/>
  <c r="Z23" i="7"/>
  <c r="Y61" i="7"/>
  <c r="Y33" i="7"/>
  <c r="Z29" i="7"/>
  <c r="Z56" i="7"/>
  <c r="AA70" i="7"/>
  <c r="AB69" i="7"/>
  <c r="AB60" i="7"/>
  <c r="Z44" i="7"/>
  <c r="AB83" i="7"/>
  <c r="Y27" i="7"/>
  <c r="Z28" i="7"/>
  <c r="Z40" i="7"/>
  <c r="AA29" i="7"/>
  <c r="Y19" i="7"/>
  <c r="Y45" i="7"/>
  <c r="AA74" i="7"/>
  <c r="AA21" i="7"/>
  <c r="Z39" i="7"/>
  <c r="Y54" i="7"/>
  <c r="Y29" i="7"/>
  <c r="Z46" i="7"/>
  <c r="AA24" i="7"/>
  <c r="Z26" i="7"/>
  <c r="Z34" i="7"/>
  <c r="Z48" i="7"/>
  <c r="AA30" i="7"/>
  <c r="N33" i="7"/>
  <c r="Z37" i="7" s="1"/>
  <c r="AA23" i="7"/>
  <c r="Y55" i="7"/>
  <c r="Y68" i="7"/>
  <c r="AA59" i="7"/>
  <c r="Y80" i="7"/>
  <c r="AB76" i="7"/>
  <c r="Z41" i="7"/>
  <c r="AB22" i="7"/>
  <c r="Z73" i="7"/>
  <c r="DB15" i="7"/>
  <c r="AK19" i="7"/>
  <c r="AJ18" i="7"/>
  <c r="AM21" i="7"/>
  <c r="AL20" i="7"/>
  <c r="N14" i="7"/>
  <c r="AW14" i="7" s="1"/>
  <c r="AB71" i="7"/>
  <c r="N71" i="7"/>
  <c r="AB77" i="7" s="1"/>
  <c r="BY53" i="5"/>
  <c r="CX52" i="5"/>
  <c r="CY47" i="5"/>
  <c r="G17" i="4"/>
  <c r="L17" i="4"/>
  <c r="R16" i="4"/>
  <c r="E44" i="1"/>
  <c r="G41" i="2"/>
  <c r="GF43" i="7" l="1"/>
  <c r="GD49" i="7"/>
  <c r="EU44" i="7"/>
  <c r="EV44" i="7" s="1"/>
  <c r="GB44" i="7"/>
  <c r="GG46" i="7"/>
  <c r="GH40" i="7"/>
  <c r="GJ40" i="7"/>
  <c r="GA45" i="7"/>
  <c r="GF41" i="7"/>
  <c r="GD47" i="7"/>
  <c r="FW46" i="7"/>
  <c r="GF42" i="7"/>
  <c r="GD48" i="7"/>
  <c r="EE45" i="7"/>
  <c r="EP46" i="7"/>
  <c r="EQ46" i="7" s="1"/>
  <c r="ER46" i="7" s="1"/>
  <c r="EM47" i="7"/>
  <c r="ES45" i="7"/>
  <c r="DD45" i="7"/>
  <c r="CE52" i="7"/>
  <c r="AU112" i="7"/>
  <c r="DA111" i="7"/>
  <c r="DA82" i="7" s="1"/>
  <c r="AU82" i="7"/>
  <c r="GZ82" i="7" s="1"/>
  <c r="CD51" i="7"/>
  <c r="CF53" i="7"/>
  <c r="CC50" i="7"/>
  <c r="CG54" i="7"/>
  <c r="AC44" i="7"/>
  <c r="AF44" i="7" s="1"/>
  <c r="AC72" i="7"/>
  <c r="AF72" i="7" s="1"/>
  <c r="AG72" i="7" s="1"/>
  <c r="AC47" i="7"/>
  <c r="AD47" i="7" s="1"/>
  <c r="AC57" i="7"/>
  <c r="AF57" i="7" s="1"/>
  <c r="AG57" i="7" s="1"/>
  <c r="AC58" i="7"/>
  <c r="AD58" i="7" s="1"/>
  <c r="AC73" i="7"/>
  <c r="AD73" i="7" s="1"/>
  <c r="AC51" i="7"/>
  <c r="AF51" i="7" s="1"/>
  <c r="AC32" i="7"/>
  <c r="AF32" i="7" s="1"/>
  <c r="AC81" i="7"/>
  <c r="AD81" i="7" s="1"/>
  <c r="AC50" i="7"/>
  <c r="AD50" i="7" s="1"/>
  <c r="AC52" i="7"/>
  <c r="AD52" i="7" s="1"/>
  <c r="AC37" i="7"/>
  <c r="AD37" i="7" s="1"/>
  <c r="AC28" i="7"/>
  <c r="AD28" i="7" s="1"/>
  <c r="AC66" i="7"/>
  <c r="AF66" i="7" s="1"/>
  <c r="AG66" i="7" s="1"/>
  <c r="AC40" i="7"/>
  <c r="AD40" i="7" s="1"/>
  <c r="AC60" i="7"/>
  <c r="AF60" i="7" s="1"/>
  <c r="AG60" i="7" s="1"/>
  <c r="AA80" i="7"/>
  <c r="AC80" i="7" s="1"/>
  <c r="AD80" i="7" s="1"/>
  <c r="AC22" i="7"/>
  <c r="AD22" i="7" s="1"/>
  <c r="AC49" i="7"/>
  <c r="AD49" i="7" s="1"/>
  <c r="AC33" i="7"/>
  <c r="AF33" i="7" s="1"/>
  <c r="AC41" i="7"/>
  <c r="AD41" i="7" s="1"/>
  <c r="AC53" i="7"/>
  <c r="AD53" i="7" s="1"/>
  <c r="AC69" i="7"/>
  <c r="AD69" i="7" s="1"/>
  <c r="AC62" i="7"/>
  <c r="AF62" i="7" s="1"/>
  <c r="AG62" i="7" s="1"/>
  <c r="AC29" i="7"/>
  <c r="AF29" i="7" s="1"/>
  <c r="AC30" i="7"/>
  <c r="AF30" i="7" s="1"/>
  <c r="AC42" i="7"/>
  <c r="AD42" i="7" s="1"/>
  <c r="AC68" i="7"/>
  <c r="AD68" i="7" s="1"/>
  <c r="AC43" i="7"/>
  <c r="AF43" i="7" s="1"/>
  <c r="AB20" i="7"/>
  <c r="Y17" i="7"/>
  <c r="AC17" i="7" s="1"/>
  <c r="AF17" i="7" s="1"/>
  <c r="AA19" i="7"/>
  <c r="AC19" i="7" s="1"/>
  <c r="AB23" i="7"/>
  <c r="AC23" i="7" s="1"/>
  <c r="AA55" i="7"/>
  <c r="AC55" i="7" s="1"/>
  <c r="AC77" i="7"/>
  <c r="AF35" i="7"/>
  <c r="AD35" i="7"/>
  <c r="AC65" i="7"/>
  <c r="AA38" i="7"/>
  <c r="AC38" i="7" s="1"/>
  <c r="AC71" i="7"/>
  <c r="Z21" i="7"/>
  <c r="AC21" i="7" s="1"/>
  <c r="AC46" i="7"/>
  <c r="Z54" i="7"/>
  <c r="AC54" i="7" s="1"/>
  <c r="Y74" i="7"/>
  <c r="AC74" i="7" s="1"/>
  <c r="AC48" i="7"/>
  <c r="Y20" i="7"/>
  <c r="AC61" i="7"/>
  <c r="AC45" i="7"/>
  <c r="AC67" i="7"/>
  <c r="AC84" i="7"/>
  <c r="AD84" i="7" s="1"/>
  <c r="Z75" i="7"/>
  <c r="AC75" i="7" s="1"/>
  <c r="AB26" i="7"/>
  <c r="AC26" i="7" s="1"/>
  <c r="Z79" i="7"/>
  <c r="AC79" i="7" s="1"/>
  <c r="AB56" i="7"/>
  <c r="AC56" i="7" s="1"/>
  <c r="AC27" i="7"/>
  <c r="AA25" i="7"/>
  <c r="AC25" i="7" s="1"/>
  <c r="Y78" i="7"/>
  <c r="AC78" i="7" s="1"/>
  <c r="AC63" i="7"/>
  <c r="AC70" i="7"/>
  <c r="AC64" i="7"/>
  <c r="AB39" i="7"/>
  <c r="AC39" i="7" s="1"/>
  <c r="AA76" i="7"/>
  <c r="AC76" i="7" s="1"/>
  <c r="Z24" i="7"/>
  <c r="AC24" i="7" s="1"/>
  <c r="AM20" i="7"/>
  <c r="AL19" i="7"/>
  <c r="AN19" i="7" s="1"/>
  <c r="FE19" i="7" s="1"/>
  <c r="AK18" i="7"/>
  <c r="AN18" i="7" s="1"/>
  <c r="FE18" i="7" s="1"/>
  <c r="DB14" i="7"/>
  <c r="AJ17" i="7"/>
  <c r="AN17" i="7" s="1"/>
  <c r="FE17" i="7" s="1"/>
  <c r="AC83" i="7"/>
  <c r="AD83" i="7" s="1"/>
  <c r="AC34" i="7"/>
  <c r="Y36" i="7"/>
  <c r="AC36" i="7" s="1"/>
  <c r="Z18" i="7"/>
  <c r="AC18" i="7" s="1"/>
  <c r="AC31" i="7"/>
  <c r="AC59" i="7"/>
  <c r="CY48" i="5"/>
  <c r="CZ52" i="5"/>
  <c r="BY54" i="5"/>
  <c r="CX53" i="5"/>
  <c r="CZ53" i="5" s="1"/>
  <c r="H17" i="4"/>
  <c r="K17" i="4"/>
  <c r="I17" i="4"/>
  <c r="GE44" i="7" l="1"/>
  <c r="GC44" i="7"/>
  <c r="FZ46" i="7"/>
  <c r="FX46" i="7"/>
  <c r="ES46" i="7"/>
  <c r="DD46" i="7" s="1"/>
  <c r="EJ50" i="7"/>
  <c r="EK51" i="7"/>
  <c r="EI49" i="7"/>
  <c r="EH48" i="7"/>
  <c r="EM48" i="7" s="1"/>
  <c r="EL52" i="7"/>
  <c r="GG48" i="7"/>
  <c r="GH42" i="7"/>
  <c r="GJ42" i="7"/>
  <c r="GK42" i="7" s="1"/>
  <c r="GH41" i="7"/>
  <c r="GG47" i="7"/>
  <c r="GJ41" i="7"/>
  <c r="GK41" i="7" s="1"/>
  <c r="GK40" i="7"/>
  <c r="EU45" i="7"/>
  <c r="EV45" i="7" s="1"/>
  <c r="GB45" i="7"/>
  <c r="EP47" i="7"/>
  <c r="EQ47" i="7" s="1"/>
  <c r="ER47" i="7" s="1"/>
  <c r="GG49" i="7"/>
  <c r="GH43" i="7"/>
  <c r="GJ43" i="7"/>
  <c r="GK43" i="7" s="1"/>
  <c r="EE46" i="7"/>
  <c r="AU135" i="7"/>
  <c r="AD51" i="7"/>
  <c r="AU113" i="7"/>
  <c r="DA112" i="7"/>
  <c r="DA83" i="7" s="1"/>
  <c r="AU83" i="7"/>
  <c r="AF50" i="7"/>
  <c r="AI50" i="7" s="1"/>
  <c r="AD72" i="7"/>
  <c r="AD57" i="7"/>
  <c r="AD44" i="7"/>
  <c r="AD43" i="7"/>
  <c r="AD32" i="7"/>
  <c r="AF58" i="7"/>
  <c r="AG58" i="7" s="1"/>
  <c r="AF73" i="7"/>
  <c r="AG73" i="7" s="1"/>
  <c r="AF47" i="7"/>
  <c r="AG47" i="7" s="1"/>
  <c r="AD66" i="7"/>
  <c r="AD60" i="7"/>
  <c r="AF37" i="7"/>
  <c r="AI37" i="7" s="1"/>
  <c r="AF40" i="7"/>
  <c r="AI40" i="7" s="1"/>
  <c r="AF42" i="7"/>
  <c r="AG42" i="7" s="1"/>
  <c r="AF22" i="7"/>
  <c r="AG22" i="7" s="1"/>
  <c r="AF49" i="7"/>
  <c r="AI49" i="7" s="1"/>
  <c r="AD30" i="7"/>
  <c r="AF28" i="7"/>
  <c r="AI28" i="7" s="1"/>
  <c r="AF52" i="7"/>
  <c r="AI52" i="7" s="1"/>
  <c r="AD62" i="7"/>
  <c r="AF69" i="7"/>
  <c r="AG69" i="7" s="1"/>
  <c r="AF68" i="7"/>
  <c r="AG68" i="7" s="1"/>
  <c r="AD29" i="7"/>
  <c r="AF53" i="7"/>
  <c r="AG53" i="7" s="1"/>
  <c r="AD33" i="7"/>
  <c r="AF41" i="7"/>
  <c r="AI41" i="7" s="1"/>
  <c r="AD17" i="7"/>
  <c r="AC20" i="7"/>
  <c r="AF20" i="7" s="1"/>
  <c r="AD24" i="7"/>
  <c r="AF24" i="7"/>
  <c r="AD23" i="7"/>
  <c r="AF23" i="7"/>
  <c r="AD56" i="7"/>
  <c r="AF56" i="7"/>
  <c r="AG56" i="7" s="1"/>
  <c r="AD26" i="7"/>
  <c r="AF26" i="7"/>
  <c r="AD39" i="7"/>
  <c r="AF39" i="7"/>
  <c r="AD46" i="7"/>
  <c r="AF46" i="7"/>
  <c r="AD27" i="7"/>
  <c r="AF27" i="7"/>
  <c r="AI33" i="7"/>
  <c r="AG33" i="7"/>
  <c r="AD31" i="7"/>
  <c r="AF31" i="7"/>
  <c r="AD61" i="7"/>
  <c r="AF61" i="7"/>
  <c r="AG61" i="7" s="1"/>
  <c r="AD48" i="7"/>
  <c r="AF48" i="7"/>
  <c r="AD78" i="7"/>
  <c r="AF78" i="7"/>
  <c r="AG78" i="7" s="1"/>
  <c r="AG32" i="7"/>
  <c r="AI32" i="7"/>
  <c r="AD38" i="7"/>
  <c r="AF38" i="7"/>
  <c r="AD45" i="7"/>
  <c r="AF45" i="7"/>
  <c r="AD79" i="7"/>
  <c r="AF79" i="7"/>
  <c r="AG79" i="7" s="1"/>
  <c r="AG30" i="7"/>
  <c r="AI30" i="7"/>
  <c r="AD59" i="7"/>
  <c r="AF59" i="7"/>
  <c r="AG59" i="7" s="1"/>
  <c r="AD65" i="7"/>
  <c r="AF65" i="7"/>
  <c r="AG65" i="7" s="1"/>
  <c r="AD76" i="7"/>
  <c r="AF76" i="7"/>
  <c r="AG76" i="7" s="1"/>
  <c r="AI29" i="7"/>
  <c r="AG29" i="7"/>
  <c r="AG51" i="7"/>
  <c r="AI51" i="7"/>
  <c r="AD67" i="7"/>
  <c r="AF67" i="7"/>
  <c r="AG67" i="7" s="1"/>
  <c r="AD71" i="7"/>
  <c r="AF71" i="7"/>
  <c r="AG71" i="7" s="1"/>
  <c r="AD54" i="7"/>
  <c r="AF54" i="7"/>
  <c r="AG54" i="7" s="1"/>
  <c r="AD74" i="7"/>
  <c r="AF74" i="7"/>
  <c r="AG74" i="7" s="1"/>
  <c r="AG35" i="7"/>
  <c r="AI35" i="7"/>
  <c r="AD21" i="7"/>
  <c r="AF21" i="7"/>
  <c r="AD75" i="7"/>
  <c r="AF75" i="7"/>
  <c r="AG75" i="7" s="1"/>
  <c r="AI43" i="7"/>
  <c r="AG43" i="7"/>
  <c r="AD64" i="7"/>
  <c r="AF64" i="7"/>
  <c r="AG64" i="7" s="1"/>
  <c r="AG17" i="7"/>
  <c r="AI17" i="7"/>
  <c r="AO17" i="7" s="1"/>
  <c r="AP17" i="7" s="1"/>
  <c r="AD19" i="7"/>
  <c r="AF19" i="7"/>
  <c r="AD77" i="7"/>
  <c r="AF77" i="7"/>
  <c r="AG77" i="7" s="1"/>
  <c r="AD25" i="7"/>
  <c r="AF25" i="7"/>
  <c r="AI44" i="7"/>
  <c r="AG44" i="7"/>
  <c r="AD55" i="7"/>
  <c r="AF55" i="7"/>
  <c r="AG55" i="7" s="1"/>
  <c r="AD18" i="7"/>
  <c r="AF18" i="7"/>
  <c r="AD36" i="7"/>
  <c r="AF36" i="7"/>
  <c r="AD70" i="7"/>
  <c r="AF70" i="7"/>
  <c r="AG70" i="7" s="1"/>
  <c r="AD34" i="7"/>
  <c r="AF34" i="7"/>
  <c r="AD63" i="7"/>
  <c r="AF63" i="7"/>
  <c r="AG63" i="7" s="1"/>
  <c r="CY49" i="5"/>
  <c r="BY55" i="5"/>
  <c r="CX54" i="5"/>
  <c r="CZ54" i="5" s="1"/>
  <c r="M17" i="4"/>
  <c r="Q17" i="4" s="1"/>
  <c r="J16" i="4"/>
  <c r="ES47" i="7" l="1"/>
  <c r="GB47" i="7" s="1"/>
  <c r="GC47" i="7" s="1"/>
  <c r="GE47" i="7"/>
  <c r="GE45" i="7"/>
  <c r="GC45" i="7"/>
  <c r="GA46" i="7"/>
  <c r="EE47" i="7"/>
  <c r="GF44" i="7"/>
  <c r="GD50" i="7"/>
  <c r="EP48" i="7"/>
  <c r="EQ48" i="7" s="1"/>
  <c r="ER48" i="7" s="1"/>
  <c r="EL53" i="7"/>
  <c r="EH49" i="7"/>
  <c r="EM49" i="7" s="1"/>
  <c r="EJ51" i="7"/>
  <c r="EK52" i="7"/>
  <c r="EI50" i="7"/>
  <c r="EU46" i="7"/>
  <c r="EV46" i="7" s="1"/>
  <c r="GB46" i="7"/>
  <c r="EU47" i="7"/>
  <c r="EV47" i="7" s="1"/>
  <c r="DD47" i="7"/>
  <c r="AI22" i="7"/>
  <c r="AG50" i="7"/>
  <c r="AU114" i="7"/>
  <c r="DA113" i="7"/>
  <c r="DA84" i="7" s="1"/>
  <c r="AU84" i="7"/>
  <c r="AG28" i="7"/>
  <c r="AG37" i="7"/>
  <c r="AG52" i="7"/>
  <c r="AG49" i="7"/>
  <c r="AI42" i="7"/>
  <c r="AG40" i="7"/>
  <c r="AI47" i="7"/>
  <c r="AG41" i="7"/>
  <c r="AI53" i="7"/>
  <c r="AD20" i="7"/>
  <c r="AW17" i="7"/>
  <c r="FD17" i="7"/>
  <c r="FL17" i="7" s="1"/>
  <c r="AG31" i="7"/>
  <c r="AI31" i="7"/>
  <c r="AG20" i="7"/>
  <c r="AI20" i="7"/>
  <c r="AI46" i="7"/>
  <c r="AG46" i="7"/>
  <c r="AI25" i="7"/>
  <c r="AG25" i="7"/>
  <c r="AI26" i="7"/>
  <c r="AG26" i="7"/>
  <c r="AG39" i="7"/>
  <c r="AI39" i="7"/>
  <c r="AG23" i="7"/>
  <c r="AI23" i="7"/>
  <c r="AI34" i="7"/>
  <c r="AG34" i="7"/>
  <c r="AI21" i="7"/>
  <c r="AG21" i="7"/>
  <c r="AG48" i="7"/>
  <c r="AI48" i="7"/>
  <c r="AG27" i="7"/>
  <c r="AI27" i="7"/>
  <c r="AG38" i="7"/>
  <c r="AI38" i="7"/>
  <c r="AI36" i="7"/>
  <c r="AG36" i="7"/>
  <c r="AG18" i="7"/>
  <c r="AI18" i="7"/>
  <c r="AO18" i="7" s="1"/>
  <c r="AP18" i="7" s="1"/>
  <c r="AI24" i="7"/>
  <c r="AG24" i="7"/>
  <c r="AG19" i="7"/>
  <c r="AI19" i="7"/>
  <c r="AO19" i="7" s="1"/>
  <c r="AP19" i="7" s="1"/>
  <c r="AI45" i="7"/>
  <c r="AG45" i="7"/>
  <c r="CY50" i="5"/>
  <c r="BY56" i="5"/>
  <c r="CX55" i="5"/>
  <c r="CZ55" i="5" s="1"/>
  <c r="G18" i="4"/>
  <c r="L18" i="4"/>
  <c r="R17" i="4"/>
  <c r="EE48" i="7" l="1"/>
  <c r="GH44" i="7"/>
  <c r="GG50" i="7"/>
  <c r="GJ44" i="7"/>
  <c r="GE46" i="7"/>
  <c r="GC46" i="7"/>
  <c r="GF47" i="7"/>
  <c r="GD53" i="7"/>
  <c r="GF45" i="7"/>
  <c r="GD51" i="7"/>
  <c r="EK53" i="7"/>
  <c r="EJ52" i="7"/>
  <c r="EL54" i="7"/>
  <c r="EH50" i="7"/>
  <c r="EM50" i="7" s="1"/>
  <c r="EI51" i="7"/>
  <c r="EP49" i="7"/>
  <c r="EQ49" i="7" s="1"/>
  <c r="ER49" i="7" s="1"/>
  <c r="ES48" i="7"/>
  <c r="EH51" i="7"/>
  <c r="EM51" i="7" s="1"/>
  <c r="EJ53" i="7"/>
  <c r="EI52" i="7"/>
  <c r="EK54" i="7"/>
  <c r="EL55" i="7"/>
  <c r="AU115" i="7"/>
  <c r="DA114" i="7"/>
  <c r="DA85" i="7" s="1"/>
  <c r="AU85" i="7"/>
  <c r="AW19" i="7"/>
  <c r="FD19" i="7"/>
  <c r="FL19" i="7" s="1"/>
  <c r="AW18" i="7"/>
  <c r="FD18" i="7"/>
  <c r="FL18" i="7" s="1"/>
  <c r="FF17" i="7"/>
  <c r="DB17" i="7"/>
  <c r="AK21" i="7"/>
  <c r="AM23" i="7"/>
  <c r="AJ20" i="7"/>
  <c r="AN20" i="7" s="1"/>
  <c r="AL22" i="7"/>
  <c r="CY51" i="5"/>
  <c r="BY57" i="5"/>
  <c r="CX56" i="5"/>
  <c r="CZ56" i="5" s="1"/>
  <c r="H18" i="4"/>
  <c r="K18" i="4"/>
  <c r="I18" i="4"/>
  <c r="GG53" i="7" l="1"/>
  <c r="GH47" i="7"/>
  <c r="GJ47" i="7"/>
  <c r="GK47" i="7" s="1"/>
  <c r="GF46" i="7"/>
  <c r="GD52" i="7"/>
  <c r="EE49" i="7"/>
  <c r="EU48" i="7"/>
  <c r="EV48" i="7" s="1"/>
  <c r="GB48" i="7"/>
  <c r="DD48" i="7"/>
  <c r="EP50" i="7"/>
  <c r="GG51" i="7"/>
  <c r="GH45" i="7"/>
  <c r="GJ45" i="7"/>
  <c r="GK45" i="7" s="1"/>
  <c r="GK44" i="7"/>
  <c r="ES49" i="7"/>
  <c r="AO20" i="7"/>
  <c r="AP20" i="7" s="1"/>
  <c r="AW20" i="7" s="1"/>
  <c r="FE20" i="7"/>
  <c r="EP51" i="7"/>
  <c r="EQ51" i="7" s="1"/>
  <c r="ER51" i="7" s="1"/>
  <c r="AU116" i="7"/>
  <c r="DA115" i="7"/>
  <c r="DA86" i="7" s="1"/>
  <c r="AU86" i="7"/>
  <c r="FF19" i="7"/>
  <c r="FF18" i="7"/>
  <c r="AL24" i="7"/>
  <c r="AM25" i="7"/>
  <c r="AK23" i="7"/>
  <c r="AJ22" i="7"/>
  <c r="DB19" i="7"/>
  <c r="FD20" i="7"/>
  <c r="FL20" i="7" s="1"/>
  <c r="AL23" i="7"/>
  <c r="AM24" i="7"/>
  <c r="DB18" i="7"/>
  <c r="AJ21" i="7"/>
  <c r="AN21" i="7" s="1"/>
  <c r="AK22" i="7"/>
  <c r="BY58" i="5"/>
  <c r="CX57" i="5"/>
  <c r="CZ57" i="5" s="1"/>
  <c r="CY52" i="5"/>
  <c r="M18" i="4"/>
  <c r="Q18" i="4" s="1"/>
  <c r="J17" i="4"/>
  <c r="EJ54" i="7" l="1"/>
  <c r="EL56" i="7"/>
  <c r="EI53" i="7"/>
  <c r="EH52" i="7"/>
  <c r="EM52" i="7" s="1"/>
  <c r="EK55" i="7"/>
  <c r="GE48" i="7"/>
  <c r="GC48" i="7"/>
  <c r="GH46" i="7"/>
  <c r="GG52" i="7"/>
  <c r="GJ46" i="7"/>
  <c r="EQ50" i="7"/>
  <c r="EE50" i="7"/>
  <c r="EU49" i="7"/>
  <c r="EV49" i="7" s="1"/>
  <c r="GB49" i="7"/>
  <c r="DD49" i="7"/>
  <c r="FI18" i="7"/>
  <c r="FN18" i="7" s="1"/>
  <c r="FH22" i="7"/>
  <c r="FI17" i="7"/>
  <c r="FN17" i="7" s="1"/>
  <c r="FH21" i="7"/>
  <c r="FI19" i="7"/>
  <c r="FJ19" i="7" s="1"/>
  <c r="FH23" i="7"/>
  <c r="AO21" i="7"/>
  <c r="AP21" i="7" s="1"/>
  <c r="AW21" i="7" s="1"/>
  <c r="FE21" i="7"/>
  <c r="FJ18" i="7"/>
  <c r="ES51" i="7"/>
  <c r="GB51" i="7" s="1"/>
  <c r="EE51" i="7"/>
  <c r="DD51" i="7"/>
  <c r="EU51" i="7"/>
  <c r="EV51" i="7" s="1"/>
  <c r="AU117" i="7"/>
  <c r="DA116" i="7"/>
  <c r="DA87" i="7" s="1"/>
  <c r="AU87" i="7"/>
  <c r="FM17" i="7"/>
  <c r="FO17" i="7" s="1"/>
  <c r="FD21" i="7"/>
  <c r="FL21" i="7" s="1"/>
  <c r="AN22" i="7"/>
  <c r="FF20" i="7"/>
  <c r="FM19" i="7"/>
  <c r="FO19" i="7" s="1"/>
  <c r="AJ23" i="7"/>
  <c r="AN23" i="7" s="1"/>
  <c r="AL25" i="7"/>
  <c r="AM26" i="7"/>
  <c r="AK24" i="7"/>
  <c r="DB20" i="7"/>
  <c r="FM18" i="7"/>
  <c r="FO18" i="7" s="1"/>
  <c r="CY53" i="5"/>
  <c r="BY59" i="5"/>
  <c r="CX58" i="5"/>
  <c r="CZ58" i="5" s="1"/>
  <c r="G19" i="4"/>
  <c r="L19" i="4"/>
  <c r="R18" i="4"/>
  <c r="FN19" i="7" l="1"/>
  <c r="EK56" i="7"/>
  <c r="EJ55" i="7"/>
  <c r="EI54" i="7"/>
  <c r="EL57" i="7"/>
  <c r="EH53" i="7"/>
  <c r="EM53" i="7" s="1"/>
  <c r="GK46" i="7"/>
  <c r="EP52" i="7"/>
  <c r="GC49" i="7"/>
  <c r="GE49" i="7"/>
  <c r="GC51" i="7"/>
  <c r="GE51" i="7"/>
  <c r="ER50" i="7"/>
  <c r="ES50" i="7"/>
  <c r="GF48" i="7"/>
  <c r="GD54" i="7"/>
  <c r="FJ17" i="7"/>
  <c r="FI20" i="7"/>
  <c r="FJ20" i="7" s="1"/>
  <c r="FH24" i="7"/>
  <c r="AO22" i="7"/>
  <c r="AP22" i="7" s="1"/>
  <c r="AW22" i="7" s="1"/>
  <c r="FE22" i="7"/>
  <c r="AO23" i="7"/>
  <c r="AP23" i="7" s="1"/>
  <c r="AW23" i="7" s="1"/>
  <c r="FE23" i="7"/>
  <c r="EK58" i="7"/>
  <c r="EJ57" i="7"/>
  <c r="EH55" i="7"/>
  <c r="EI56" i="7"/>
  <c r="EL59" i="7"/>
  <c r="AU118" i="7"/>
  <c r="DA117" i="7"/>
  <c r="DA88" i="7" s="1"/>
  <c r="AU88" i="7"/>
  <c r="FP17" i="7"/>
  <c r="FP19" i="7"/>
  <c r="FP18" i="7"/>
  <c r="FD23" i="7"/>
  <c r="FL23" i="7" s="1"/>
  <c r="FF21" i="7"/>
  <c r="FM20" i="7"/>
  <c r="FO20" i="7" s="1"/>
  <c r="FD22" i="7"/>
  <c r="FL22" i="7" s="1"/>
  <c r="AM27" i="7"/>
  <c r="DB21" i="7"/>
  <c r="AK25" i="7"/>
  <c r="AJ24" i="7"/>
  <c r="AN24" i="7" s="1"/>
  <c r="AL26" i="7"/>
  <c r="CY54" i="5"/>
  <c r="BY60" i="5"/>
  <c r="CX59" i="5"/>
  <c r="CZ59" i="5" s="1"/>
  <c r="H19" i="4"/>
  <c r="K19" i="4"/>
  <c r="I19" i="4"/>
  <c r="GG54" i="7" l="1"/>
  <c r="GH48" i="7"/>
  <c r="GJ48" i="7"/>
  <c r="GF51" i="7"/>
  <c r="GD57" i="7"/>
  <c r="GF49" i="7"/>
  <c r="GD55" i="7"/>
  <c r="EP53" i="7"/>
  <c r="EQ53" i="7" s="1"/>
  <c r="ER53" i="7" s="1"/>
  <c r="EU50" i="7"/>
  <c r="EV50" i="7" s="1"/>
  <c r="GB50" i="7"/>
  <c r="DD50" i="7"/>
  <c r="EQ52" i="7"/>
  <c r="EE52" i="7"/>
  <c r="FN20" i="7"/>
  <c r="FI21" i="7"/>
  <c r="FH25" i="7"/>
  <c r="AO24" i="7"/>
  <c r="AP24" i="7" s="1"/>
  <c r="AW24" i="7" s="1"/>
  <c r="FE24" i="7"/>
  <c r="FJ21" i="7"/>
  <c r="FN21" i="7"/>
  <c r="AU119" i="7"/>
  <c r="DA118" i="7"/>
  <c r="DA89" i="7" s="1"/>
  <c r="AU89" i="7"/>
  <c r="FP20" i="7"/>
  <c r="FF23" i="7"/>
  <c r="DB23" i="7"/>
  <c r="AL28" i="7"/>
  <c r="AK27" i="7"/>
  <c r="AM29" i="7"/>
  <c r="AJ26" i="7"/>
  <c r="FD24" i="7"/>
  <c r="FL24" i="7" s="1"/>
  <c r="FF22" i="7"/>
  <c r="FM21" i="7"/>
  <c r="FO21" i="7" s="1"/>
  <c r="DB22" i="7"/>
  <c r="AJ25" i="7"/>
  <c r="AN25" i="7" s="1"/>
  <c r="AM28" i="7"/>
  <c r="AL27" i="7"/>
  <c r="AK26" i="7"/>
  <c r="CY55" i="5"/>
  <c r="BY61" i="5"/>
  <c r="CX60" i="5"/>
  <c r="CZ60" i="5" s="1"/>
  <c r="M19" i="4"/>
  <c r="Q19" i="4" s="1"/>
  <c r="J18" i="4"/>
  <c r="ER52" i="7" l="1"/>
  <c r="ES52" i="7"/>
  <c r="GC50" i="7"/>
  <c r="GE50" i="7"/>
  <c r="GH49" i="7"/>
  <c r="GG55" i="7"/>
  <c r="GJ49" i="7"/>
  <c r="GK49" i="7" s="1"/>
  <c r="GK48" i="7"/>
  <c r="EK57" i="7"/>
  <c r="EJ56" i="7"/>
  <c r="EI55" i="7"/>
  <c r="EM55" i="7" s="1"/>
  <c r="EL58" i="7"/>
  <c r="EH54" i="7"/>
  <c r="EM54" i="7" s="1"/>
  <c r="EE53" i="7"/>
  <c r="ES53" i="7"/>
  <c r="GH51" i="7"/>
  <c r="GG57" i="7"/>
  <c r="GJ51" i="7"/>
  <c r="GK51" i="7" s="1"/>
  <c r="AO25" i="7"/>
  <c r="AP25" i="7" s="1"/>
  <c r="AW25" i="7" s="1"/>
  <c r="FE25" i="7"/>
  <c r="AU120" i="7"/>
  <c r="DA119" i="7"/>
  <c r="DA90" i="7" s="1"/>
  <c r="AU90" i="7"/>
  <c r="AN26" i="7"/>
  <c r="FP21" i="7"/>
  <c r="FF24" i="7"/>
  <c r="AJ27" i="7"/>
  <c r="AN27" i="7" s="1"/>
  <c r="DB24" i="7"/>
  <c r="AL29" i="7"/>
  <c r="AK28" i="7"/>
  <c r="AM30" i="7"/>
  <c r="FD25" i="7"/>
  <c r="FL25" i="7" s="1"/>
  <c r="CY56" i="5"/>
  <c r="BY62" i="5"/>
  <c r="CX61" i="5"/>
  <c r="CZ61" i="5" s="1"/>
  <c r="G20" i="4"/>
  <c r="L20" i="4"/>
  <c r="R19" i="4"/>
  <c r="GB53" i="7" l="1"/>
  <c r="EU53" i="7"/>
  <c r="EV53" i="7" s="1"/>
  <c r="DD53" i="7"/>
  <c r="EP54" i="7"/>
  <c r="EQ54" i="7" s="1"/>
  <c r="ER54" i="7" s="1"/>
  <c r="EE54" i="7"/>
  <c r="EP55" i="7"/>
  <c r="GB52" i="7"/>
  <c r="EU52" i="7"/>
  <c r="EV52" i="7" s="1"/>
  <c r="DD52" i="7"/>
  <c r="GF50" i="7"/>
  <c r="GD56" i="7"/>
  <c r="FI23" i="7"/>
  <c r="FJ23" i="7" s="1"/>
  <c r="FH27" i="7"/>
  <c r="FI22" i="7"/>
  <c r="FN22" i="7" s="1"/>
  <c r="FH26" i="7"/>
  <c r="AO27" i="7"/>
  <c r="AP27" i="7" s="1"/>
  <c r="AW27" i="7" s="1"/>
  <c r="FE27" i="7"/>
  <c r="AO26" i="7"/>
  <c r="AP26" i="7" s="1"/>
  <c r="AW26" i="7" s="1"/>
  <c r="DB26" i="7" s="1"/>
  <c r="FE26" i="7"/>
  <c r="AU121" i="7"/>
  <c r="DA120" i="7"/>
  <c r="DA91" i="7" s="1"/>
  <c r="AU91" i="7"/>
  <c r="FJ22" i="7"/>
  <c r="FD26" i="7"/>
  <c r="FL26" i="7" s="1"/>
  <c r="FM22" i="7"/>
  <c r="FO22" i="7" s="1"/>
  <c r="FM23" i="7"/>
  <c r="FO23" i="7" s="1"/>
  <c r="DB25" i="7"/>
  <c r="AK29" i="7"/>
  <c r="AJ28" i="7"/>
  <c r="AN28" i="7" s="1"/>
  <c r="AM31" i="7"/>
  <c r="AL30" i="7"/>
  <c r="FD27" i="7"/>
  <c r="FL27" i="7" s="1"/>
  <c r="FF25" i="7"/>
  <c r="BY63" i="5"/>
  <c r="CX62" i="5"/>
  <c r="CZ62" i="5" s="1"/>
  <c r="CY57" i="5"/>
  <c r="H20" i="4"/>
  <c r="K20" i="4"/>
  <c r="I20" i="4"/>
  <c r="ES54" i="7" l="1"/>
  <c r="GH50" i="7"/>
  <c r="GG56" i="7"/>
  <c r="GJ50" i="7"/>
  <c r="GC52" i="7"/>
  <c r="GE52" i="7"/>
  <c r="EQ55" i="7"/>
  <c r="EE55" i="7"/>
  <c r="AL31" i="7"/>
  <c r="AK30" i="7"/>
  <c r="EU54" i="7"/>
  <c r="EV54" i="7" s="1"/>
  <c r="GB54" i="7"/>
  <c r="DD54" i="7"/>
  <c r="EH57" i="7"/>
  <c r="EK60" i="7"/>
  <c r="EJ59" i="7"/>
  <c r="EI58" i="7"/>
  <c r="EL61" i="7"/>
  <c r="EI57" i="7"/>
  <c r="EM57" i="7" s="1"/>
  <c r="EH56" i="7"/>
  <c r="EM56" i="7" s="1"/>
  <c r="EJ58" i="7"/>
  <c r="EL60" i="7"/>
  <c r="EK59" i="7"/>
  <c r="AJ29" i="7"/>
  <c r="AN29" i="7" s="1"/>
  <c r="GC53" i="7"/>
  <c r="GE53" i="7"/>
  <c r="AM32" i="7"/>
  <c r="FN23" i="7"/>
  <c r="FI25" i="7"/>
  <c r="FH29" i="7"/>
  <c r="FI24" i="7"/>
  <c r="FH28" i="7"/>
  <c r="AO28" i="7"/>
  <c r="AP28" i="7" s="1"/>
  <c r="FE28" i="7"/>
  <c r="FJ24" i="7"/>
  <c r="FN24" i="7"/>
  <c r="FJ25" i="7"/>
  <c r="FN25" i="7"/>
  <c r="AU122" i="7"/>
  <c r="DA121" i="7"/>
  <c r="DA92" i="7" s="1"/>
  <c r="AU92" i="7"/>
  <c r="FF26" i="7"/>
  <c r="FP23" i="7"/>
  <c r="FP22" i="7"/>
  <c r="FM25" i="7"/>
  <c r="FO25" i="7" s="1"/>
  <c r="FM24" i="7"/>
  <c r="FO24" i="7" s="1"/>
  <c r="FF27" i="7"/>
  <c r="AW28" i="7"/>
  <c r="FD28" i="7"/>
  <c r="FL28" i="7" s="1"/>
  <c r="DB27" i="7"/>
  <c r="AK31" i="7"/>
  <c r="AJ30" i="7"/>
  <c r="AM33" i="7"/>
  <c r="AL32" i="7"/>
  <c r="CY58" i="5"/>
  <c r="BY64" i="5"/>
  <c r="CX63" i="5"/>
  <c r="CZ63" i="5" s="1"/>
  <c r="M20" i="4"/>
  <c r="Q20" i="4" s="1"/>
  <c r="J19" i="4"/>
  <c r="AN30" i="7" l="1"/>
  <c r="EP56" i="7"/>
  <c r="EQ56" i="7" s="1"/>
  <c r="ER56" i="7" s="1"/>
  <c r="EE56" i="7"/>
  <c r="GF53" i="7"/>
  <c r="GD59" i="7"/>
  <c r="EP57" i="7"/>
  <c r="EQ57" i="7" s="1"/>
  <c r="ER57" i="7" s="1"/>
  <c r="EE57" i="7"/>
  <c r="GE54" i="7"/>
  <c r="GC54" i="7"/>
  <c r="GF52" i="7"/>
  <c r="GD58" i="7"/>
  <c r="EJ60" i="7"/>
  <c r="EI59" i="7"/>
  <c r="EH58" i="7"/>
  <c r="EM58" i="7" s="1"/>
  <c r="EK61" i="7"/>
  <c r="EL62" i="7"/>
  <c r="ER55" i="7"/>
  <c r="ES55" i="7"/>
  <c r="GK50" i="7"/>
  <c r="FI27" i="7"/>
  <c r="FJ27" i="7" s="1"/>
  <c r="FH31" i="7"/>
  <c r="FI26" i="7"/>
  <c r="FJ26" i="7" s="1"/>
  <c r="FH30" i="7"/>
  <c r="AO30" i="7"/>
  <c r="AP30" i="7" s="1"/>
  <c r="AW30" i="7" s="1"/>
  <c r="FE30" i="7"/>
  <c r="AO29" i="7"/>
  <c r="AP29" i="7" s="1"/>
  <c r="AW29" i="7" s="1"/>
  <c r="DB29" i="7" s="1"/>
  <c r="FE29" i="7"/>
  <c r="FP24" i="7"/>
  <c r="AU123" i="7"/>
  <c r="DA122" i="7"/>
  <c r="DA93" i="7" s="1"/>
  <c r="AU93" i="7"/>
  <c r="FM26" i="7"/>
  <c r="FO26" i="7" s="1"/>
  <c r="FP25" i="7"/>
  <c r="FD29" i="7"/>
  <c r="FL29" i="7" s="1"/>
  <c r="FF28" i="7"/>
  <c r="FD30" i="7"/>
  <c r="FL30" i="7" s="1"/>
  <c r="AM35" i="7"/>
  <c r="AK33" i="7"/>
  <c r="AJ32" i="7"/>
  <c r="FM27" i="7"/>
  <c r="FO27" i="7" s="1"/>
  <c r="AJ31" i="7"/>
  <c r="AN31" i="7" s="1"/>
  <c r="AK32" i="7"/>
  <c r="AM34" i="7"/>
  <c r="DB28" i="7"/>
  <c r="AL33" i="7"/>
  <c r="CY59" i="5"/>
  <c r="BY65" i="5"/>
  <c r="CX64" i="5"/>
  <c r="G21" i="4"/>
  <c r="L21" i="4"/>
  <c r="R20" i="4"/>
  <c r="FN26" i="7" l="1"/>
  <c r="ES56" i="7"/>
  <c r="ES57" i="7"/>
  <c r="EP58" i="7"/>
  <c r="EQ58" i="7" s="1"/>
  <c r="ER58" i="7" s="1"/>
  <c r="EE58" i="7"/>
  <c r="ES58" i="7"/>
  <c r="GB55" i="7"/>
  <c r="DD55" i="7"/>
  <c r="EU55" i="7"/>
  <c r="EV55" i="7" s="1"/>
  <c r="GF54" i="7"/>
  <c r="GD60" i="7"/>
  <c r="GB57" i="7"/>
  <c r="DD57" i="7"/>
  <c r="EU57" i="7"/>
  <c r="EV57" i="7" s="1"/>
  <c r="GH52" i="7"/>
  <c r="GG58" i="7"/>
  <c r="GJ52" i="7"/>
  <c r="GK52" i="7" s="1"/>
  <c r="GH53" i="7"/>
  <c r="GG59" i="7"/>
  <c r="GJ53" i="7"/>
  <c r="GK53" i="7" s="1"/>
  <c r="GB56" i="7"/>
  <c r="EU56" i="7"/>
  <c r="EV56" i="7" s="1"/>
  <c r="DD56" i="7"/>
  <c r="AL34" i="7"/>
  <c r="FN27" i="7"/>
  <c r="FI28" i="7"/>
  <c r="FH32" i="7"/>
  <c r="AO31" i="7"/>
  <c r="AP31" i="7" s="1"/>
  <c r="AW31" i="7" s="1"/>
  <c r="FE31" i="7"/>
  <c r="FJ28" i="7"/>
  <c r="FN28" i="7"/>
  <c r="FP26" i="7"/>
  <c r="AU124" i="7"/>
  <c r="DA123" i="7"/>
  <c r="DA94" i="7" s="1"/>
  <c r="AU94" i="7"/>
  <c r="FP27" i="7"/>
  <c r="FF29" i="7"/>
  <c r="AN32" i="7"/>
  <c r="AM36" i="7"/>
  <c r="AJ33" i="7"/>
  <c r="AN33" i="7" s="1"/>
  <c r="AK34" i="7"/>
  <c r="AL35" i="7"/>
  <c r="DB30" i="7"/>
  <c r="FF30" i="7"/>
  <c r="FG30" i="7" s="1"/>
  <c r="FM28" i="7"/>
  <c r="FO28" i="7" s="1"/>
  <c r="FD31" i="7"/>
  <c r="FL31" i="7" s="1"/>
  <c r="CY60" i="5"/>
  <c r="CZ64" i="5"/>
  <c r="BY66" i="5"/>
  <c r="CX65" i="5"/>
  <c r="CZ65" i="5" s="1"/>
  <c r="H21" i="4"/>
  <c r="I21" i="4"/>
  <c r="K21" i="4"/>
  <c r="EK63" i="7" l="1"/>
  <c r="EL64" i="7"/>
  <c r="EJ62" i="7"/>
  <c r="EH60" i="7"/>
  <c r="EI61" i="7"/>
  <c r="EI62" i="7"/>
  <c r="EK64" i="7"/>
  <c r="EL65" i="7"/>
  <c r="EH61" i="7"/>
  <c r="EJ63" i="7"/>
  <c r="GC56" i="7"/>
  <c r="GE56" i="7"/>
  <c r="GH54" i="7"/>
  <c r="GG60" i="7"/>
  <c r="GJ54" i="7"/>
  <c r="GK54" i="7" s="1"/>
  <c r="GC57" i="7"/>
  <c r="GE57" i="7"/>
  <c r="EH59" i="7"/>
  <c r="EM59" i="7" s="1"/>
  <c r="EI60" i="7"/>
  <c r="EL63" i="7"/>
  <c r="EJ61" i="7"/>
  <c r="EK62" i="7"/>
  <c r="GC55" i="7"/>
  <c r="GE55" i="7"/>
  <c r="GB58" i="7"/>
  <c r="EU58" i="7"/>
  <c r="EV58" i="7" s="1"/>
  <c r="DD58" i="7"/>
  <c r="FI29" i="7"/>
  <c r="FN29" i="7" s="1"/>
  <c r="FH33" i="7"/>
  <c r="FI30" i="7"/>
  <c r="FH34" i="7"/>
  <c r="AO33" i="7"/>
  <c r="AP33" i="7" s="1"/>
  <c r="FE33" i="7"/>
  <c r="AO32" i="7"/>
  <c r="AP32" i="7" s="1"/>
  <c r="AW32" i="7" s="1"/>
  <c r="AK36" i="7" s="1"/>
  <c r="FE32" i="7"/>
  <c r="FJ30" i="7"/>
  <c r="FN30" i="7"/>
  <c r="AU125" i="7"/>
  <c r="DA124" i="7"/>
  <c r="DA95" i="7" s="1"/>
  <c r="AU95" i="7"/>
  <c r="FM29" i="7"/>
  <c r="FO29" i="7" s="1"/>
  <c r="FD32" i="7"/>
  <c r="FL32" i="7" s="1"/>
  <c r="FP28" i="7"/>
  <c r="FF31" i="7"/>
  <c r="FM30" i="7"/>
  <c r="FO30" i="7" s="1"/>
  <c r="AW33" i="7"/>
  <c r="FD33" i="7"/>
  <c r="FL33" i="7" s="1"/>
  <c r="AM37" i="7"/>
  <c r="AK35" i="7"/>
  <c r="AJ34" i="7"/>
  <c r="AN34" i="7" s="1"/>
  <c r="AL36" i="7"/>
  <c r="DB31" i="7"/>
  <c r="CY61" i="5"/>
  <c r="BY67" i="5"/>
  <c r="CX66" i="5"/>
  <c r="M21" i="4"/>
  <c r="Q21" i="4" s="1"/>
  <c r="J20" i="4"/>
  <c r="EP59" i="7" l="1"/>
  <c r="EQ59" i="7" s="1"/>
  <c r="ER59" i="7" s="1"/>
  <c r="EE59" i="7"/>
  <c r="ES59" i="7"/>
  <c r="GF55" i="7"/>
  <c r="GD61" i="7"/>
  <c r="GF57" i="7"/>
  <c r="GD63" i="7"/>
  <c r="GF56" i="7"/>
  <c r="GD62" i="7"/>
  <c r="EM61" i="7"/>
  <c r="EK65" i="7"/>
  <c r="EJ64" i="7"/>
  <c r="EH62" i="7"/>
  <c r="EM62" i="7" s="1"/>
  <c r="EI63" i="7"/>
  <c r="EL66" i="7"/>
  <c r="EM60" i="7"/>
  <c r="GC58" i="7"/>
  <c r="GE58" i="7"/>
  <c r="DB32" i="7"/>
  <c r="AL37" i="7"/>
  <c r="AJ35" i="7"/>
  <c r="AN35" i="7" s="1"/>
  <c r="AM38" i="7"/>
  <c r="FJ29" i="7"/>
  <c r="AO34" i="7"/>
  <c r="AP34" i="7" s="1"/>
  <c r="AW34" i="7" s="1"/>
  <c r="FE34" i="7"/>
  <c r="FP29" i="7"/>
  <c r="AU126" i="7"/>
  <c r="DA125" i="7"/>
  <c r="DA96" i="7" s="1"/>
  <c r="AU96" i="7"/>
  <c r="FF32" i="7"/>
  <c r="FG32" i="7" s="1"/>
  <c r="FH36" i="7" s="1"/>
  <c r="FG31" i="7"/>
  <c r="FP30" i="7"/>
  <c r="AL38" i="7"/>
  <c r="DB33" i="7"/>
  <c r="AJ36" i="7"/>
  <c r="AN36" i="7" s="1"/>
  <c r="AK37" i="7"/>
  <c r="AM39" i="7"/>
  <c r="FD34" i="7"/>
  <c r="FL34" i="7" s="1"/>
  <c r="FF33" i="7"/>
  <c r="CY62" i="5"/>
  <c r="CZ66" i="5"/>
  <c r="BY68" i="5"/>
  <c r="CX68" i="5" s="1"/>
  <c r="CZ68" i="5" s="1"/>
  <c r="CX67" i="5"/>
  <c r="R21" i="4"/>
  <c r="L22" i="4"/>
  <c r="G22" i="4"/>
  <c r="EP60" i="7" l="1"/>
  <c r="EQ60" i="7" s="1"/>
  <c r="ER60" i="7" s="1"/>
  <c r="EE60" i="7"/>
  <c r="EP62" i="7"/>
  <c r="EQ62" i="7" s="1"/>
  <c r="ER62" i="7" s="1"/>
  <c r="GF58" i="7"/>
  <c r="GD64" i="7"/>
  <c r="ES62" i="7"/>
  <c r="EP61" i="7"/>
  <c r="EQ61" i="7" s="1"/>
  <c r="ER61" i="7" s="1"/>
  <c r="GH56" i="7"/>
  <c r="GG62" i="7"/>
  <c r="GJ56" i="7"/>
  <c r="GK56" i="7" s="1"/>
  <c r="GG63" i="7"/>
  <c r="GH57" i="7"/>
  <c r="GJ57" i="7"/>
  <c r="GK57" i="7" s="1"/>
  <c r="GH55" i="7"/>
  <c r="GG61" i="7"/>
  <c r="GJ55" i="7"/>
  <c r="GK55" i="7" s="1"/>
  <c r="DD59" i="7"/>
  <c r="GB59" i="7"/>
  <c r="EU59" i="7"/>
  <c r="EV59" i="7" s="1"/>
  <c r="FI31" i="7"/>
  <c r="FN31" i="7" s="1"/>
  <c r="FH35" i="7"/>
  <c r="AO36" i="7"/>
  <c r="AP36" i="7" s="1"/>
  <c r="AW36" i="7" s="1"/>
  <c r="FE36" i="7"/>
  <c r="AO35" i="7"/>
  <c r="AP35" i="7" s="1"/>
  <c r="AW35" i="7" s="1"/>
  <c r="FE35" i="7"/>
  <c r="AU127" i="7"/>
  <c r="DA126" i="7"/>
  <c r="DA97" i="7" s="1"/>
  <c r="AU97" i="7"/>
  <c r="FI32" i="7"/>
  <c r="FM32" i="7"/>
  <c r="FO32" i="7" s="1"/>
  <c r="FM31" i="7"/>
  <c r="FO31" i="7" s="1"/>
  <c r="FG33" i="7"/>
  <c r="FD36" i="7"/>
  <c r="FL36" i="7" s="1"/>
  <c r="FD35" i="7"/>
  <c r="FL35" i="7" s="1"/>
  <c r="AK38" i="7"/>
  <c r="AL39" i="7"/>
  <c r="AJ37" i="7"/>
  <c r="AN37" i="7" s="1"/>
  <c r="DB34" i="7"/>
  <c r="AM40" i="7"/>
  <c r="FF34" i="7"/>
  <c r="CY63" i="5"/>
  <c r="CZ67" i="5"/>
  <c r="CY64" i="5"/>
  <c r="CY67" i="5"/>
  <c r="CY65" i="5"/>
  <c r="CY68" i="5"/>
  <c r="CY66" i="5"/>
  <c r="H22" i="4"/>
  <c r="K22" i="4"/>
  <c r="I22" i="4"/>
  <c r="ES60" i="7" l="1"/>
  <c r="ES61" i="7"/>
  <c r="EE61" i="7"/>
  <c r="GB61" i="7"/>
  <c r="EU61" i="7"/>
  <c r="EV61" i="7" s="1"/>
  <c r="DD61" i="7"/>
  <c r="GE59" i="7"/>
  <c r="GC59" i="7"/>
  <c r="GB62" i="7"/>
  <c r="DD62" i="7"/>
  <c r="EU62" i="7"/>
  <c r="EV62" i="7" s="1"/>
  <c r="GH58" i="7"/>
  <c r="GG64" i="7"/>
  <c r="GJ58" i="7"/>
  <c r="GK58" i="7" s="1"/>
  <c r="GB60" i="7"/>
  <c r="EU60" i="7"/>
  <c r="EV60" i="7" s="1"/>
  <c r="DD60" i="7"/>
  <c r="EE62" i="7"/>
  <c r="EI64" i="7"/>
  <c r="EH63" i="7"/>
  <c r="EM63" i="7" s="1"/>
  <c r="EL67" i="7"/>
  <c r="EK66" i="7"/>
  <c r="EJ65" i="7"/>
  <c r="FJ31" i="7"/>
  <c r="FI34" i="7"/>
  <c r="FH38" i="7"/>
  <c r="FI33" i="7"/>
  <c r="FH37" i="7"/>
  <c r="AO37" i="7"/>
  <c r="AP37" i="7" s="1"/>
  <c r="AW37" i="7" s="1"/>
  <c r="FE37" i="7"/>
  <c r="FJ33" i="7"/>
  <c r="FN33" i="7"/>
  <c r="FJ32" i="7"/>
  <c r="FN32" i="7"/>
  <c r="FJ34" i="7"/>
  <c r="FN34" i="7"/>
  <c r="FP31" i="7"/>
  <c r="AU128" i="7"/>
  <c r="DA127" i="7"/>
  <c r="DA98" i="7" s="1"/>
  <c r="AU98" i="7"/>
  <c r="FP32" i="7"/>
  <c r="FM33" i="7"/>
  <c r="FO33" i="7" s="1"/>
  <c r="FD37" i="7"/>
  <c r="FL37" i="7" s="1"/>
  <c r="FM34" i="7"/>
  <c r="FO34" i="7" s="1"/>
  <c r="FF35" i="7"/>
  <c r="FG35" i="7" s="1"/>
  <c r="FF36" i="7"/>
  <c r="FG36" i="7" s="1"/>
  <c r="DB35" i="7"/>
  <c r="AJ38" i="7"/>
  <c r="AN38" i="7" s="1"/>
  <c r="AK39" i="7"/>
  <c r="AM41" i="7"/>
  <c r="AL40" i="7"/>
  <c r="AK40" i="7"/>
  <c r="AJ39" i="7"/>
  <c r="AL41" i="7"/>
  <c r="AM42" i="7"/>
  <c r="DB36" i="7"/>
  <c r="M22" i="4"/>
  <c r="Q22" i="4" s="1"/>
  <c r="J21" i="4"/>
  <c r="EI65" i="7" l="1"/>
  <c r="EH64" i="7"/>
  <c r="EM64" i="7" s="1"/>
  <c r="EK67" i="7"/>
  <c r="EJ66" i="7"/>
  <c r="EL68" i="7"/>
  <c r="EK69" i="7"/>
  <c r="EJ68" i="7"/>
  <c r="EL70" i="7"/>
  <c r="EH66" i="7"/>
  <c r="EI67" i="7"/>
  <c r="GE60" i="7"/>
  <c r="GC60" i="7"/>
  <c r="GF59" i="7"/>
  <c r="GD65" i="7"/>
  <c r="EK68" i="7"/>
  <c r="EL69" i="7"/>
  <c r="EJ67" i="7"/>
  <c r="EI66" i="7"/>
  <c r="EH65" i="7"/>
  <c r="EM65" i="7" s="1"/>
  <c r="EP63" i="7"/>
  <c r="EQ63" i="7" s="1"/>
  <c r="ER63" i="7" s="1"/>
  <c r="GC62" i="7"/>
  <c r="GE62" i="7"/>
  <c r="GC61" i="7"/>
  <c r="GE61" i="7"/>
  <c r="FI36" i="7"/>
  <c r="FN36" i="7" s="1"/>
  <c r="FH40" i="7"/>
  <c r="FI35" i="7"/>
  <c r="FH39" i="7"/>
  <c r="AO38" i="7"/>
  <c r="AP38" i="7" s="1"/>
  <c r="FE38" i="7"/>
  <c r="FJ35" i="7"/>
  <c r="FN35" i="7"/>
  <c r="FP33" i="7"/>
  <c r="AU129" i="7"/>
  <c r="DA128" i="7"/>
  <c r="DA99" i="7" s="1"/>
  <c r="AU99" i="7"/>
  <c r="AN39" i="7"/>
  <c r="FP34" i="7"/>
  <c r="FO35" i="7"/>
  <c r="FF37" i="7"/>
  <c r="FM36" i="7"/>
  <c r="FO36" i="7" s="1"/>
  <c r="AW38" i="7"/>
  <c r="FD38" i="7"/>
  <c r="FL38" i="7" s="1"/>
  <c r="AK41" i="7"/>
  <c r="AL42" i="7"/>
  <c r="AM43" i="7"/>
  <c r="DB37" i="7"/>
  <c r="AJ40" i="7"/>
  <c r="AN40" i="7" s="1"/>
  <c r="R22" i="4"/>
  <c r="L23" i="4"/>
  <c r="G23" i="4"/>
  <c r="ES63" i="7" l="1"/>
  <c r="GF60" i="7"/>
  <c r="GD66" i="7"/>
  <c r="EE63" i="7"/>
  <c r="GH59" i="7"/>
  <c r="GG65" i="7"/>
  <c r="GJ59" i="7"/>
  <c r="GK59" i="7" s="1"/>
  <c r="EP65" i="7"/>
  <c r="EQ65" i="7" s="1"/>
  <c r="ER65" i="7" s="1"/>
  <c r="EM66" i="7"/>
  <c r="GF61" i="7"/>
  <c r="GD67" i="7"/>
  <c r="EP64" i="7"/>
  <c r="EQ64" i="7" s="1"/>
  <c r="ER64" i="7" s="1"/>
  <c r="GF62" i="7"/>
  <c r="GD68" i="7"/>
  <c r="EE65" i="7"/>
  <c r="ES65" i="7"/>
  <c r="FJ36" i="7"/>
  <c r="AO39" i="7"/>
  <c r="AP39" i="7" s="1"/>
  <c r="AW39" i="7" s="1"/>
  <c r="DB39" i="7" s="1"/>
  <c r="FE39" i="7"/>
  <c r="AO40" i="7"/>
  <c r="AP40" i="7" s="1"/>
  <c r="AW40" i="7" s="1"/>
  <c r="FE40" i="7"/>
  <c r="FP35" i="7"/>
  <c r="FD39" i="7"/>
  <c r="FL39" i="7" s="1"/>
  <c r="AU130" i="7"/>
  <c r="DA129" i="7"/>
  <c r="DA100" i="7" s="1"/>
  <c r="AU100" i="7"/>
  <c r="FG37" i="7"/>
  <c r="FP36" i="7"/>
  <c r="AK42" i="7"/>
  <c r="AJ41" i="7"/>
  <c r="AN41" i="7" s="1"/>
  <c r="AL43" i="7"/>
  <c r="AM44" i="7"/>
  <c r="DB38" i="7"/>
  <c r="FD40" i="7"/>
  <c r="FL40" i="7" s="1"/>
  <c r="FF38" i="7"/>
  <c r="FG38" i="7" s="1"/>
  <c r="H23" i="4"/>
  <c r="K23" i="4"/>
  <c r="I23" i="4"/>
  <c r="ES64" i="7" l="1"/>
  <c r="EE64" i="7"/>
  <c r="GG68" i="7"/>
  <c r="GH62" i="7"/>
  <c r="GJ62" i="7"/>
  <c r="GK62" i="7" s="1"/>
  <c r="GH61" i="7"/>
  <c r="GG67" i="7"/>
  <c r="GJ61" i="7"/>
  <c r="GK61" i="7" s="1"/>
  <c r="EP66" i="7"/>
  <c r="EQ66" i="7" s="1"/>
  <c r="ER66" i="7" s="1"/>
  <c r="GG66" i="7"/>
  <c r="GH60" i="7"/>
  <c r="GJ60" i="7"/>
  <c r="GK60" i="7" s="1"/>
  <c r="GB65" i="7"/>
  <c r="EU65" i="7"/>
  <c r="EV65" i="7" s="1"/>
  <c r="DD65" i="7"/>
  <c r="GB64" i="7"/>
  <c r="EU64" i="7"/>
  <c r="EV64" i="7" s="1"/>
  <c r="DD64" i="7"/>
  <c r="GB63" i="7"/>
  <c r="EU63" i="7"/>
  <c r="EV63" i="7" s="1"/>
  <c r="DD63" i="7"/>
  <c r="AL44" i="7"/>
  <c r="AJ42" i="7"/>
  <c r="AN42" i="7" s="1"/>
  <c r="AM45" i="7"/>
  <c r="AK43" i="7"/>
  <c r="FI37" i="7"/>
  <c r="FH41" i="7"/>
  <c r="FI38" i="7"/>
  <c r="FH42" i="7"/>
  <c r="AO41" i="7"/>
  <c r="AP41" i="7" s="1"/>
  <c r="FE41" i="7"/>
  <c r="FJ37" i="7"/>
  <c r="FN37" i="7"/>
  <c r="FJ38" i="7"/>
  <c r="FN38" i="7"/>
  <c r="FF39" i="7"/>
  <c r="FG39" i="7" s="1"/>
  <c r="AU131" i="7"/>
  <c r="DA130" i="7"/>
  <c r="DA101" i="7" s="1"/>
  <c r="AU101" i="7"/>
  <c r="FM38" i="7"/>
  <c r="FO38" i="7" s="1"/>
  <c r="FM37" i="7"/>
  <c r="FO37" i="7" s="1"/>
  <c r="AJ43" i="7"/>
  <c r="DB40" i="7"/>
  <c r="AM46" i="7"/>
  <c r="AL45" i="7"/>
  <c r="AK44" i="7"/>
  <c r="FF40" i="7"/>
  <c r="FD41" i="7"/>
  <c r="FL41" i="7" s="1"/>
  <c r="M23" i="4"/>
  <c r="Q23" i="4" s="1"/>
  <c r="J22" i="4"/>
  <c r="EH67" i="7" l="1"/>
  <c r="EM67" i="7" s="1"/>
  <c r="EI68" i="7"/>
  <c r="EJ69" i="7"/>
  <c r="EK70" i="7"/>
  <c r="EL71" i="7"/>
  <c r="GE64" i="7"/>
  <c r="GC64" i="7"/>
  <c r="GC63" i="7"/>
  <c r="GE63" i="7"/>
  <c r="EJ71" i="7"/>
  <c r="EL73" i="7"/>
  <c r="EK72" i="7"/>
  <c r="EH69" i="7"/>
  <c r="EI70" i="7"/>
  <c r="ES66" i="7"/>
  <c r="EH68" i="7"/>
  <c r="EM68" i="7" s="1"/>
  <c r="EL72" i="7"/>
  <c r="EJ70" i="7"/>
  <c r="EI69" i="7"/>
  <c r="EK71" i="7"/>
  <c r="GE65" i="7"/>
  <c r="GC65" i="7"/>
  <c r="EE66" i="7"/>
  <c r="AN43" i="7"/>
  <c r="AO43" i="7" s="1"/>
  <c r="AP43" i="7" s="1"/>
  <c r="AW43" i="7" s="1"/>
  <c r="FI39" i="7"/>
  <c r="FN39" i="7" s="1"/>
  <c r="FH43" i="7"/>
  <c r="AO42" i="7"/>
  <c r="AP42" i="7" s="1"/>
  <c r="FD42" i="7" s="1"/>
  <c r="FL42" i="7" s="1"/>
  <c r="FE42" i="7"/>
  <c r="FP38" i="7"/>
  <c r="FP37" i="7"/>
  <c r="AU132" i="7"/>
  <c r="DA131" i="7"/>
  <c r="DA102" i="7" s="1"/>
  <c r="AU102" i="7"/>
  <c r="FG40" i="7"/>
  <c r="FM39" i="7"/>
  <c r="FO39" i="7" s="1"/>
  <c r="FF42" i="7"/>
  <c r="FD43" i="7"/>
  <c r="FL43" i="7" s="1"/>
  <c r="DB41" i="7"/>
  <c r="AL46" i="7"/>
  <c r="AM47" i="7"/>
  <c r="AK45" i="7"/>
  <c r="AJ44" i="7"/>
  <c r="AN44" i="7" s="1"/>
  <c r="FF41" i="7"/>
  <c r="R23" i="4"/>
  <c r="L24" i="4"/>
  <c r="G24" i="4"/>
  <c r="FJ39" i="7" l="1"/>
  <c r="EP68" i="7"/>
  <c r="EQ68" i="7" s="1"/>
  <c r="ER68" i="7" s="1"/>
  <c r="ES68" i="7"/>
  <c r="EE68" i="7"/>
  <c r="GF63" i="7"/>
  <c r="GD69" i="7"/>
  <c r="GF65" i="7"/>
  <c r="GD71" i="7"/>
  <c r="FE43" i="7"/>
  <c r="GB66" i="7"/>
  <c r="DD66" i="7"/>
  <c r="EU66" i="7"/>
  <c r="EV66" i="7" s="1"/>
  <c r="GF64" i="7"/>
  <c r="GD70" i="7"/>
  <c r="EM69" i="7"/>
  <c r="EP67" i="7"/>
  <c r="EQ67" i="7" s="1"/>
  <c r="ER67" i="7" s="1"/>
  <c r="FG42" i="7"/>
  <c r="FI42" i="7" s="1"/>
  <c r="AW42" i="7"/>
  <c r="AM48" i="7" s="1"/>
  <c r="FI40" i="7"/>
  <c r="FH44" i="7"/>
  <c r="AO44" i="7"/>
  <c r="AP44" i="7" s="1"/>
  <c r="AW44" i="7" s="1"/>
  <c r="FE44" i="7"/>
  <c r="FJ40" i="7"/>
  <c r="FN40" i="7"/>
  <c r="FP39" i="7"/>
  <c r="DA132" i="7"/>
  <c r="DA103" i="7" s="1"/>
  <c r="AU103" i="7"/>
  <c r="FM40" i="7"/>
  <c r="FO40" i="7" s="1"/>
  <c r="FG41" i="7"/>
  <c r="FD44" i="7"/>
  <c r="FL44" i="7" s="1"/>
  <c r="DB43" i="7"/>
  <c r="AL48" i="7"/>
  <c r="AM49" i="7"/>
  <c r="AK47" i="7"/>
  <c r="AJ46" i="7"/>
  <c r="FF43" i="7"/>
  <c r="FG43" i="7" s="1"/>
  <c r="H24" i="4"/>
  <c r="K24" i="4"/>
  <c r="I24" i="4"/>
  <c r="FN42" i="7" l="1"/>
  <c r="FJ42" i="7"/>
  <c r="ES67" i="7"/>
  <c r="GC66" i="7"/>
  <c r="GE66" i="7"/>
  <c r="EE67" i="7"/>
  <c r="EP69" i="7"/>
  <c r="EQ69" i="7" s="1"/>
  <c r="ER69" i="7" s="1"/>
  <c r="EE69" i="7"/>
  <c r="ES69" i="7"/>
  <c r="EH70" i="7"/>
  <c r="EM70" i="7" s="1"/>
  <c r="EJ72" i="7"/>
  <c r="EK73" i="7"/>
  <c r="EI71" i="7"/>
  <c r="EL74" i="7"/>
  <c r="FM42" i="7"/>
  <c r="FO42" i="7" s="1"/>
  <c r="GG71" i="7"/>
  <c r="GH65" i="7"/>
  <c r="GJ65" i="7"/>
  <c r="GK65" i="7" s="1"/>
  <c r="GG69" i="7"/>
  <c r="GH63" i="7"/>
  <c r="GJ63" i="7"/>
  <c r="GK63" i="7" s="1"/>
  <c r="GH64" i="7"/>
  <c r="GG70" i="7"/>
  <c r="GJ64" i="7"/>
  <c r="GK64" i="7" s="1"/>
  <c r="FH46" i="7"/>
  <c r="DD68" i="7"/>
  <c r="GB68" i="7"/>
  <c r="EU68" i="7"/>
  <c r="EV68" i="7" s="1"/>
  <c r="DB42" i="7"/>
  <c r="AK46" i="7"/>
  <c r="AJ45" i="7"/>
  <c r="AN45" i="7" s="1"/>
  <c r="AL47" i="7"/>
  <c r="FI43" i="7"/>
  <c r="FH47" i="7"/>
  <c r="FI41" i="7"/>
  <c r="FH45" i="7"/>
  <c r="AO45" i="7"/>
  <c r="AP45" i="7" s="1"/>
  <c r="AW45" i="7" s="1"/>
  <c r="FE45" i="7"/>
  <c r="FJ41" i="7"/>
  <c r="FN41" i="7"/>
  <c r="FJ43" i="7"/>
  <c r="FN43" i="7"/>
  <c r="FP40" i="7"/>
  <c r="AN46" i="7"/>
  <c r="FM41" i="7"/>
  <c r="FO41" i="7" s="1"/>
  <c r="FD45" i="7"/>
  <c r="FL45" i="7" s="1"/>
  <c r="FM43" i="7"/>
  <c r="FO43" i="7" s="1"/>
  <c r="FF44" i="7"/>
  <c r="FG44" i="7" s="1"/>
  <c r="AL49" i="7"/>
  <c r="DB44" i="7"/>
  <c r="AK48" i="7"/>
  <c r="AJ47" i="7"/>
  <c r="AM50" i="7"/>
  <c r="M24" i="4"/>
  <c r="Q24" i="4" s="1"/>
  <c r="J23" i="4"/>
  <c r="AN47" i="7" l="1"/>
  <c r="GB69" i="7"/>
  <c r="EU69" i="7"/>
  <c r="EV69" i="7" s="1"/>
  <c r="DD69" i="7"/>
  <c r="EP70" i="7"/>
  <c r="EQ70" i="7" s="1"/>
  <c r="ER70" i="7" s="1"/>
  <c r="EE70" i="7"/>
  <c r="EJ74" i="7"/>
  <c r="EK75" i="7"/>
  <c r="EL76" i="7"/>
  <c r="EH72" i="7"/>
  <c r="EI73" i="7"/>
  <c r="GF66" i="7"/>
  <c r="GD72" i="7"/>
  <c r="GC68" i="7"/>
  <c r="GE68" i="7"/>
  <c r="GB67" i="7"/>
  <c r="DD67" i="7"/>
  <c r="EU67" i="7"/>
  <c r="EV67" i="7" s="1"/>
  <c r="FI44" i="7"/>
  <c r="FJ44" i="7" s="1"/>
  <c r="FH48" i="7"/>
  <c r="AO46" i="7"/>
  <c r="AP46" i="7" s="1"/>
  <c r="FD46" i="7" s="1"/>
  <c r="FL46" i="7" s="1"/>
  <c r="FE46" i="7"/>
  <c r="AO47" i="7"/>
  <c r="AP47" i="7" s="1"/>
  <c r="AW47" i="7" s="1"/>
  <c r="FE47" i="7"/>
  <c r="FP41" i="7"/>
  <c r="FP42" i="7"/>
  <c r="FP43" i="7"/>
  <c r="FF46" i="7"/>
  <c r="FF45" i="7"/>
  <c r="FG45" i="7" s="1"/>
  <c r="FD47" i="7"/>
  <c r="FL47" i="7" s="1"/>
  <c r="FM44" i="7"/>
  <c r="FO44" i="7" s="1"/>
  <c r="AM51" i="7"/>
  <c r="AK49" i="7"/>
  <c r="AL50" i="7"/>
  <c r="AJ48" i="7"/>
  <c r="AN48" i="7" s="1"/>
  <c r="DB45" i="7"/>
  <c r="R24" i="4"/>
  <c r="L25" i="4"/>
  <c r="G25" i="4"/>
  <c r="ES70" i="7" l="1"/>
  <c r="EH71" i="7"/>
  <c r="EM71" i="7" s="1"/>
  <c r="EI72" i="7"/>
  <c r="EJ73" i="7"/>
  <c r="EK74" i="7"/>
  <c r="EL75" i="7"/>
  <c r="GF68" i="7"/>
  <c r="GD74" i="7"/>
  <c r="GC67" i="7"/>
  <c r="GE67" i="7"/>
  <c r="EM72" i="7"/>
  <c r="FN44" i="7"/>
  <c r="GG72" i="7"/>
  <c r="GH66" i="7"/>
  <c r="GJ66" i="7"/>
  <c r="GK66" i="7" s="1"/>
  <c r="DD70" i="7"/>
  <c r="GB70" i="7"/>
  <c r="EU70" i="7"/>
  <c r="EV70" i="7" s="1"/>
  <c r="EL77" i="7"/>
  <c r="EH73" i="7"/>
  <c r="EM73" i="7" s="1"/>
  <c r="EK76" i="7"/>
  <c r="EJ75" i="7"/>
  <c r="EI74" i="7"/>
  <c r="GE69" i="7"/>
  <c r="GC69" i="7"/>
  <c r="FG46" i="7"/>
  <c r="FH50" i="7" s="1"/>
  <c r="AW46" i="7"/>
  <c r="AK50" i="7" s="1"/>
  <c r="FI45" i="7"/>
  <c r="FH49" i="7"/>
  <c r="AO48" i="7"/>
  <c r="AP48" i="7" s="1"/>
  <c r="AW48" i="7" s="1"/>
  <c r="FE48" i="7"/>
  <c r="FJ45" i="7"/>
  <c r="FN45" i="7"/>
  <c r="DB46" i="7"/>
  <c r="FP44" i="7"/>
  <c r="AM52" i="7"/>
  <c r="AJ49" i="7"/>
  <c r="AN49" i="7" s="1"/>
  <c r="FM46" i="7"/>
  <c r="FO46" i="7" s="1"/>
  <c r="FF47" i="7"/>
  <c r="FG47" i="7" s="1"/>
  <c r="FH51" i="7" s="1"/>
  <c r="FD48" i="7"/>
  <c r="FL48" i="7" s="1"/>
  <c r="AL52" i="7"/>
  <c r="AJ50" i="7"/>
  <c r="DB47" i="7"/>
  <c r="AK51" i="7"/>
  <c r="AM53" i="7"/>
  <c r="FM45" i="7"/>
  <c r="FO45" i="7" s="1"/>
  <c r="H25" i="4"/>
  <c r="K25" i="4"/>
  <c r="I25" i="4"/>
  <c r="FI46" i="7" l="1"/>
  <c r="EH74" i="7"/>
  <c r="EL78" i="7"/>
  <c r="EK77" i="7"/>
  <c r="EJ76" i="7"/>
  <c r="EI75" i="7"/>
  <c r="EM74" i="7"/>
  <c r="GE70" i="7"/>
  <c r="GC70" i="7"/>
  <c r="EP73" i="7"/>
  <c r="EQ73" i="7" s="1"/>
  <c r="ER73" i="7" s="1"/>
  <c r="GF69" i="7"/>
  <c r="GD75" i="7"/>
  <c r="EP72" i="7"/>
  <c r="EQ72" i="7" s="1"/>
  <c r="ER72" i="7" s="1"/>
  <c r="EE72" i="7"/>
  <c r="GF67" i="7"/>
  <c r="GD73" i="7"/>
  <c r="GG74" i="7"/>
  <c r="GH68" i="7"/>
  <c r="GJ68" i="7"/>
  <c r="GK68" i="7" s="1"/>
  <c r="EP71" i="7"/>
  <c r="EQ71" i="7" s="1"/>
  <c r="ER71" i="7" s="1"/>
  <c r="AN50" i="7"/>
  <c r="AO50" i="7" s="1"/>
  <c r="AP50" i="7" s="1"/>
  <c r="AW50" i="7" s="1"/>
  <c r="AL51" i="7"/>
  <c r="AO49" i="7"/>
  <c r="AP49" i="7" s="1"/>
  <c r="AW49" i="7" s="1"/>
  <c r="FE49" i="7"/>
  <c r="FI47" i="7"/>
  <c r="FM47" i="7"/>
  <c r="FO47" i="7" s="1"/>
  <c r="FP45" i="7"/>
  <c r="FP46" i="7"/>
  <c r="FD50" i="7"/>
  <c r="FL50" i="7" s="1"/>
  <c r="FF48" i="7"/>
  <c r="FD49" i="7"/>
  <c r="FL49" i="7" s="1"/>
  <c r="DB48" i="7"/>
  <c r="AL53" i="7"/>
  <c r="AK52" i="7"/>
  <c r="AM54" i="7"/>
  <c r="AJ51" i="7"/>
  <c r="M25" i="4"/>
  <c r="Q25" i="4" s="1"/>
  <c r="J24" i="4"/>
  <c r="ES72" i="7" l="1"/>
  <c r="EE73" i="7"/>
  <c r="FJ46" i="7"/>
  <c r="FN46" i="7"/>
  <c r="AN51" i="7"/>
  <c r="FE51" i="7" s="1"/>
  <c r="ES73" i="7"/>
  <c r="FE50" i="7"/>
  <c r="GH69" i="7"/>
  <c r="GG75" i="7"/>
  <c r="GJ69" i="7"/>
  <c r="GK69" i="7" s="1"/>
  <c r="GH67" i="7"/>
  <c r="GG73" i="7"/>
  <c r="GJ67" i="7"/>
  <c r="GK67" i="7" s="1"/>
  <c r="GB72" i="7"/>
  <c r="DD72" i="7"/>
  <c r="EU72" i="7"/>
  <c r="EV72" i="7" s="1"/>
  <c r="EU73" i="7"/>
  <c r="EV73" i="7" s="1"/>
  <c r="GB73" i="7"/>
  <c r="DD73" i="7"/>
  <c r="GF70" i="7"/>
  <c r="GD76" i="7"/>
  <c r="EP74" i="7"/>
  <c r="EQ74" i="7" s="1"/>
  <c r="ER74" i="7" s="1"/>
  <c r="ES71" i="7"/>
  <c r="EE71" i="7"/>
  <c r="FJ47" i="7"/>
  <c r="FN47" i="7"/>
  <c r="FP47" i="7"/>
  <c r="FG48" i="7"/>
  <c r="FF49" i="7"/>
  <c r="AJ52" i="7"/>
  <c r="AN52" i="7" s="1"/>
  <c r="DB49" i="7"/>
  <c r="AM55" i="7"/>
  <c r="AK53" i="7"/>
  <c r="AL54" i="7"/>
  <c r="FF50" i="7"/>
  <c r="FG50" i="7" s="1"/>
  <c r="FD51" i="7"/>
  <c r="FL51" i="7" s="1"/>
  <c r="DB50" i="7"/>
  <c r="AM56" i="7"/>
  <c r="AL55" i="7"/>
  <c r="AJ53" i="7"/>
  <c r="AK54" i="7"/>
  <c r="R25" i="4"/>
  <c r="L26" i="4"/>
  <c r="G26" i="4"/>
  <c r="AO51" i="7" l="1"/>
  <c r="AP51" i="7" s="1"/>
  <c r="AW51" i="7" s="1"/>
  <c r="EE74" i="7"/>
  <c r="ES74" i="7"/>
  <c r="DD74" i="7"/>
  <c r="GB74" i="7"/>
  <c r="EU74" i="7"/>
  <c r="EV74" i="7" s="1"/>
  <c r="GB71" i="7"/>
  <c r="EU71" i="7"/>
  <c r="EV71" i="7" s="1"/>
  <c r="DD71" i="7"/>
  <c r="GE73" i="7"/>
  <c r="GC73" i="7"/>
  <c r="EK80" i="7"/>
  <c r="EL81" i="7"/>
  <c r="EH77" i="7"/>
  <c r="EJ79" i="7"/>
  <c r="EI78" i="7"/>
  <c r="GG76" i="7"/>
  <c r="GH70" i="7"/>
  <c r="GJ70" i="7"/>
  <c r="GK70" i="7" s="1"/>
  <c r="EH76" i="7"/>
  <c r="EK79" i="7"/>
  <c r="EI77" i="7"/>
  <c r="EL80" i="7"/>
  <c r="EJ78" i="7"/>
  <c r="GC72" i="7"/>
  <c r="GE72" i="7"/>
  <c r="FI48" i="7"/>
  <c r="FJ48" i="7" s="1"/>
  <c r="FH52" i="7"/>
  <c r="FI50" i="7"/>
  <c r="FH54" i="7"/>
  <c r="AO52" i="7"/>
  <c r="AP52" i="7" s="1"/>
  <c r="FE52" i="7"/>
  <c r="FJ50" i="7"/>
  <c r="FN50" i="7"/>
  <c r="FG49" i="7"/>
  <c r="FM48" i="7"/>
  <c r="FO48" i="7" s="1"/>
  <c r="AN53" i="7"/>
  <c r="AM57" i="7"/>
  <c r="AK55" i="7"/>
  <c r="DB51" i="7"/>
  <c r="AL56" i="7"/>
  <c r="AJ54" i="7"/>
  <c r="AN54" i="7" s="1"/>
  <c r="FF51" i="7"/>
  <c r="FG51" i="7" s="1"/>
  <c r="FM50" i="7"/>
  <c r="FO50" i="7" s="1"/>
  <c r="AW52" i="7"/>
  <c r="FD52" i="7"/>
  <c r="FL52" i="7" s="1"/>
  <c r="H26" i="4"/>
  <c r="K26" i="4"/>
  <c r="I26" i="4"/>
  <c r="FN48" i="7" l="1"/>
  <c r="GF72" i="7"/>
  <c r="GD78" i="7"/>
  <c r="GF73" i="7"/>
  <c r="GD79" i="7"/>
  <c r="EH78" i="7"/>
  <c r="EL82" i="7"/>
  <c r="EK81" i="7"/>
  <c r="EI79" i="7"/>
  <c r="EJ80" i="7"/>
  <c r="EK78" i="7"/>
  <c r="EL79" i="7"/>
  <c r="EI76" i="7"/>
  <c r="EM76" i="7" s="1"/>
  <c r="EH75" i="7"/>
  <c r="EM75" i="7" s="1"/>
  <c r="EJ77" i="7"/>
  <c r="EM77" i="7" s="1"/>
  <c r="GC71" i="7"/>
  <c r="GE71" i="7"/>
  <c r="GE74" i="7"/>
  <c r="GC74" i="7"/>
  <c r="FI51" i="7"/>
  <c r="FJ51" i="7" s="1"/>
  <c r="FH55" i="7"/>
  <c r="FI49" i="7"/>
  <c r="FJ49" i="7" s="1"/>
  <c r="FH53" i="7"/>
  <c r="AO53" i="7"/>
  <c r="AP53" i="7" s="1"/>
  <c r="AW53" i="7" s="1"/>
  <c r="DB53" i="7" s="1"/>
  <c r="FE53" i="7"/>
  <c r="AO54" i="7"/>
  <c r="AP54" i="7" s="1"/>
  <c r="FD54" i="7" s="1"/>
  <c r="FL54" i="7" s="1"/>
  <c r="FE54" i="7"/>
  <c r="FP48" i="7"/>
  <c r="FD53" i="7"/>
  <c r="FL53" i="7" s="1"/>
  <c r="FM49" i="7"/>
  <c r="FO49" i="7" s="1"/>
  <c r="AK56" i="7"/>
  <c r="AL57" i="7"/>
  <c r="AM58" i="7"/>
  <c r="AJ55" i="7"/>
  <c r="AN55" i="7" s="1"/>
  <c r="DB52" i="7"/>
  <c r="FM51" i="7"/>
  <c r="FO51" i="7" s="1"/>
  <c r="FF52" i="7"/>
  <c r="M26" i="4"/>
  <c r="Q26" i="4" s="1"/>
  <c r="J25" i="4"/>
  <c r="AM59" i="7" l="1"/>
  <c r="AL58" i="7"/>
  <c r="AK57" i="7"/>
  <c r="AJ56" i="7"/>
  <c r="FN49" i="7"/>
  <c r="EP77" i="7"/>
  <c r="EQ77" i="7" s="1"/>
  <c r="ER77" i="7" s="1"/>
  <c r="EE77" i="7"/>
  <c r="ES77" i="7"/>
  <c r="EP76" i="7"/>
  <c r="EQ76" i="7" s="1"/>
  <c r="ER76" i="7" s="1"/>
  <c r="GF74" i="7"/>
  <c r="GD80" i="7"/>
  <c r="GF71" i="7"/>
  <c r="GD77" i="7"/>
  <c r="EP75" i="7"/>
  <c r="EQ75" i="7" s="1"/>
  <c r="ER75" i="7" s="1"/>
  <c r="FN51" i="7"/>
  <c r="EM78" i="7"/>
  <c r="GG79" i="7"/>
  <c r="GH73" i="7"/>
  <c r="GJ73" i="7"/>
  <c r="GK73" i="7" s="1"/>
  <c r="GH72" i="7"/>
  <c r="GG78" i="7"/>
  <c r="GJ72" i="7"/>
  <c r="GK72" i="7" s="1"/>
  <c r="AO55" i="7"/>
  <c r="AP55" i="7" s="1"/>
  <c r="AW55" i="7" s="1"/>
  <c r="FE55" i="7"/>
  <c r="FP49" i="7"/>
  <c r="AW54" i="7"/>
  <c r="AM60" i="7" s="1"/>
  <c r="FP50" i="7"/>
  <c r="FF53" i="7"/>
  <c r="FG53" i="7" s="1"/>
  <c r="FG52" i="7"/>
  <c r="FP51" i="7"/>
  <c r="AN56" i="7"/>
  <c r="FF54" i="7"/>
  <c r="FD55" i="7"/>
  <c r="FL55" i="7" s="1"/>
  <c r="R26" i="4"/>
  <c r="L27" i="4"/>
  <c r="G27" i="4"/>
  <c r="EE75" i="7" l="1"/>
  <c r="ES75" i="7"/>
  <c r="EE76" i="7"/>
  <c r="GH71" i="7"/>
  <c r="GG77" i="7"/>
  <c r="GJ71" i="7"/>
  <c r="GK71" i="7" s="1"/>
  <c r="GH74" i="7"/>
  <c r="GG80" i="7"/>
  <c r="GJ74" i="7"/>
  <c r="GK74" i="7" s="1"/>
  <c r="GB77" i="7"/>
  <c r="EU77" i="7"/>
  <c r="EV77" i="7" s="1"/>
  <c r="DD77" i="7"/>
  <c r="EP78" i="7"/>
  <c r="EQ78" i="7" s="1"/>
  <c r="ER78" i="7" s="1"/>
  <c r="GB75" i="7"/>
  <c r="EU75" i="7"/>
  <c r="EV75" i="7" s="1"/>
  <c r="DD75" i="7"/>
  <c r="ES76" i="7"/>
  <c r="FI53" i="7"/>
  <c r="FJ53" i="7" s="1"/>
  <c r="FH57" i="7"/>
  <c r="FI52" i="7"/>
  <c r="FJ52" i="7" s="1"/>
  <c r="FH56" i="7"/>
  <c r="AO56" i="7"/>
  <c r="AP56" i="7" s="1"/>
  <c r="AW56" i="7" s="1"/>
  <c r="AL61" i="7" s="1"/>
  <c r="FE56" i="7"/>
  <c r="AJ57" i="7"/>
  <c r="AN57" i="7" s="1"/>
  <c r="DB54" i="7"/>
  <c r="AK58" i="7"/>
  <c r="AL59" i="7"/>
  <c r="FM53" i="7"/>
  <c r="FO53" i="7" s="1"/>
  <c r="FD56" i="7"/>
  <c r="FL56" i="7" s="1"/>
  <c r="FM52" i="7"/>
  <c r="FO52" i="7" s="1"/>
  <c r="FG54" i="7"/>
  <c r="FF55" i="7"/>
  <c r="AJ58" i="7"/>
  <c r="AL60" i="7"/>
  <c r="AM61" i="7"/>
  <c r="DB55" i="7"/>
  <c r="AK59" i="7"/>
  <c r="H27" i="4"/>
  <c r="K27" i="4"/>
  <c r="I27" i="4"/>
  <c r="EE78" i="7" l="1"/>
  <c r="ES78" i="7"/>
  <c r="EL83" i="7"/>
  <c r="EH79" i="7"/>
  <c r="EM79" i="7" s="1"/>
  <c r="EI80" i="7"/>
  <c r="EJ81" i="7"/>
  <c r="EK82" i="7"/>
  <c r="GB78" i="7"/>
  <c r="DD78" i="7"/>
  <c r="EU78" i="7"/>
  <c r="EV78" i="7" s="1"/>
  <c r="GE77" i="7"/>
  <c r="GC77" i="7"/>
  <c r="GB76" i="7"/>
  <c r="EU76" i="7"/>
  <c r="EV76" i="7" s="1"/>
  <c r="DD76" i="7"/>
  <c r="GC75" i="7"/>
  <c r="GE75" i="7"/>
  <c r="EL85" i="7"/>
  <c r="EH81" i="7"/>
  <c r="EJ83" i="7"/>
  <c r="EI82" i="7"/>
  <c r="EK84" i="7"/>
  <c r="FN52" i="7"/>
  <c r="FN53" i="7"/>
  <c r="AK60" i="7"/>
  <c r="DB56" i="7"/>
  <c r="AM62" i="7"/>
  <c r="AJ59" i="7"/>
  <c r="FI54" i="7"/>
  <c r="FH58" i="7"/>
  <c r="AN58" i="7"/>
  <c r="AO58" i="7" s="1"/>
  <c r="AP58" i="7" s="1"/>
  <c r="AW58" i="7" s="1"/>
  <c r="AO57" i="7"/>
  <c r="AP57" i="7" s="1"/>
  <c r="FD57" i="7" s="1"/>
  <c r="FL57" i="7" s="1"/>
  <c r="FE57" i="7"/>
  <c r="FJ54" i="7"/>
  <c r="FN54" i="7"/>
  <c r="AW57" i="7"/>
  <c r="AM63" i="7" s="1"/>
  <c r="FP52" i="7"/>
  <c r="FP53" i="7"/>
  <c r="FF56" i="7"/>
  <c r="FG56" i="7" s="1"/>
  <c r="FM54" i="7"/>
  <c r="FO54" i="7" s="1"/>
  <c r="FG55" i="7"/>
  <c r="AN59" i="7"/>
  <c r="FF57" i="7"/>
  <c r="FD58" i="7"/>
  <c r="FL58" i="7" s="1"/>
  <c r="M27" i="4"/>
  <c r="Q27" i="4" s="1"/>
  <c r="J26" i="4"/>
  <c r="GF75" i="7" l="1"/>
  <c r="GD81" i="7"/>
  <c r="EK83" i="7"/>
  <c r="EL84" i="7"/>
  <c r="EI81" i="7"/>
  <c r="EM81" i="7" s="1"/>
  <c r="EJ82" i="7"/>
  <c r="EH80" i="7"/>
  <c r="EM80" i="7" s="1"/>
  <c r="GC76" i="7"/>
  <c r="GE76" i="7"/>
  <c r="GF77" i="7"/>
  <c r="GD83" i="7"/>
  <c r="EK85" i="7"/>
  <c r="EL86" i="7"/>
  <c r="EH82" i="7"/>
  <c r="EM82" i="7" s="1"/>
  <c r="EI83" i="7"/>
  <c r="EJ84" i="7"/>
  <c r="GC78" i="7"/>
  <c r="GE78" i="7"/>
  <c r="EP79" i="7"/>
  <c r="EQ79" i="7" s="1"/>
  <c r="ER79" i="7" s="1"/>
  <c r="FE58" i="7"/>
  <c r="FG57" i="7"/>
  <c r="FI57" i="7" s="1"/>
  <c r="FN57" i="7" s="1"/>
  <c r="FI56" i="7"/>
  <c r="FJ56" i="7" s="1"/>
  <c r="FH60" i="7"/>
  <c r="FI55" i="7"/>
  <c r="FJ55" i="7" s="1"/>
  <c r="FH59" i="7"/>
  <c r="AO59" i="7"/>
  <c r="AP59" i="7" s="1"/>
  <c r="FD59" i="7" s="1"/>
  <c r="FL59" i="7" s="1"/>
  <c r="FE59" i="7"/>
  <c r="AJ60" i="7"/>
  <c r="AN60" i="7" s="1"/>
  <c r="AK61" i="7"/>
  <c r="AL62" i="7"/>
  <c r="DB57" i="7"/>
  <c r="FP54" i="7"/>
  <c r="AW59" i="7"/>
  <c r="DB59" i="7" s="1"/>
  <c r="FM55" i="7"/>
  <c r="FO55" i="7" s="1"/>
  <c r="FM56" i="7"/>
  <c r="FO56" i="7" s="1"/>
  <c r="DB58" i="7"/>
  <c r="AK62" i="7"/>
  <c r="AM64" i="7"/>
  <c r="AL63" i="7"/>
  <c r="AJ61" i="7"/>
  <c r="FF58" i="7"/>
  <c r="FG58" i="7" s="1"/>
  <c r="FF59" i="7"/>
  <c r="R27" i="4"/>
  <c r="L28" i="4"/>
  <c r="G28" i="4"/>
  <c r="FN55" i="7" l="1"/>
  <c r="ES79" i="7"/>
  <c r="FN56" i="7"/>
  <c r="EP81" i="7"/>
  <c r="FM57" i="7"/>
  <c r="FO57" i="7" s="1"/>
  <c r="GG83" i="7"/>
  <c r="GH77" i="7"/>
  <c r="GJ77" i="7"/>
  <c r="GK77" i="7" s="1"/>
  <c r="EP80" i="7"/>
  <c r="EQ80" i="7" s="1"/>
  <c r="ER80" i="7" s="1"/>
  <c r="EN81" i="7"/>
  <c r="EE81" i="7" s="1"/>
  <c r="DD79" i="7"/>
  <c r="GB79" i="7"/>
  <c r="EU79" i="7"/>
  <c r="EV79" i="7" s="1"/>
  <c r="EP82" i="7"/>
  <c r="EN82" i="7" s="1"/>
  <c r="EE82" i="7" s="1"/>
  <c r="GF76" i="7"/>
  <c r="GD82" i="7"/>
  <c r="EE79" i="7"/>
  <c r="GF78" i="7"/>
  <c r="GD84" i="7"/>
  <c r="FH61" i="7"/>
  <c r="GG81" i="7"/>
  <c r="GH75" i="7"/>
  <c r="GJ75" i="7"/>
  <c r="GK75" i="7" s="1"/>
  <c r="FJ57" i="7"/>
  <c r="FI58" i="7"/>
  <c r="FH62" i="7"/>
  <c r="AO60" i="7"/>
  <c r="AP60" i="7" s="1"/>
  <c r="AW60" i="7" s="1"/>
  <c r="FE60" i="7"/>
  <c r="FJ58" i="7"/>
  <c r="FN58" i="7"/>
  <c r="AM65" i="7"/>
  <c r="AJ62" i="7"/>
  <c r="AN61" i="7"/>
  <c r="AN62" i="7"/>
  <c r="FD60" i="7"/>
  <c r="FL60" i="7" s="1"/>
  <c r="AK63" i="7"/>
  <c r="AL64" i="7"/>
  <c r="FP57" i="7"/>
  <c r="FP56" i="7"/>
  <c r="FP55" i="7"/>
  <c r="FG59" i="7"/>
  <c r="AJ63" i="7"/>
  <c r="AN63" i="7" s="1"/>
  <c r="AM66" i="7"/>
  <c r="AK64" i="7"/>
  <c r="AL65" i="7"/>
  <c r="DB60" i="7"/>
  <c r="FM58" i="7"/>
  <c r="FO58" i="7" s="1"/>
  <c r="H28" i="4"/>
  <c r="K28" i="4"/>
  <c r="I28" i="4"/>
  <c r="EE80" i="7" l="1"/>
  <c r="S12" i="7" s="1"/>
  <c r="ES80" i="7"/>
  <c r="EI84" i="7"/>
  <c r="EH83" i="7"/>
  <c r="EM83" i="7" s="1"/>
  <c r="EP83" i="7" s="1"/>
  <c r="EN83" i="7" s="1"/>
  <c r="EE83" i="7" s="1"/>
  <c r="EK86" i="7"/>
  <c r="EL87" i="7"/>
  <c r="EJ85" i="7"/>
  <c r="GC79" i="7"/>
  <c r="GE79" i="7"/>
  <c r="GH78" i="7"/>
  <c r="GG84" i="7"/>
  <c r="GJ78" i="7"/>
  <c r="GK78" i="7" s="1"/>
  <c r="GH76" i="7"/>
  <c r="GG82" i="7"/>
  <c r="GJ76" i="7"/>
  <c r="GK76" i="7" s="1"/>
  <c r="GB80" i="7"/>
  <c r="DD80" i="7"/>
  <c r="EU80" i="7"/>
  <c r="EV80" i="7" s="1"/>
  <c r="FI59" i="7"/>
  <c r="FJ59" i="7" s="1"/>
  <c r="FH63" i="7"/>
  <c r="AO63" i="7"/>
  <c r="AP63" i="7" s="1"/>
  <c r="AW63" i="7" s="1"/>
  <c r="FE63" i="7"/>
  <c r="AO62" i="7"/>
  <c r="AP62" i="7" s="1"/>
  <c r="AW62" i="7" s="1"/>
  <c r="AJ65" i="7" s="1"/>
  <c r="FE62" i="7"/>
  <c r="AO61" i="7"/>
  <c r="AP61" i="7" s="1"/>
  <c r="AW61" i="7" s="1"/>
  <c r="AM67" i="7" s="1"/>
  <c r="FE61" i="7"/>
  <c r="FF60" i="7"/>
  <c r="FG60" i="7" s="1"/>
  <c r="FD62" i="7"/>
  <c r="FL62" i="7" s="1"/>
  <c r="FD61" i="7"/>
  <c r="FL61" i="7" s="1"/>
  <c r="FM59" i="7"/>
  <c r="FO59" i="7" s="1"/>
  <c r="FP58" i="7"/>
  <c r="FF62" i="7"/>
  <c r="FD63" i="7"/>
  <c r="FL63" i="7" s="1"/>
  <c r="M28" i="4"/>
  <c r="Q28" i="4" s="1"/>
  <c r="J27" i="4"/>
  <c r="GC80" i="7" l="1"/>
  <c r="GE80" i="7"/>
  <c r="EL88" i="7"/>
  <c r="EH84" i="7"/>
  <c r="EM84" i="7" s="1"/>
  <c r="EP84" i="7" s="1"/>
  <c r="EN84" i="7" s="1"/>
  <c r="EE84" i="7" s="1"/>
  <c r="EJ86" i="7"/>
  <c r="EI85" i="7"/>
  <c r="EK87" i="7"/>
  <c r="AK65" i="7"/>
  <c r="AJ64" i="7"/>
  <c r="AN64" i="7" s="1"/>
  <c r="AM68" i="7"/>
  <c r="GF79" i="7"/>
  <c r="GD85" i="7"/>
  <c r="AL66" i="7"/>
  <c r="DB61" i="7"/>
  <c r="AK66" i="7"/>
  <c r="DB62" i="7"/>
  <c r="AL67" i="7"/>
  <c r="FN59" i="7"/>
  <c r="FI60" i="7"/>
  <c r="FN60" i="7" s="1"/>
  <c r="FH64" i="7"/>
  <c r="FG62" i="7"/>
  <c r="FM62" i="7" s="1"/>
  <c r="FO62" i="7" s="1"/>
  <c r="AO64" i="7"/>
  <c r="AP64" i="7" s="1"/>
  <c r="AW64" i="7" s="1"/>
  <c r="FE64" i="7"/>
  <c r="FJ60" i="7"/>
  <c r="FM60" i="7"/>
  <c r="FO60" i="7" s="1"/>
  <c r="FF61" i="7"/>
  <c r="FG61" i="7" s="1"/>
  <c r="FP59" i="7"/>
  <c r="DB63" i="7"/>
  <c r="AM69" i="7"/>
  <c r="AL68" i="7"/>
  <c r="AK67" i="7"/>
  <c r="AJ66" i="7"/>
  <c r="FD64" i="7"/>
  <c r="FL64" i="7" s="1"/>
  <c r="FF63" i="7"/>
  <c r="AN65" i="7"/>
  <c r="R28" i="4"/>
  <c r="L29" i="4"/>
  <c r="G29" i="4"/>
  <c r="GH79" i="7" l="1"/>
  <c r="GG85" i="7"/>
  <c r="GJ79" i="7"/>
  <c r="GK79" i="7" s="1"/>
  <c r="AN66" i="7"/>
  <c r="GF80" i="7"/>
  <c r="GD86" i="7"/>
  <c r="FI61" i="7"/>
  <c r="FN61" i="7" s="1"/>
  <c r="FH65" i="7"/>
  <c r="FI62" i="7"/>
  <c r="FH66" i="7"/>
  <c r="AO65" i="7"/>
  <c r="AP65" i="7" s="1"/>
  <c r="FE65" i="7"/>
  <c r="AO66" i="7"/>
  <c r="AP66" i="7" s="1"/>
  <c r="AW66" i="7" s="1"/>
  <c r="FE66" i="7"/>
  <c r="FP60" i="7"/>
  <c r="FM61" i="7"/>
  <c r="FO61" i="7" s="1"/>
  <c r="FG63" i="7"/>
  <c r="AW65" i="7"/>
  <c r="FD65" i="7"/>
  <c r="FL65" i="7" s="1"/>
  <c r="AJ67" i="7"/>
  <c r="AN67" i="7" s="1"/>
  <c r="DB64" i="7"/>
  <c r="AL69" i="7"/>
  <c r="AM70" i="7"/>
  <c r="AK68" i="7"/>
  <c r="FF64" i="7"/>
  <c r="FD66" i="7"/>
  <c r="FL66" i="7" s="1"/>
  <c r="H29" i="4"/>
  <c r="K29" i="4"/>
  <c r="I29" i="4"/>
  <c r="GG86" i="7" l="1"/>
  <c r="GH80" i="7"/>
  <c r="GJ80" i="7"/>
  <c r="FJ61" i="7"/>
  <c r="FI63" i="7"/>
  <c r="FH67" i="7"/>
  <c r="FJ62" i="7"/>
  <c r="FN62" i="7"/>
  <c r="AO67" i="7"/>
  <c r="AP67" i="7" s="1"/>
  <c r="FE67" i="7"/>
  <c r="FJ63" i="7"/>
  <c r="FN63" i="7"/>
  <c r="FP61" i="7"/>
  <c r="FP62" i="7"/>
  <c r="FM63" i="7"/>
  <c r="FO63" i="7" s="1"/>
  <c r="FG64" i="7"/>
  <c r="FF65" i="7"/>
  <c r="FG65" i="7" s="1"/>
  <c r="FF66" i="7"/>
  <c r="FG66" i="7" s="1"/>
  <c r="AL71" i="7"/>
  <c r="AM72" i="7"/>
  <c r="AK70" i="7"/>
  <c r="AJ69" i="7"/>
  <c r="DB66" i="7"/>
  <c r="AW67" i="7"/>
  <c r="FD67" i="7"/>
  <c r="FL67" i="7" s="1"/>
  <c r="AJ68" i="7"/>
  <c r="AN68" i="7" s="1"/>
  <c r="DB65" i="7"/>
  <c r="AM71" i="7"/>
  <c r="AL70" i="7"/>
  <c r="AK69" i="7"/>
  <c r="M29" i="4"/>
  <c r="Q29" i="4" s="1"/>
  <c r="J28" i="4"/>
  <c r="FY12" i="7" l="1"/>
  <c r="FY10" i="7"/>
  <c r="FY11" i="7"/>
  <c r="GK80" i="7"/>
  <c r="FX10" i="7"/>
  <c r="FX12" i="7"/>
  <c r="FX11" i="7"/>
  <c r="FI66" i="7"/>
  <c r="FN66" i="7" s="1"/>
  <c r="FH70" i="7"/>
  <c r="FI64" i="7"/>
  <c r="FH68" i="7"/>
  <c r="FI65" i="7"/>
  <c r="FH69" i="7"/>
  <c r="AO68" i="7"/>
  <c r="AP68" i="7" s="1"/>
  <c r="FE68" i="7"/>
  <c r="FJ64" i="7"/>
  <c r="FN64" i="7"/>
  <c r="FJ65" i="7"/>
  <c r="FN65" i="7"/>
  <c r="FP63" i="7"/>
  <c r="FM64" i="7"/>
  <c r="FO64" i="7" s="1"/>
  <c r="AN69" i="7"/>
  <c r="AW68" i="7"/>
  <c r="FD68" i="7"/>
  <c r="FL68" i="7" s="1"/>
  <c r="FF67" i="7"/>
  <c r="FG67" i="7" s="1"/>
  <c r="AL72" i="7"/>
  <c r="AM73" i="7"/>
  <c r="AK71" i="7"/>
  <c r="DB67" i="7"/>
  <c r="AJ70" i="7"/>
  <c r="AN70" i="7" s="1"/>
  <c r="FM66" i="7"/>
  <c r="FO66" i="7" s="1"/>
  <c r="FM65" i="7"/>
  <c r="FO65" i="7" s="1"/>
  <c r="R29" i="4"/>
  <c r="L30" i="4"/>
  <c r="G30" i="4"/>
  <c r="FJ66" i="7" l="1"/>
  <c r="FI67" i="7"/>
  <c r="FJ67" i="7" s="1"/>
  <c r="FH71" i="7"/>
  <c r="AO70" i="7"/>
  <c r="AP70" i="7" s="1"/>
  <c r="FE70" i="7"/>
  <c r="AO69" i="7"/>
  <c r="AP69" i="7" s="1"/>
  <c r="FE69" i="7"/>
  <c r="FN67" i="7"/>
  <c r="FP64" i="7"/>
  <c r="FP65" i="7"/>
  <c r="FP66" i="7"/>
  <c r="AW70" i="7"/>
  <c r="FD70" i="7"/>
  <c r="FL70" i="7" s="1"/>
  <c r="DB68" i="7"/>
  <c r="AL73" i="7"/>
  <c r="AJ71" i="7"/>
  <c r="AN71" i="7" s="1"/>
  <c r="AK72" i="7"/>
  <c r="AM74" i="7"/>
  <c r="FM67" i="7"/>
  <c r="FO67" i="7" s="1"/>
  <c r="FF68" i="7"/>
  <c r="AW69" i="7"/>
  <c r="FD69" i="7"/>
  <c r="FL69" i="7" s="1"/>
  <c r="H30" i="4"/>
  <c r="K30" i="4"/>
  <c r="I30" i="4"/>
  <c r="AO71" i="7" l="1"/>
  <c r="AP71" i="7" s="1"/>
  <c r="AW71" i="7" s="1"/>
  <c r="FE71" i="7"/>
  <c r="FG68" i="7"/>
  <c r="FP67" i="7"/>
  <c r="FF69" i="7"/>
  <c r="AK73" i="7"/>
  <c r="AJ72" i="7"/>
  <c r="AN72" i="7" s="1"/>
  <c r="AL74" i="7"/>
  <c r="AM75" i="7"/>
  <c r="DB69" i="7"/>
  <c r="FD71" i="7"/>
  <c r="FL71" i="7" s="1"/>
  <c r="FF70" i="7"/>
  <c r="AL75" i="7"/>
  <c r="AM76" i="7"/>
  <c r="AK74" i="7"/>
  <c r="DB70" i="7"/>
  <c r="AJ73" i="7"/>
  <c r="M30" i="4"/>
  <c r="Q30" i="4" s="1"/>
  <c r="J29" i="4"/>
  <c r="FI68" i="7" l="1"/>
  <c r="FJ68" i="7" s="1"/>
  <c r="FH72" i="7"/>
  <c r="AO72" i="7"/>
  <c r="AP72" i="7" s="1"/>
  <c r="FE72" i="7"/>
  <c r="FG69" i="7"/>
  <c r="FM68" i="7"/>
  <c r="FO68" i="7" s="1"/>
  <c r="FG70" i="7"/>
  <c r="AN73" i="7"/>
  <c r="FF71" i="7"/>
  <c r="AL76" i="7"/>
  <c r="AK75" i="7"/>
  <c r="AJ74" i="7"/>
  <c r="AN74" i="7" s="1"/>
  <c r="AM77" i="7"/>
  <c r="DB71" i="7"/>
  <c r="AW72" i="7"/>
  <c r="FD72" i="7"/>
  <c r="FL72" i="7" s="1"/>
  <c r="R30" i="4"/>
  <c r="L31" i="4"/>
  <c r="G31" i="4"/>
  <c r="FN68" i="7" l="1"/>
  <c r="FI70" i="7"/>
  <c r="FH74" i="7"/>
  <c r="FI69" i="7"/>
  <c r="FH73" i="7"/>
  <c r="AO74" i="7"/>
  <c r="AP74" i="7" s="1"/>
  <c r="FE74" i="7"/>
  <c r="AO73" i="7"/>
  <c r="AP73" i="7" s="1"/>
  <c r="AW73" i="7" s="1"/>
  <c r="DB73" i="7" s="1"/>
  <c r="FE73" i="7"/>
  <c r="FJ70" i="7"/>
  <c r="FN70" i="7"/>
  <c r="FJ69" i="7"/>
  <c r="FN69" i="7"/>
  <c r="FP68" i="7"/>
  <c r="FD73" i="7"/>
  <c r="FL73" i="7" s="1"/>
  <c r="FG71" i="7"/>
  <c r="FM69" i="7"/>
  <c r="FO69" i="7" s="1"/>
  <c r="FM70" i="7"/>
  <c r="FO70" i="7" s="1"/>
  <c r="FF72" i="7"/>
  <c r="AW74" i="7"/>
  <c r="FD74" i="7"/>
  <c r="FL74" i="7" s="1"/>
  <c r="DB72" i="7"/>
  <c r="AL77" i="7"/>
  <c r="AK76" i="7"/>
  <c r="AM78" i="7"/>
  <c r="AJ75" i="7"/>
  <c r="AN75" i="7" s="1"/>
  <c r="H31" i="4"/>
  <c r="K31" i="4"/>
  <c r="I31" i="4"/>
  <c r="FI71" i="7" l="1"/>
  <c r="FN71" i="7" s="1"/>
  <c r="FH75" i="7"/>
  <c r="AM79" i="7"/>
  <c r="AL78" i="7"/>
  <c r="AJ76" i="7"/>
  <c r="AO75" i="7"/>
  <c r="AP75" i="7" s="1"/>
  <c r="FE75" i="7"/>
  <c r="AK77" i="7"/>
  <c r="FF73" i="7"/>
  <c r="FG73" i="7" s="1"/>
  <c r="FP70" i="7"/>
  <c r="FP69" i="7"/>
  <c r="FG72" i="7"/>
  <c r="FM71" i="7"/>
  <c r="FO71" i="7" s="1"/>
  <c r="AN76" i="7"/>
  <c r="AW75" i="7"/>
  <c r="FD75" i="7"/>
  <c r="FL75" i="7" s="1"/>
  <c r="FF74" i="7"/>
  <c r="DB74" i="7"/>
  <c r="AJ77" i="7"/>
  <c r="AN77" i="7" s="1"/>
  <c r="AL79" i="7"/>
  <c r="AM80" i="7"/>
  <c r="AK78" i="7"/>
  <c r="M31" i="4"/>
  <c r="Q31" i="4" s="1"/>
  <c r="J30" i="4"/>
  <c r="FJ71" i="7" l="1"/>
  <c r="FI73" i="7"/>
  <c r="FH77" i="7"/>
  <c r="FI72" i="7"/>
  <c r="FH76" i="7"/>
  <c r="AO76" i="7"/>
  <c r="AP76" i="7" s="1"/>
  <c r="FD76" i="7" s="1"/>
  <c r="FL76" i="7" s="1"/>
  <c r="FE76" i="7"/>
  <c r="AO77" i="7"/>
  <c r="AP77" i="7" s="1"/>
  <c r="FE77" i="7"/>
  <c r="FJ72" i="7"/>
  <c r="FN72" i="7"/>
  <c r="FJ73" i="7"/>
  <c r="FN73" i="7"/>
  <c r="FP71" i="7"/>
  <c r="AW76" i="7"/>
  <c r="DB76" i="7" s="1"/>
  <c r="FG74" i="7"/>
  <c r="FM72" i="7"/>
  <c r="FO72" i="7" s="1"/>
  <c r="FM73" i="7"/>
  <c r="FO73" i="7" s="1"/>
  <c r="FF76" i="7"/>
  <c r="FG76" i="7" s="1"/>
  <c r="AW77" i="7"/>
  <c r="FD77" i="7"/>
  <c r="FL77" i="7" s="1"/>
  <c r="FF75" i="7"/>
  <c r="FG75" i="7" s="1"/>
  <c r="AK79" i="7"/>
  <c r="AJ78" i="7"/>
  <c r="AN78" i="7" s="1"/>
  <c r="AL80" i="7"/>
  <c r="AM81" i="7"/>
  <c r="DB75" i="7"/>
  <c r="R31" i="4"/>
  <c r="L32" i="4"/>
  <c r="G32" i="4"/>
  <c r="FI75" i="7" l="1"/>
  <c r="FN75" i="7" s="1"/>
  <c r="FH79" i="7"/>
  <c r="FI76" i="7"/>
  <c r="FH80" i="7"/>
  <c r="FI74" i="7"/>
  <c r="FH78" i="7"/>
  <c r="AO78" i="7"/>
  <c r="AP78" i="7" s="1"/>
  <c r="FE78" i="7"/>
  <c r="FJ74" i="7"/>
  <c r="FN74" i="7"/>
  <c r="FJ76" i="7"/>
  <c r="FN76" i="7"/>
  <c r="AL81" i="7"/>
  <c r="AK80" i="7"/>
  <c r="AJ79" i="7"/>
  <c r="AM82" i="7"/>
  <c r="FP72" i="7"/>
  <c r="FP73" i="7"/>
  <c r="AN79" i="7"/>
  <c r="FM74" i="7"/>
  <c r="FO74" i="7" s="1"/>
  <c r="AW78" i="7"/>
  <c r="FD78" i="7"/>
  <c r="FL78" i="7" s="1"/>
  <c r="FM75" i="7"/>
  <c r="FO75" i="7" s="1"/>
  <c r="FF77" i="7"/>
  <c r="FG77" i="7" s="1"/>
  <c r="DB77" i="7"/>
  <c r="AJ80" i="7"/>
  <c r="AK81" i="7"/>
  <c r="AM83" i="7"/>
  <c r="AL82" i="7"/>
  <c r="FM76" i="7"/>
  <c r="FO76" i="7" s="1"/>
  <c r="H32" i="4"/>
  <c r="K32" i="4"/>
  <c r="I32" i="4"/>
  <c r="FJ75" i="7" l="1"/>
  <c r="FI77" i="7"/>
  <c r="FJ77" i="7" s="1"/>
  <c r="FH81" i="7"/>
  <c r="AO79" i="7"/>
  <c r="FE79" i="7"/>
  <c r="FP74" i="7"/>
  <c r="AP79" i="7"/>
  <c r="AW79" i="7" s="1"/>
  <c r="AJ82" i="7" s="1"/>
  <c r="AN80" i="7"/>
  <c r="FP75" i="7"/>
  <c r="FP76" i="7"/>
  <c r="AM84" i="7"/>
  <c r="AJ81" i="7"/>
  <c r="AN81" i="7" s="1"/>
  <c r="AL83" i="7"/>
  <c r="AK82" i="7"/>
  <c r="DB78" i="7"/>
  <c r="FM77" i="7"/>
  <c r="FO77" i="7" s="1"/>
  <c r="FF78" i="7"/>
  <c r="M32" i="4"/>
  <c r="Q32" i="4" s="1"/>
  <c r="J31" i="4"/>
  <c r="FN77" i="7" l="1"/>
  <c r="AO80" i="7"/>
  <c r="FE80" i="7"/>
  <c r="AO81" i="7"/>
  <c r="AP81" i="7" s="1"/>
  <c r="FE81" i="7"/>
  <c r="AK83" i="7"/>
  <c r="DB79" i="7"/>
  <c r="AL84" i="7"/>
  <c r="AM85" i="7"/>
  <c r="AP80" i="7"/>
  <c r="FG78" i="7"/>
  <c r="FP77" i="7"/>
  <c r="AN82" i="7"/>
  <c r="AW81" i="7"/>
  <c r="FD81" i="7"/>
  <c r="FL81" i="7" s="1"/>
  <c r="R32" i="4"/>
  <c r="L33" i="4"/>
  <c r="G33" i="4"/>
  <c r="FI78" i="7" l="1"/>
  <c r="FJ78" i="7" s="1"/>
  <c r="FH82" i="7"/>
  <c r="AO82" i="7"/>
  <c r="AP82" i="7" s="1"/>
  <c r="AW82" i="7" s="1"/>
  <c r="FE82" i="7"/>
  <c r="FD80" i="7"/>
  <c r="FL80" i="7" s="1"/>
  <c r="FF80" i="7"/>
  <c r="AW80" i="7"/>
  <c r="AJ83" i="7" s="1"/>
  <c r="AN83" i="7" s="1"/>
  <c r="FD79" i="7"/>
  <c r="FL79" i="7" s="1"/>
  <c r="FF79" i="7"/>
  <c r="FD82" i="7"/>
  <c r="FL82" i="7" s="1"/>
  <c r="FM78" i="7"/>
  <c r="FO78" i="7" s="1"/>
  <c r="FF81" i="7"/>
  <c r="FG81" i="7" s="1"/>
  <c r="AK85" i="7"/>
  <c r="AL86" i="7"/>
  <c r="AJ84" i="7"/>
  <c r="AM87" i="7"/>
  <c r="DB81" i="7"/>
  <c r="AJ85" i="7"/>
  <c r="AL87" i="7"/>
  <c r="AM88" i="7"/>
  <c r="AK86" i="7"/>
  <c r="DB82" i="7"/>
  <c r="H33" i="4"/>
  <c r="K33" i="4"/>
  <c r="I33" i="4"/>
  <c r="FN78" i="7" l="1"/>
  <c r="FI81" i="7"/>
  <c r="FJ81" i="7" s="1"/>
  <c r="FH85" i="7"/>
  <c r="AO83" i="7"/>
  <c r="AP83" i="7" s="1"/>
  <c r="C83" i="7" s="1"/>
  <c r="FE83" i="7"/>
  <c r="FG80" i="7"/>
  <c r="FH84" i="7" s="1"/>
  <c r="AW83" i="7"/>
  <c r="AL88" i="7" s="1"/>
  <c r="FD83" i="7"/>
  <c r="FL83" i="7" s="1"/>
  <c r="DB80" i="7"/>
  <c r="AL85" i="7"/>
  <c r="AM86" i="7"/>
  <c r="AK84" i="7"/>
  <c r="AN84" i="7" s="1"/>
  <c r="B83" i="7"/>
  <c r="FG79" i="7"/>
  <c r="FH83" i="7" s="1"/>
  <c r="AN85" i="7"/>
  <c r="FF82" i="7"/>
  <c r="FG82" i="7" s="1"/>
  <c r="FP78" i="7"/>
  <c r="FF83" i="7"/>
  <c r="AK87" i="7"/>
  <c r="FM81" i="7"/>
  <c r="M33" i="4"/>
  <c r="Q33" i="4" s="1"/>
  <c r="J32" i="4"/>
  <c r="AJ86" i="7" l="1"/>
  <c r="AN86" i="7" s="1"/>
  <c r="FN81" i="7"/>
  <c r="FI82" i="7"/>
  <c r="FJ82" i="7" s="1"/>
  <c r="FH86" i="7"/>
  <c r="AO86" i="7"/>
  <c r="FE86" i="7"/>
  <c r="AO85" i="7"/>
  <c r="AP85" i="7" s="1"/>
  <c r="B85" i="7" s="1"/>
  <c r="FE85" i="7"/>
  <c r="AO84" i="7"/>
  <c r="AP84" i="7" s="1"/>
  <c r="C84" i="7" s="1"/>
  <c r="FE84" i="7"/>
  <c r="AM89" i="7"/>
  <c r="AP86" i="7"/>
  <c r="AW86" i="7" s="1"/>
  <c r="AK11" i="7"/>
  <c r="DB83" i="7"/>
  <c r="FI80" i="7"/>
  <c r="FM80" i="7"/>
  <c r="FD84" i="7"/>
  <c r="FL84" i="7" s="1"/>
  <c r="AW84" i="7"/>
  <c r="AK88" i="7" s="1"/>
  <c r="B84" i="7"/>
  <c r="FI79" i="7"/>
  <c r="FN79" i="7" s="1"/>
  <c r="FM79" i="7"/>
  <c r="FO79" i="7" s="1"/>
  <c r="C86" i="7"/>
  <c r="B86" i="7"/>
  <c r="AW85" i="7"/>
  <c r="DB85" i="7" s="1"/>
  <c r="FD85" i="7"/>
  <c r="FL85" i="7" s="1"/>
  <c r="FM82" i="7"/>
  <c r="FG83" i="7"/>
  <c r="FD86" i="7"/>
  <c r="FL86" i="7" s="1"/>
  <c r="R33" i="4"/>
  <c r="L34" i="4"/>
  <c r="G34" i="4"/>
  <c r="FN82" i="7" l="1"/>
  <c r="C85" i="7"/>
  <c r="FI83" i="7"/>
  <c r="FH87" i="7"/>
  <c r="FJ80" i="7"/>
  <c r="FN80" i="7"/>
  <c r="FJ83" i="7"/>
  <c r="FN83" i="7"/>
  <c r="FP81" i="7"/>
  <c r="FP82" i="7"/>
  <c r="FF84" i="7"/>
  <c r="FG84" i="7" s="1"/>
  <c r="DB84" i="7"/>
  <c r="AM90" i="7"/>
  <c r="AL89" i="7"/>
  <c r="AJ87" i="7"/>
  <c r="AN87" i="7" s="1"/>
  <c r="AL90" i="7"/>
  <c r="AK89" i="7"/>
  <c r="AJ88" i="7"/>
  <c r="AN88" i="7" s="1"/>
  <c r="AM91" i="7"/>
  <c r="FF85" i="7"/>
  <c r="FG85" i="7" s="1"/>
  <c r="FP80" i="7"/>
  <c r="FP79" i="7"/>
  <c r="FP10" i="7" s="1"/>
  <c r="FP11" i="7"/>
  <c r="FP12" i="7"/>
  <c r="FQ10" i="7"/>
  <c r="FJ79" i="7"/>
  <c r="FQ11" i="7"/>
  <c r="FQ12" i="7"/>
  <c r="FM83" i="7"/>
  <c r="FP83" i="7" s="1"/>
  <c r="FF86" i="7"/>
  <c r="AM92" i="7"/>
  <c r="AL91" i="7"/>
  <c r="DB86" i="7"/>
  <c r="AK90" i="7"/>
  <c r="AJ89" i="7"/>
  <c r="H34" i="4"/>
  <c r="K34" i="4"/>
  <c r="I34" i="4"/>
  <c r="FI84" i="7" l="1"/>
  <c r="FJ84" i="7" s="1"/>
  <c r="FH88" i="7"/>
  <c r="FI85" i="7"/>
  <c r="FH89" i="7"/>
  <c r="AO88" i="7"/>
  <c r="AP88" i="7" s="1"/>
  <c r="AW88" i="7" s="1"/>
  <c r="DB88" i="7" s="1"/>
  <c r="FE88" i="7"/>
  <c r="AO87" i="7"/>
  <c r="FE87" i="7"/>
  <c r="FJ85" i="7"/>
  <c r="FN85" i="7"/>
  <c r="AN89" i="7"/>
  <c r="FM84" i="7"/>
  <c r="AP87" i="7"/>
  <c r="B87" i="7" s="1"/>
  <c r="AM12" i="7" s="1"/>
  <c r="FM85" i="7"/>
  <c r="FD88" i="7"/>
  <c r="FL88" i="7" s="1"/>
  <c r="FG86" i="7"/>
  <c r="FP85" i="7"/>
  <c r="FP84" i="7"/>
  <c r="M34" i="4"/>
  <c r="Q34" i="4" s="1"/>
  <c r="J33" i="4"/>
  <c r="AK92" i="7" l="1"/>
  <c r="AM94" i="7"/>
  <c r="AJ91" i="7"/>
  <c r="AL93" i="7"/>
  <c r="FN84" i="7"/>
  <c r="FI86" i="7"/>
  <c r="FJ86" i="7" s="1"/>
  <c r="FH90" i="7"/>
  <c r="AO89" i="7"/>
  <c r="AP89" i="7" s="1"/>
  <c r="FD89" i="7" s="1"/>
  <c r="FL89" i="7" s="1"/>
  <c r="FE89" i="7"/>
  <c r="FN86" i="7"/>
  <c r="AM11" i="7"/>
  <c r="AW87" i="7"/>
  <c r="AK91" i="7" s="1"/>
  <c r="AW89" i="7"/>
  <c r="DB89" i="7" s="1"/>
  <c r="C87" i="7"/>
  <c r="C104" i="7" s="1"/>
  <c r="FF88" i="7"/>
  <c r="FG88" i="7" s="1"/>
  <c r="FM86" i="7"/>
  <c r="FP86" i="7" s="1"/>
  <c r="FF89" i="7"/>
  <c r="FG89" i="7" s="1"/>
  <c r="AN91" i="7"/>
  <c r="R34" i="4"/>
  <c r="L35" i="4"/>
  <c r="G35" i="4"/>
  <c r="AL92" i="7" l="1"/>
  <c r="AJ90" i="7"/>
  <c r="AN90" i="7" s="1"/>
  <c r="AO90" i="7" s="1"/>
  <c r="AP90" i="7" s="1"/>
  <c r="FI88" i="7"/>
  <c r="FJ88" i="7" s="1"/>
  <c r="FH92" i="7"/>
  <c r="FI89" i="7"/>
  <c r="FH93" i="7"/>
  <c r="FE90" i="7"/>
  <c r="AO91" i="7"/>
  <c r="AP91" i="7" s="1"/>
  <c r="FJ89" i="7"/>
  <c r="FN89" i="7"/>
  <c r="AM93" i="7"/>
  <c r="DB87" i="7"/>
  <c r="AJ92" i="7"/>
  <c r="AK93" i="7"/>
  <c r="AL94" i="7"/>
  <c r="AM95" i="7"/>
  <c r="C106" i="7"/>
  <c r="C107" i="7" s="1"/>
  <c r="AY8" i="7" s="1"/>
  <c r="FD87" i="7"/>
  <c r="FL87" i="7" s="1"/>
  <c r="FF87" i="7"/>
  <c r="FM88" i="7"/>
  <c r="AW91" i="7"/>
  <c r="FD91" i="7"/>
  <c r="FL91" i="7" s="1"/>
  <c r="FM89" i="7"/>
  <c r="H35" i="4"/>
  <c r="K35" i="4"/>
  <c r="I35" i="4"/>
  <c r="AN92" i="7" l="1"/>
  <c r="AO92" i="7" s="1"/>
  <c r="AP92" i="7" s="1"/>
  <c r="FN88" i="7"/>
  <c r="FE91" i="7"/>
  <c r="FG87" i="7"/>
  <c r="FH91" i="7" s="1"/>
  <c r="AW90" i="7"/>
  <c r="FF91" i="7"/>
  <c r="DB91" i="7"/>
  <c r="AL96" i="7"/>
  <c r="AJ94" i="7"/>
  <c r="AM97" i="7"/>
  <c r="AK95" i="7"/>
  <c r="M35" i="4"/>
  <c r="Q35" i="4" s="1"/>
  <c r="J34" i="4"/>
  <c r="FE92" i="7" l="1"/>
  <c r="AW92" i="7"/>
  <c r="FI87" i="7"/>
  <c r="FM87" i="7"/>
  <c r="FD90" i="7"/>
  <c r="FL90" i="7" s="1"/>
  <c r="FF90" i="7"/>
  <c r="AJ93" i="7"/>
  <c r="AN93" i="7" s="1"/>
  <c r="AL95" i="7"/>
  <c r="AK94" i="7"/>
  <c r="AN94" i="7" s="1"/>
  <c r="DB90" i="7"/>
  <c r="AM96" i="7"/>
  <c r="FG91" i="7"/>
  <c r="R35" i="4"/>
  <c r="L36" i="4"/>
  <c r="G36" i="4"/>
  <c r="FI91" i="7" l="1"/>
  <c r="FJ91" i="7" s="1"/>
  <c r="FH95" i="7"/>
  <c r="AO93" i="7"/>
  <c r="FE93" i="7"/>
  <c r="FD92" i="7"/>
  <c r="FL92" i="7" s="1"/>
  <c r="FF92" i="7"/>
  <c r="AO94" i="7"/>
  <c r="AP94" i="7" s="1"/>
  <c r="FE94" i="7"/>
  <c r="AM98" i="7"/>
  <c r="DB92" i="7"/>
  <c r="AL97" i="7"/>
  <c r="AK96" i="7"/>
  <c r="AJ95" i="7"/>
  <c r="AN95" i="7" s="1"/>
  <c r="FJ87" i="7"/>
  <c r="FN87" i="7"/>
  <c r="FP87" i="7"/>
  <c r="FP89" i="7"/>
  <c r="FP88" i="7"/>
  <c r="FD94" i="7"/>
  <c r="FL94" i="7" s="1"/>
  <c r="AW94" i="7"/>
  <c r="AL99" i="7" s="1"/>
  <c r="AP93" i="7"/>
  <c r="FG90" i="7"/>
  <c r="FH94" i="7" s="1"/>
  <c r="FM91" i="7"/>
  <c r="H36" i="4"/>
  <c r="K36" i="4"/>
  <c r="I36" i="4"/>
  <c r="FG92" i="7" l="1"/>
  <c r="FH96" i="7" s="1"/>
  <c r="FN91" i="7"/>
  <c r="AO95" i="7"/>
  <c r="AP95" i="7" s="1"/>
  <c r="FE95" i="7"/>
  <c r="FF94" i="7"/>
  <c r="FG94" i="7" s="1"/>
  <c r="DB94" i="7"/>
  <c r="AJ97" i="7"/>
  <c r="AM100" i="7"/>
  <c r="AK98" i="7"/>
  <c r="FI90" i="7"/>
  <c r="FM90" i="7"/>
  <c r="FP90" i="7" s="1"/>
  <c r="AW93" i="7"/>
  <c r="M36" i="4"/>
  <c r="Q36" i="4" s="1"/>
  <c r="J35" i="4"/>
  <c r="FM92" i="7" l="1"/>
  <c r="FP92" i="7" s="1"/>
  <c r="FI92" i="7"/>
  <c r="FJ92" i="7" s="1"/>
  <c r="FI94" i="7"/>
  <c r="FN94" i="7" s="1"/>
  <c r="FH98" i="7"/>
  <c r="AW95" i="7"/>
  <c r="FJ90" i="7"/>
  <c r="FN90" i="7"/>
  <c r="FM94" i="7"/>
  <c r="FD93" i="7"/>
  <c r="FL93" i="7" s="1"/>
  <c r="FF93" i="7"/>
  <c r="AJ96" i="7"/>
  <c r="AN96" i="7" s="1"/>
  <c r="AK97" i="7"/>
  <c r="AN97" i="7" s="1"/>
  <c r="AL98" i="7"/>
  <c r="DB93" i="7"/>
  <c r="AM99" i="7"/>
  <c r="FP91" i="7"/>
  <c r="R36" i="4"/>
  <c r="L37" i="4"/>
  <c r="G37" i="4"/>
  <c r="FN92" i="7" l="1"/>
  <c r="FJ94" i="7"/>
  <c r="AO97" i="7"/>
  <c r="AP97" i="7" s="1"/>
  <c r="FE97" i="7"/>
  <c r="AO96" i="7"/>
  <c r="FE96" i="7"/>
  <c r="FD95" i="7"/>
  <c r="FL95" i="7" s="1"/>
  <c r="FF95" i="7"/>
  <c r="AL100" i="7"/>
  <c r="DB95" i="7"/>
  <c r="AM101" i="7"/>
  <c r="AJ98" i="7"/>
  <c r="AN98" i="7" s="1"/>
  <c r="AK99" i="7"/>
  <c r="FG93" i="7"/>
  <c r="AP96" i="7"/>
  <c r="AW97" i="7"/>
  <c r="H37" i="4"/>
  <c r="K37" i="4"/>
  <c r="I37" i="4"/>
  <c r="FG95" i="7" l="1"/>
  <c r="FH99" i="7" s="1"/>
  <c r="FI93" i="7"/>
  <c r="FN93" i="7" s="1"/>
  <c r="FH97" i="7"/>
  <c r="AO98" i="7"/>
  <c r="AP98" i="7" s="1"/>
  <c r="FE98" i="7"/>
  <c r="FM93" i="7"/>
  <c r="FP93" i="7" s="1"/>
  <c r="AL102" i="7"/>
  <c r="DB97" i="7"/>
  <c r="AJ100" i="7"/>
  <c r="AK101" i="7"/>
  <c r="AM103" i="7"/>
  <c r="FD97" i="7"/>
  <c r="FL97" i="7" s="1"/>
  <c r="FF97" i="7"/>
  <c r="AW96" i="7"/>
  <c r="M37" i="4"/>
  <c r="Q37" i="4" s="1"/>
  <c r="J36" i="4"/>
  <c r="FM95" i="7" l="1"/>
  <c r="FP95" i="7" s="1"/>
  <c r="FI95" i="7"/>
  <c r="FN95" i="7" s="1"/>
  <c r="FJ93" i="7"/>
  <c r="AW98" i="7"/>
  <c r="FP94" i="7"/>
  <c r="FG97" i="7"/>
  <c r="FH101" i="7" s="1"/>
  <c r="FD96" i="7"/>
  <c r="FL96" i="7" s="1"/>
  <c r="FF96" i="7"/>
  <c r="FI97" i="7"/>
  <c r="FM97" i="7"/>
  <c r="AK100" i="7"/>
  <c r="AM102" i="7"/>
  <c r="DB96" i="7"/>
  <c r="AJ99" i="7"/>
  <c r="AN99" i="7" s="1"/>
  <c r="AL101" i="7"/>
  <c r="AN100" i="7"/>
  <c r="R37" i="4"/>
  <c r="L38" i="4"/>
  <c r="G38" i="4"/>
  <c r="FJ95" i="7" l="1"/>
  <c r="AO100" i="7"/>
  <c r="AP100" i="7" s="1"/>
  <c r="AW100" i="7" s="1"/>
  <c r="FE100" i="7"/>
  <c r="AO99" i="7"/>
  <c r="FE99" i="7"/>
  <c r="DB98" i="7"/>
  <c r="AL103" i="7"/>
  <c r="AJ101" i="7"/>
  <c r="AN101" i="7" s="1"/>
  <c r="AK102" i="7"/>
  <c r="FD98" i="7"/>
  <c r="FL98" i="7" s="1"/>
  <c r="FF98" i="7"/>
  <c r="FJ97" i="7"/>
  <c r="FN97" i="7"/>
  <c r="AP99" i="7"/>
  <c r="FG96" i="7"/>
  <c r="FH100" i="7" s="1"/>
  <c r="H38" i="4"/>
  <c r="K38" i="4"/>
  <c r="I38" i="4"/>
  <c r="FG98" i="7" l="1"/>
  <c r="FH102" i="7" s="1"/>
  <c r="FD100" i="7"/>
  <c r="FL100" i="7" s="1"/>
  <c r="AO101" i="7"/>
  <c r="AP101" i="7" s="1"/>
  <c r="FE101" i="7"/>
  <c r="FI96" i="7"/>
  <c r="FM96" i="7"/>
  <c r="DB100" i="7"/>
  <c r="AJ103" i="7"/>
  <c r="AW99" i="7"/>
  <c r="M38" i="4"/>
  <c r="Q38" i="4" s="1"/>
  <c r="J37" i="4"/>
  <c r="FM98" i="7" l="1"/>
  <c r="FP98" i="7" s="1"/>
  <c r="FI98" i="7"/>
  <c r="FJ98" i="7" s="1"/>
  <c r="FF100" i="7"/>
  <c r="FG100" i="7" s="1"/>
  <c r="FI100" i="7" s="1"/>
  <c r="AW101" i="7"/>
  <c r="DB101" i="7" s="1"/>
  <c r="FJ96" i="7"/>
  <c r="FN96" i="7"/>
  <c r="FD99" i="7"/>
  <c r="FL99" i="7" s="1"/>
  <c r="FF99" i="7"/>
  <c r="DB99" i="7"/>
  <c r="AJ102" i="7"/>
  <c r="AN102" i="7" s="1"/>
  <c r="AK103" i="7"/>
  <c r="AN103" i="7" s="1"/>
  <c r="FE103" i="7" s="1"/>
  <c r="FP96" i="7"/>
  <c r="FP97" i="7"/>
  <c r="R38" i="4"/>
  <c r="L39" i="4"/>
  <c r="G39" i="4"/>
  <c r="FN98" i="7" l="1"/>
  <c r="AO102" i="7"/>
  <c r="AP102" i="7" s="1"/>
  <c r="AW102" i="7" s="1"/>
  <c r="DB102" i="7" s="1"/>
  <c r="FE102" i="7"/>
  <c r="FD101" i="7"/>
  <c r="FF101" i="7"/>
  <c r="FJ100" i="7"/>
  <c r="FN100" i="7"/>
  <c r="FM100" i="7"/>
  <c r="FG99" i="7"/>
  <c r="AO103" i="7"/>
  <c r="AG11" i="7"/>
  <c r="H39" i="4"/>
  <c r="K39" i="4"/>
  <c r="I39" i="4"/>
  <c r="FD102" i="7" l="1"/>
  <c r="FL102" i="7" s="1"/>
  <c r="AL11" i="7"/>
  <c r="FI99" i="7"/>
  <c r="FH103" i="7"/>
  <c r="FL101" i="7"/>
  <c r="FG101" i="7"/>
  <c r="FJ99" i="7"/>
  <c r="FN99" i="7"/>
  <c r="FM99" i="7"/>
  <c r="FP99" i="7" s="1"/>
  <c r="AP103" i="7"/>
  <c r="M39" i="4"/>
  <c r="Q39" i="4" s="1"/>
  <c r="J38" i="4"/>
  <c r="AW103" i="7" l="1"/>
  <c r="DB103" i="7" s="1"/>
  <c r="FF102" i="7"/>
  <c r="FG102" i="7" s="1"/>
  <c r="FI102" i="7" s="1"/>
  <c r="FI101" i="7"/>
  <c r="FM101" i="7"/>
  <c r="FP100" i="7"/>
  <c r="FP101" i="7"/>
  <c r="FD103" i="7"/>
  <c r="FL103" i="7" s="1"/>
  <c r="FF103" i="7"/>
  <c r="R39" i="4"/>
  <c r="L40" i="4"/>
  <c r="G40" i="4"/>
  <c r="FJ101" i="7" l="1"/>
  <c r="FN101" i="7"/>
  <c r="FJ102" i="7"/>
  <c r="FN102" i="7"/>
  <c r="FM102" i="7"/>
  <c r="FP102" i="7" s="1"/>
  <c r="FG103" i="7"/>
  <c r="H40" i="4"/>
  <c r="K40" i="4"/>
  <c r="I40" i="4"/>
  <c r="FI103" i="7" l="1"/>
  <c r="FN103" i="7" s="1"/>
  <c r="FM103" i="7"/>
  <c r="FP103" i="7" s="1"/>
  <c r="M40" i="4"/>
  <c r="Q40" i="4" s="1"/>
  <c r="J39" i="4"/>
  <c r="R40" i="4" l="1"/>
  <c r="L41" i="4"/>
  <c r="G41" i="4"/>
  <c r="H41" i="4" l="1"/>
  <c r="K41" i="4"/>
  <c r="I41" i="4"/>
  <c r="M41" i="4" l="1"/>
  <c r="Q41" i="4" s="1"/>
  <c r="J40" i="4"/>
  <c r="R41" i="4" l="1"/>
  <c r="L42" i="4"/>
  <c r="G42" i="4"/>
  <c r="H42" i="4" l="1"/>
  <c r="K42" i="4"/>
  <c r="I42" i="4"/>
  <c r="M42" i="4" l="1"/>
  <c r="Q42" i="4" s="1"/>
  <c r="J41" i="4"/>
  <c r="R42" i="4" l="1"/>
  <c r="L43" i="4"/>
  <c r="G43" i="4"/>
  <c r="H43" i="4" l="1"/>
  <c r="K43" i="4"/>
  <c r="I43" i="4"/>
  <c r="M43" i="4" l="1"/>
  <c r="Q43" i="4" s="1"/>
  <c r="J42" i="4"/>
  <c r="R43" i="4" l="1"/>
  <c r="L44" i="4"/>
  <c r="G44" i="4"/>
  <c r="H44" i="4" l="1"/>
  <c r="K44" i="4"/>
  <c r="I44" i="4"/>
  <c r="M44" i="4" l="1"/>
  <c r="Q44" i="4" s="1"/>
  <c r="J43" i="4"/>
  <c r="R44" i="4" l="1"/>
  <c r="L45" i="4"/>
  <c r="G45" i="4"/>
  <c r="H45" i="4" l="1"/>
  <c r="K45" i="4"/>
  <c r="I45" i="4"/>
  <c r="M45" i="4" l="1"/>
  <c r="Q45" i="4" s="1"/>
  <c r="J44" i="4"/>
  <c r="R45" i="4" l="1"/>
  <c r="L46" i="4"/>
  <c r="G46" i="4"/>
  <c r="H46" i="4" l="1"/>
  <c r="K46" i="4"/>
  <c r="I46" i="4"/>
  <c r="M46" i="4" l="1"/>
  <c r="Q46" i="4" s="1"/>
  <c r="J45" i="4"/>
  <c r="R46" i="4" l="1"/>
  <c r="L47" i="4"/>
  <c r="G47" i="4"/>
  <c r="H47" i="4" l="1"/>
  <c r="K47" i="4"/>
  <c r="I47" i="4"/>
  <c r="M47" i="4" l="1"/>
  <c r="Q47" i="4" s="1"/>
  <c r="J46" i="4"/>
  <c r="R47" i="4" l="1"/>
  <c r="L48" i="4"/>
  <c r="G48" i="4"/>
  <c r="H48" i="4" l="1"/>
  <c r="K48" i="4"/>
  <c r="I48" i="4"/>
  <c r="M48" i="4" l="1"/>
  <c r="Q48" i="4" s="1"/>
  <c r="J47" i="4"/>
  <c r="R48" i="4" l="1"/>
  <c r="L49" i="4"/>
  <c r="G49" i="4"/>
  <c r="H49" i="4" l="1"/>
  <c r="K49" i="4"/>
  <c r="I49" i="4"/>
  <c r="M49" i="4" l="1"/>
  <c r="Q49" i="4" s="1"/>
  <c r="J48" i="4"/>
  <c r="R49" i="4" l="1"/>
  <c r="L50" i="4"/>
  <c r="G50" i="4"/>
  <c r="H50" i="4" l="1"/>
  <c r="K50" i="4"/>
  <c r="I50" i="4"/>
  <c r="M50" i="4" l="1"/>
  <c r="Q50" i="4" s="1"/>
  <c r="J49" i="4"/>
  <c r="R50" i="4" l="1"/>
  <c r="L51" i="4"/>
  <c r="G51" i="4"/>
  <c r="H51" i="4" l="1"/>
  <c r="K51" i="4"/>
  <c r="I51" i="4"/>
  <c r="M51" i="4" l="1"/>
  <c r="Q51" i="4" s="1"/>
  <c r="J50" i="4"/>
  <c r="R51" i="4" l="1"/>
  <c r="L52" i="4"/>
  <c r="G52" i="4"/>
  <c r="H52" i="4" l="1"/>
  <c r="K52" i="4"/>
  <c r="I52" i="4"/>
  <c r="M52" i="4" l="1"/>
  <c r="Q52" i="4" s="1"/>
  <c r="J51" i="4"/>
  <c r="R52" i="4" l="1"/>
  <c r="L53" i="4"/>
  <c r="G53" i="4"/>
  <c r="H53" i="4" l="1"/>
  <c r="K53" i="4"/>
  <c r="I53" i="4"/>
  <c r="M53" i="4" l="1"/>
  <c r="Q53" i="4" s="1"/>
  <c r="J52" i="4"/>
  <c r="R53" i="4" l="1"/>
  <c r="L54" i="4"/>
  <c r="G54" i="4"/>
  <c r="H54" i="4" l="1"/>
  <c r="K54" i="4"/>
  <c r="I54" i="4"/>
  <c r="M54" i="4" l="1"/>
  <c r="Q54" i="4" s="1"/>
  <c r="J53" i="4"/>
  <c r="R54" i="4" l="1"/>
  <c r="L55" i="4"/>
  <c r="G55" i="4"/>
  <c r="H55" i="4" l="1"/>
  <c r="K55" i="4"/>
  <c r="I55" i="4"/>
  <c r="M55" i="4" l="1"/>
  <c r="Q55" i="4" s="1"/>
  <c r="J54" i="4"/>
  <c r="R55" i="4" l="1"/>
  <c r="L56" i="4"/>
  <c r="G56" i="4"/>
  <c r="H56" i="4" l="1"/>
  <c r="K56" i="4"/>
  <c r="I56" i="4"/>
  <c r="M56" i="4" l="1"/>
  <c r="Q56" i="4" s="1"/>
  <c r="J55" i="4"/>
  <c r="R56" i="4" l="1"/>
  <c r="L57" i="4"/>
  <c r="G57" i="4"/>
  <c r="H57" i="4" l="1"/>
  <c r="K57" i="4"/>
  <c r="I57" i="4"/>
  <c r="M57" i="4" l="1"/>
  <c r="Q57" i="4" s="1"/>
  <c r="J56" i="4"/>
  <c r="R57" i="4" l="1"/>
  <c r="L58" i="4"/>
  <c r="G58" i="4"/>
  <c r="H58" i="4" l="1"/>
  <c r="K58" i="4"/>
  <c r="I58" i="4"/>
  <c r="M58" i="4" l="1"/>
  <c r="Q58" i="4" s="1"/>
  <c r="J57" i="4"/>
  <c r="R58" i="4" l="1"/>
  <c r="L59" i="4"/>
  <c r="G59" i="4"/>
  <c r="H59" i="4" l="1"/>
  <c r="K59" i="4"/>
  <c r="I59" i="4"/>
  <c r="M59" i="4" l="1"/>
  <c r="Q59" i="4" s="1"/>
  <c r="J58" i="4"/>
  <c r="R59" i="4" l="1"/>
  <c r="L60" i="4"/>
  <c r="G60" i="4"/>
  <c r="H60" i="4" l="1"/>
  <c r="K60" i="4"/>
  <c r="I60" i="4"/>
  <c r="M60" i="4" l="1"/>
  <c r="Q60" i="4" s="1"/>
  <c r="J59" i="4"/>
  <c r="R60" i="4" l="1"/>
  <c r="L61" i="4"/>
  <c r="G61" i="4"/>
  <c r="H61" i="4" l="1"/>
  <c r="K61" i="4"/>
  <c r="I61" i="4"/>
  <c r="M61" i="4" l="1"/>
  <c r="Q61" i="4" s="1"/>
  <c r="J60" i="4"/>
  <c r="R61" i="4" l="1"/>
  <c r="L62" i="4"/>
  <c r="G62" i="4"/>
  <c r="H62" i="4" l="1"/>
  <c r="K62" i="4"/>
  <c r="I62" i="4"/>
  <c r="M62" i="4" l="1"/>
  <c r="Q62" i="4" s="1"/>
  <c r="J61" i="4"/>
  <c r="R62" i="4" l="1"/>
  <c r="L63" i="4"/>
  <c r="G63" i="4"/>
  <c r="H63" i="4" l="1"/>
  <c r="K63" i="4"/>
  <c r="I63" i="4"/>
  <c r="J62" i="4" l="1"/>
  <c r="M63" i="4"/>
  <c r="Q63" i="4" s="1"/>
  <c r="R63" i="4" l="1"/>
  <c r="L64" i="4"/>
  <c r="G64" i="4"/>
  <c r="H64" i="4" l="1"/>
  <c r="K64" i="4"/>
  <c r="I64" i="4"/>
  <c r="M64" i="4" l="1"/>
  <c r="Q64" i="4" s="1"/>
  <c r="J63" i="4"/>
  <c r="R64" i="4" l="1"/>
  <c r="L65" i="4"/>
  <c r="G65" i="4"/>
  <c r="H65" i="4" l="1"/>
  <c r="K65" i="4"/>
  <c r="I65" i="4"/>
  <c r="M65" i="4" l="1"/>
  <c r="Q65" i="4" s="1"/>
  <c r="J64" i="4"/>
  <c r="R65" i="4" l="1"/>
  <c r="L66" i="4"/>
  <c r="G66" i="4"/>
  <c r="H66" i="4" l="1"/>
  <c r="I66" i="4"/>
  <c r="K66" i="4"/>
  <c r="M66" i="4" l="1"/>
  <c r="Q66" i="4" s="1"/>
  <c r="J65" i="4"/>
  <c r="R66" i="4" l="1"/>
  <c r="L67" i="4"/>
  <c r="G67" i="4"/>
  <c r="H67" i="4" l="1"/>
  <c r="I67" i="4"/>
  <c r="K67" i="4"/>
  <c r="M67" i="4" l="1"/>
  <c r="Q67" i="4" s="1"/>
  <c r="J66" i="4"/>
  <c r="R67" i="4" l="1"/>
  <c r="L68" i="4"/>
  <c r="G68" i="4"/>
  <c r="H68" i="4" l="1"/>
  <c r="K68" i="4"/>
  <c r="I68" i="4"/>
  <c r="M68" i="4" l="1"/>
  <c r="Q68" i="4" s="1"/>
  <c r="J67" i="4"/>
  <c r="R68" i="4" l="1"/>
  <c r="L69" i="4"/>
  <c r="G69" i="4"/>
  <c r="H69" i="4" l="1"/>
  <c r="K69" i="4"/>
  <c r="I69" i="4"/>
  <c r="M69" i="4" l="1"/>
  <c r="Q69" i="4" s="1"/>
  <c r="J68" i="4"/>
  <c r="R69" i="4" l="1"/>
  <c r="L70" i="4"/>
  <c r="G70" i="4"/>
  <c r="H70" i="4" l="1"/>
  <c r="I70" i="4"/>
  <c r="K70" i="4"/>
  <c r="M70" i="4" l="1"/>
  <c r="Q70" i="4" s="1"/>
  <c r="J69" i="4"/>
  <c r="R70" i="4" l="1"/>
  <c r="L71" i="4"/>
  <c r="G71" i="4"/>
  <c r="H71" i="4" l="1"/>
  <c r="K71" i="4"/>
  <c r="I71" i="4"/>
  <c r="M71" i="4" l="1"/>
  <c r="Q71" i="4" s="1"/>
  <c r="J70" i="4"/>
  <c r="R71" i="4" l="1"/>
  <c r="L72" i="4"/>
  <c r="G72" i="4"/>
  <c r="H72" i="4" l="1"/>
  <c r="K72" i="4"/>
  <c r="I72" i="4"/>
  <c r="M72" i="4" l="1"/>
  <c r="Q72" i="4" s="1"/>
  <c r="J71" i="4"/>
  <c r="R72" i="4" l="1"/>
  <c r="L73" i="4"/>
  <c r="G73" i="4"/>
  <c r="H73" i="4" l="1"/>
  <c r="I73" i="4"/>
  <c r="K73" i="4"/>
  <c r="M73" i="4" l="1"/>
  <c r="Q73" i="4" s="1"/>
  <c r="J72" i="4"/>
  <c r="R73" i="4" l="1"/>
  <c r="L74" i="4"/>
  <c r="G74" i="4"/>
  <c r="H74" i="4" l="1"/>
  <c r="K74" i="4"/>
  <c r="I74" i="4"/>
  <c r="M74" i="4" l="1"/>
  <c r="Q74" i="4" s="1"/>
  <c r="J73" i="4"/>
  <c r="R74" i="4" l="1"/>
  <c r="L75" i="4"/>
  <c r="G75" i="4"/>
  <c r="H75" i="4" l="1"/>
  <c r="K75" i="4"/>
  <c r="I75" i="4"/>
  <c r="M75" i="4" l="1"/>
  <c r="Q75" i="4" s="1"/>
  <c r="J74" i="4"/>
  <c r="R75" i="4" l="1"/>
  <c r="L76" i="4"/>
  <c r="G76" i="4"/>
  <c r="H76" i="4" l="1"/>
  <c r="I76" i="4"/>
  <c r="K76" i="4"/>
  <c r="M76" i="4" l="1"/>
  <c r="Q76" i="4" s="1"/>
  <c r="J75" i="4"/>
  <c r="R76" i="4" l="1"/>
  <c r="L77" i="4"/>
  <c r="G77" i="4"/>
  <c r="H77" i="4" l="1"/>
  <c r="K77" i="4"/>
  <c r="I77" i="4"/>
  <c r="M77" i="4" l="1"/>
  <c r="Q77" i="4" s="1"/>
  <c r="J76" i="4"/>
  <c r="R77" i="4" l="1"/>
  <c r="L78" i="4"/>
  <c r="G78" i="4"/>
  <c r="H78" i="4" l="1"/>
  <c r="K78" i="4"/>
  <c r="I78" i="4"/>
  <c r="M78" i="4" l="1"/>
  <c r="Q78" i="4" s="1"/>
  <c r="J77" i="4"/>
  <c r="R78" i="4" l="1"/>
  <c r="L79" i="4"/>
  <c r="G79" i="4"/>
  <c r="H79" i="4" l="1"/>
  <c r="K79" i="4"/>
  <c r="K80" i="4" s="1"/>
  <c r="K81" i="4" s="1"/>
  <c r="I79" i="4"/>
  <c r="M79" i="4" l="1"/>
  <c r="Q79" i="4" s="1"/>
  <c r="R79" i="4" s="1"/>
  <c r="R80" i="4" s="1"/>
  <c r="R81" i="4" s="1"/>
  <c r="R82" i="4" s="1"/>
  <c r="J78" i="4"/>
  <c r="G6" i="4"/>
  <c r="G8" i="4" s="1"/>
  <c r="K82" i="4"/>
  <c r="G10" i="4" l="1"/>
  <c r="CN44" i="7" l="1"/>
  <c r="CR44" i="7"/>
  <c r="CH48" i="7" l="1"/>
  <c r="CH47" i="7"/>
  <c r="CH49" i="7"/>
  <c r="CK47" i="7" l="1"/>
  <c r="CL47" i="7" s="1"/>
  <c r="CO47" i="7" s="1"/>
  <c r="CK49" i="7"/>
  <c r="CL49" i="7" s="1"/>
  <c r="CN49" i="7" s="1"/>
  <c r="CK48" i="7"/>
  <c r="CL48" i="7" s="1"/>
  <c r="CN48" i="7" s="1"/>
  <c r="CQ47" i="7" l="1"/>
  <c r="CG55" i="7" s="1"/>
  <c r="FT47" i="7"/>
  <c r="AY47" i="7"/>
  <c r="CN47" i="7"/>
  <c r="CM47" i="7"/>
  <c r="CM48" i="7"/>
  <c r="CM49" i="7"/>
  <c r="CO49" i="7"/>
  <c r="FT49" i="7" s="1"/>
  <c r="CO48" i="7"/>
  <c r="FT48" i="7" s="1"/>
  <c r="CH50" i="7"/>
  <c r="CC51" i="7" l="1"/>
  <c r="CF54" i="7"/>
  <c r="CE53" i="7"/>
  <c r="CD52" i="7"/>
  <c r="CR47" i="7"/>
  <c r="FV48" i="7"/>
  <c r="FU48" i="7"/>
  <c r="FW48" i="7" s="1"/>
  <c r="FV47" i="7"/>
  <c r="FU47" i="7"/>
  <c r="FW47" i="7" s="1"/>
  <c r="FV49" i="7"/>
  <c r="FU49" i="7"/>
  <c r="FW49" i="7" s="1"/>
  <c r="CQ48" i="7"/>
  <c r="CE54" i="7" s="1"/>
  <c r="AY48" i="7"/>
  <c r="CQ49" i="7"/>
  <c r="CF56" i="7" s="1"/>
  <c r="AY49" i="7"/>
  <c r="CK50" i="7"/>
  <c r="CL50" i="7" s="1"/>
  <c r="FX48" i="7" l="1"/>
  <c r="FZ48" i="7"/>
  <c r="GA48" i="7" s="1"/>
  <c r="FX49" i="7"/>
  <c r="FZ49" i="7"/>
  <c r="GA49" i="7" s="1"/>
  <c r="FX47" i="7"/>
  <c r="FZ47" i="7"/>
  <c r="CC52" i="7"/>
  <c r="CH52" i="7" s="1"/>
  <c r="CG56" i="7"/>
  <c r="CD53" i="7"/>
  <c r="CF55" i="7"/>
  <c r="CM50" i="7"/>
  <c r="CC53" i="7"/>
  <c r="CR49" i="7"/>
  <c r="CE55" i="7"/>
  <c r="CD54" i="7"/>
  <c r="CG57" i="7"/>
  <c r="CH51" i="7"/>
  <c r="CR48" i="7"/>
  <c r="CN50" i="7"/>
  <c r="CO50" i="7"/>
  <c r="AY50" i="7" l="1"/>
  <c r="FT50" i="7"/>
  <c r="GA47" i="7"/>
  <c r="CK52" i="7"/>
  <c r="CL52" i="7" s="1"/>
  <c r="CN52" i="7" s="1"/>
  <c r="CM52" i="7"/>
  <c r="CK51" i="7"/>
  <c r="CL51" i="7" s="1"/>
  <c r="CN51" i="7" s="1"/>
  <c r="CM51" i="7"/>
  <c r="CQ50" i="7"/>
  <c r="CG58" i="7" s="1"/>
  <c r="CO52" i="7"/>
  <c r="CH53" i="7"/>
  <c r="CO51" i="7"/>
  <c r="AY51" i="7" l="1"/>
  <c r="FT51" i="7"/>
  <c r="AY52" i="7"/>
  <c r="FT52" i="7"/>
  <c r="FV50" i="7"/>
  <c r="FU50" i="7"/>
  <c r="CR50" i="7"/>
  <c r="CD55" i="7"/>
  <c r="CC54" i="7"/>
  <c r="CF57" i="7"/>
  <c r="CQ51" i="7"/>
  <c r="CG59" i="7" s="1"/>
  <c r="CE56" i="7"/>
  <c r="CQ52" i="7"/>
  <c r="CG60" i="7" s="1"/>
  <c r="CH54" i="7"/>
  <c r="CK53" i="7"/>
  <c r="CL53" i="7" s="1"/>
  <c r="CN53" i="7" s="1"/>
  <c r="FW50" i="7" l="1"/>
  <c r="FX50" i="7"/>
  <c r="FZ50" i="7"/>
  <c r="FV52" i="7"/>
  <c r="FU52" i="7"/>
  <c r="FV51" i="7"/>
  <c r="FU51" i="7"/>
  <c r="FW51" i="7" s="1"/>
  <c r="CM53" i="7"/>
  <c r="CR51" i="7"/>
  <c r="CC55" i="7"/>
  <c r="CH55" i="7" s="1"/>
  <c r="CD56" i="7"/>
  <c r="CE57" i="7"/>
  <c r="CF58" i="7"/>
  <c r="CD57" i="7"/>
  <c r="CR52" i="7"/>
  <c r="CC56" i="7"/>
  <c r="CF59" i="7"/>
  <c r="CE58" i="7"/>
  <c r="CO53" i="7"/>
  <c r="CK55" i="7"/>
  <c r="CK54" i="7"/>
  <c r="FW52" i="7" l="1"/>
  <c r="AY53" i="7"/>
  <c r="FT53" i="7"/>
  <c r="FX51" i="7"/>
  <c r="FZ51" i="7"/>
  <c r="GA51" i="7" s="1"/>
  <c r="FZ52" i="7"/>
  <c r="GA52" i="7" s="1"/>
  <c r="FX52" i="7"/>
  <c r="GA50" i="7"/>
  <c r="CL54" i="7"/>
  <c r="CN54" i="7" s="1"/>
  <c r="CM54" i="7"/>
  <c r="CL55" i="7"/>
  <c r="CN55" i="7" s="1"/>
  <c r="CM55" i="7"/>
  <c r="CQ53" i="7"/>
  <c r="CG61" i="7" s="1"/>
  <c r="FV53" i="7" l="1"/>
  <c r="FU53" i="7"/>
  <c r="FW53" i="7" s="1"/>
  <c r="CO54" i="7"/>
  <c r="CO55" i="7"/>
  <c r="CD58" i="7"/>
  <c r="CC57" i="7"/>
  <c r="CF60" i="7"/>
  <c r="CE59" i="7"/>
  <c r="CH56" i="7"/>
  <c r="CK56" i="7" s="1"/>
  <c r="CR53" i="7"/>
  <c r="AY54" i="7" l="1"/>
  <c r="FT54" i="7"/>
  <c r="AY55" i="7"/>
  <c r="FT55" i="7"/>
  <c r="FZ53" i="7"/>
  <c r="FX53" i="7"/>
  <c r="CQ54" i="7"/>
  <c r="CG62" i="7" s="1"/>
  <c r="CQ55" i="7"/>
  <c r="CG63" i="7" s="1"/>
  <c r="CL56" i="7"/>
  <c r="CN56" i="7" s="1"/>
  <c r="CM56" i="7"/>
  <c r="CH57" i="7"/>
  <c r="CK57" i="7" s="1"/>
  <c r="GA53" i="7" l="1"/>
  <c r="FV55" i="7"/>
  <c r="FU55" i="7"/>
  <c r="FW55" i="7" s="1"/>
  <c r="FV54" i="7"/>
  <c r="FU54" i="7"/>
  <c r="CO56" i="7"/>
  <c r="FT56" i="7" s="1"/>
  <c r="CD59" i="7"/>
  <c r="CR54" i="7"/>
  <c r="CE60" i="7"/>
  <c r="CF61" i="7"/>
  <c r="CC58" i="7"/>
  <c r="CH58" i="7" s="1"/>
  <c r="CK58" i="7" s="1"/>
  <c r="CL58" i="7" s="1"/>
  <c r="CN58" i="7" s="1"/>
  <c r="CF62" i="7"/>
  <c r="CR55" i="7"/>
  <c r="CE61" i="7"/>
  <c r="CD60" i="7"/>
  <c r="CC59" i="7"/>
  <c r="CL57" i="7"/>
  <c r="CN57" i="7" s="1"/>
  <c r="CM57" i="7"/>
  <c r="FW54" i="7" l="1"/>
  <c r="FX55" i="7"/>
  <c r="FZ55" i="7"/>
  <c r="GA55" i="7" s="1"/>
  <c r="CO58" i="7"/>
  <c r="FV56" i="7"/>
  <c r="FU56" i="7"/>
  <c r="FW56" i="7" s="1"/>
  <c r="CQ56" i="7"/>
  <c r="CG64" i="7" s="1"/>
  <c r="FZ54" i="7"/>
  <c r="GA54" i="7" s="1"/>
  <c r="FX54" i="7"/>
  <c r="CO57" i="7"/>
  <c r="FT57" i="7" s="1"/>
  <c r="AY56" i="7"/>
  <c r="CM58" i="7"/>
  <c r="CQ57" i="7"/>
  <c r="CG65" i="7" s="1"/>
  <c r="AY57" i="7"/>
  <c r="CD61" i="7"/>
  <c r="CC60" i="7"/>
  <c r="CF63" i="7"/>
  <c r="CE62" i="7"/>
  <c r="CQ58" i="7"/>
  <c r="CG66" i="7" s="1"/>
  <c r="CH59" i="7"/>
  <c r="CR56" i="7"/>
  <c r="CH60" i="7"/>
  <c r="FX56" i="7" l="1"/>
  <c r="FZ56" i="7"/>
  <c r="GA56" i="7" s="1"/>
  <c r="FV57" i="7"/>
  <c r="FU57" i="7"/>
  <c r="FW57" i="7" s="1"/>
  <c r="AY58" i="7"/>
  <c r="FT58" i="7"/>
  <c r="CK59" i="7"/>
  <c r="CL59" i="7" s="1"/>
  <c r="CN59" i="7" s="1"/>
  <c r="CM59" i="7"/>
  <c r="CK60" i="7"/>
  <c r="CL60" i="7" s="1"/>
  <c r="CN60" i="7" s="1"/>
  <c r="CE63" i="7"/>
  <c r="CC61" i="7"/>
  <c r="CH61" i="7" s="1"/>
  <c r="CF64" i="7"/>
  <c r="CR57" i="7"/>
  <c r="CD62" i="7"/>
  <c r="CD63" i="7"/>
  <c r="CC62" i="7"/>
  <c r="CF65" i="7"/>
  <c r="CE64" i="7"/>
  <c r="CO59" i="7"/>
  <c r="FT59" i="7" s="1"/>
  <c r="CR58" i="7"/>
  <c r="CH62" i="7"/>
  <c r="CO60" i="7"/>
  <c r="FV59" i="7" l="1"/>
  <c r="FU59" i="7"/>
  <c r="FW59" i="7" s="1"/>
  <c r="AY60" i="7"/>
  <c r="FT60" i="7"/>
  <c r="FZ57" i="7"/>
  <c r="GA57" i="7" s="1"/>
  <c r="FX57" i="7"/>
  <c r="FV58" i="7"/>
  <c r="FU58" i="7"/>
  <c r="FW58" i="7" s="1"/>
  <c r="CK62" i="7"/>
  <c r="CL62" i="7" s="1"/>
  <c r="CN62" i="7" s="1"/>
  <c r="CK61" i="7"/>
  <c r="CL61" i="7" s="1"/>
  <c r="CN61" i="7" s="1"/>
  <c r="CM60" i="7"/>
  <c r="AY59" i="7"/>
  <c r="CQ60" i="7"/>
  <c r="CG68" i="7" s="1"/>
  <c r="CQ59" i="7"/>
  <c r="CR59" i="7" s="1"/>
  <c r="FX58" i="7" l="1"/>
  <c r="FZ58" i="7"/>
  <c r="GA58" i="7" s="1"/>
  <c r="FX59" i="7"/>
  <c r="FZ59" i="7"/>
  <c r="GA59" i="7" s="1"/>
  <c r="FV60" i="7"/>
  <c r="FU60" i="7"/>
  <c r="CO61" i="7"/>
  <c r="CO62" i="7"/>
  <c r="CM62" i="7"/>
  <c r="CM61" i="7"/>
  <c r="CR60" i="7"/>
  <c r="CD64" i="7"/>
  <c r="CC63" i="7"/>
  <c r="CH63" i="7" s="1"/>
  <c r="CF66" i="7"/>
  <c r="CD65" i="7"/>
  <c r="CC64" i="7"/>
  <c r="CE65" i="7"/>
  <c r="CF67" i="7"/>
  <c r="CE66" i="7"/>
  <c r="CQ62" i="7"/>
  <c r="CG70" i="7" s="1"/>
  <c r="CG67" i="7"/>
  <c r="CK63" i="7"/>
  <c r="CL63" i="7" s="1"/>
  <c r="CN63" i="7" s="1"/>
  <c r="CH64" i="7"/>
  <c r="FW60" i="7" l="1"/>
  <c r="AY62" i="7"/>
  <c r="FT62" i="7"/>
  <c r="FX60" i="7"/>
  <c r="FZ60" i="7"/>
  <c r="GA60" i="7" s="1"/>
  <c r="AY61" i="7"/>
  <c r="FT61" i="7"/>
  <c r="CQ61" i="7"/>
  <c r="CG69" i="7" s="1"/>
  <c r="CM63" i="7"/>
  <c r="CD67" i="7"/>
  <c r="CR62" i="7"/>
  <c r="CC66" i="7"/>
  <c r="CE68" i="7"/>
  <c r="CF69" i="7"/>
  <c r="CK64" i="7"/>
  <c r="CL64" i="7" s="1"/>
  <c r="CN64" i="7" s="1"/>
  <c r="CO63" i="7"/>
  <c r="AY63" i="7" l="1"/>
  <c r="FT63" i="7"/>
  <c r="FV61" i="7"/>
  <c r="FU61" i="7"/>
  <c r="FW61" i="7" s="1"/>
  <c r="FV62" i="7"/>
  <c r="FU62" i="7"/>
  <c r="CR61" i="7"/>
  <c r="CE67" i="7"/>
  <c r="CF68" i="7"/>
  <c r="CD66" i="7"/>
  <c r="CC65" i="7"/>
  <c r="CH65" i="7" s="1"/>
  <c r="CM64" i="7"/>
  <c r="CQ63" i="7"/>
  <c r="CG71" i="7" s="1"/>
  <c r="CO64" i="7"/>
  <c r="CH66" i="7"/>
  <c r="CK65" i="7"/>
  <c r="CL65" i="7" s="1"/>
  <c r="CN65" i="7" s="1"/>
  <c r="AY64" i="7" l="1"/>
  <c r="FT64" i="7"/>
  <c r="FW62" i="7"/>
  <c r="FX61" i="7"/>
  <c r="FZ61" i="7"/>
  <c r="GA61" i="7" s="1"/>
  <c r="FV63" i="7"/>
  <c r="FU63" i="7"/>
  <c r="FW63" i="7" s="1"/>
  <c r="CM65" i="7"/>
  <c r="CR63" i="7"/>
  <c r="CD68" i="7"/>
  <c r="CC67" i="7"/>
  <c r="CF70" i="7"/>
  <c r="CE69" i="7"/>
  <c r="CQ64" i="7"/>
  <c r="CG72" i="7" s="1"/>
  <c r="CO65" i="7"/>
  <c r="CK66" i="7"/>
  <c r="CL66" i="7" s="1"/>
  <c r="CO66" i="7" s="1"/>
  <c r="AY66" i="7" l="1"/>
  <c r="FT66" i="7"/>
  <c r="AY65" i="7"/>
  <c r="FT65" i="7"/>
  <c r="FZ63" i="7"/>
  <c r="GA63" i="7" s="1"/>
  <c r="FX63" i="7"/>
  <c r="FX62" i="7"/>
  <c r="FZ62" i="7"/>
  <c r="GA62" i="7" s="1"/>
  <c r="FV64" i="7"/>
  <c r="FU64" i="7"/>
  <c r="CM66" i="7"/>
  <c r="CD69" i="7"/>
  <c r="CC68" i="7"/>
  <c r="CF71" i="7"/>
  <c r="CE70" i="7"/>
  <c r="CQ66" i="7"/>
  <c r="CG74" i="7" s="1"/>
  <c r="CQ65" i="7"/>
  <c r="CG73" i="7" s="1"/>
  <c r="CH67" i="7"/>
  <c r="CR64" i="7"/>
  <c r="CN66" i="7"/>
  <c r="FW64" i="7" l="1"/>
  <c r="FX64" i="7"/>
  <c r="FZ64" i="7"/>
  <c r="GA64" i="7" s="1"/>
  <c r="FV65" i="7"/>
  <c r="FU65" i="7"/>
  <c r="FV66" i="7"/>
  <c r="FU66" i="7"/>
  <c r="FW66" i="7" s="1"/>
  <c r="CK67" i="7"/>
  <c r="CL67" i="7" s="1"/>
  <c r="CN67" i="7" s="1"/>
  <c r="CD71" i="7"/>
  <c r="CC70" i="7"/>
  <c r="CF73" i="7"/>
  <c r="CE72" i="7"/>
  <c r="CD70" i="7"/>
  <c r="CF72" i="7"/>
  <c r="CC69" i="7"/>
  <c r="CE71" i="7"/>
  <c r="CR66" i="7"/>
  <c r="CH68" i="7"/>
  <c r="CR65" i="7"/>
  <c r="CH69" i="7"/>
  <c r="FW65" i="7" l="1"/>
  <c r="FZ65" i="7"/>
  <c r="GA65" i="7" s="1"/>
  <c r="FX65" i="7"/>
  <c r="FX66" i="7"/>
  <c r="FZ66" i="7"/>
  <c r="GA66" i="7" s="1"/>
  <c r="CO67" i="7"/>
  <c r="CM67" i="7"/>
  <c r="CK68" i="7"/>
  <c r="CL68" i="7" s="1"/>
  <c r="CN68" i="7" s="1"/>
  <c r="CO68" i="7"/>
  <c r="FT68" i="7" s="1"/>
  <c r="CK69" i="7"/>
  <c r="CL69" i="7" s="1"/>
  <c r="CN69" i="7" s="1"/>
  <c r="CH70" i="7"/>
  <c r="FV68" i="7" l="1"/>
  <c r="FU68" i="7"/>
  <c r="FW68" i="7" s="1"/>
  <c r="AY67" i="7"/>
  <c r="FT67" i="7"/>
  <c r="CQ67" i="7"/>
  <c r="CF74" i="7" s="1"/>
  <c r="CM68" i="7"/>
  <c r="CM69" i="7"/>
  <c r="CQ68" i="7"/>
  <c r="CF75" i="7" s="1"/>
  <c r="AY68" i="7"/>
  <c r="CO69" i="7"/>
  <c r="CK70" i="7"/>
  <c r="CL70" i="7" s="1"/>
  <c r="CN70" i="7" s="1"/>
  <c r="AY69" i="7" l="1"/>
  <c r="FT69" i="7"/>
  <c r="FV67" i="7"/>
  <c r="FU67" i="7"/>
  <c r="FW67" i="7" s="1"/>
  <c r="FX68" i="7"/>
  <c r="FZ68" i="7"/>
  <c r="GA68" i="7" s="1"/>
  <c r="CG75" i="7"/>
  <c r="CD72" i="7"/>
  <c r="CE73" i="7"/>
  <c r="CR67" i="7"/>
  <c r="CC71" i="7"/>
  <c r="CH71" i="7" s="1"/>
  <c r="CK71" i="7" s="1"/>
  <c r="CL71" i="7" s="1"/>
  <c r="CN71" i="7" s="1"/>
  <c r="CM70" i="7"/>
  <c r="CR68" i="7"/>
  <c r="CC72" i="7"/>
  <c r="CE74" i="7"/>
  <c r="CD73" i="7"/>
  <c r="CG76" i="7"/>
  <c r="CQ69" i="7"/>
  <c r="CG77" i="7" s="1"/>
  <c r="CO70" i="7"/>
  <c r="AY70" i="7" l="1"/>
  <c r="FT70" i="7"/>
  <c r="FX67" i="7"/>
  <c r="FZ67" i="7"/>
  <c r="GA67" i="7" s="1"/>
  <c r="FV69" i="7"/>
  <c r="FU69" i="7"/>
  <c r="FW69" i="7" s="1"/>
  <c r="CO71" i="7"/>
  <c r="CM71" i="7"/>
  <c r="CQ70" i="7"/>
  <c r="CG78" i="7" s="1"/>
  <c r="CD74" i="7"/>
  <c r="CC73" i="7"/>
  <c r="CH73" i="7" s="1"/>
  <c r="CF76" i="7"/>
  <c r="CE75" i="7"/>
  <c r="CH72" i="7"/>
  <c r="CR69" i="7"/>
  <c r="AY71" i="7" l="1"/>
  <c r="FT71" i="7"/>
  <c r="FZ69" i="7"/>
  <c r="GA69" i="7" s="1"/>
  <c r="FX69" i="7"/>
  <c r="FV70" i="7"/>
  <c r="FU70" i="7"/>
  <c r="FW70" i="7" s="1"/>
  <c r="CQ71" i="7"/>
  <c r="CG79" i="7" s="1"/>
  <c r="CK72" i="7"/>
  <c r="CL72" i="7" s="1"/>
  <c r="CN72" i="7" s="1"/>
  <c r="CK73" i="7"/>
  <c r="CL73" i="7" s="1"/>
  <c r="CN73" i="7" s="1"/>
  <c r="CD75" i="7"/>
  <c r="CC74" i="7"/>
  <c r="CE76" i="7"/>
  <c r="CF77" i="7"/>
  <c r="CR70" i="7"/>
  <c r="CO72" i="7"/>
  <c r="FT72" i="7" s="1"/>
  <c r="CH74" i="7"/>
  <c r="CO73" i="7"/>
  <c r="AY73" i="7" l="1"/>
  <c r="FT73" i="7"/>
  <c r="FV72" i="7"/>
  <c r="FU72" i="7"/>
  <c r="FW72" i="7" s="1"/>
  <c r="FX70" i="7"/>
  <c r="FZ70" i="7"/>
  <c r="GA70" i="7" s="1"/>
  <c r="FV71" i="7"/>
  <c r="FU71" i="7"/>
  <c r="CE77" i="7"/>
  <c r="CR71" i="7"/>
  <c r="CF78" i="7"/>
  <c r="CC75" i="7"/>
  <c r="CD76" i="7"/>
  <c r="CM72" i="7"/>
  <c r="CM73" i="7"/>
  <c r="CK74" i="7"/>
  <c r="CL74" i="7" s="1"/>
  <c r="CN74" i="7" s="1"/>
  <c r="CQ72" i="7"/>
  <c r="CF79" i="7" s="1"/>
  <c r="AY72" i="7"/>
  <c r="CQ73" i="7"/>
  <c r="CG81" i="7" s="1"/>
  <c r="CH75" i="7"/>
  <c r="CO74" i="7"/>
  <c r="AY74" i="7" l="1"/>
  <c r="FT74" i="7"/>
  <c r="FW71" i="7"/>
  <c r="FX72" i="7"/>
  <c r="FZ72" i="7"/>
  <c r="GA72" i="7" s="1"/>
  <c r="FV73" i="7"/>
  <c r="FU73" i="7"/>
  <c r="FW73" i="7" s="1"/>
  <c r="CM74" i="7"/>
  <c r="CR72" i="7"/>
  <c r="CK75" i="7"/>
  <c r="CL75" i="7" s="1"/>
  <c r="CN75" i="7" s="1"/>
  <c r="CC76" i="7"/>
  <c r="CH76" i="7" s="1"/>
  <c r="CE78" i="7"/>
  <c r="CD77" i="7"/>
  <c r="CG80" i="7"/>
  <c r="CD78" i="7"/>
  <c r="CC77" i="7"/>
  <c r="CF80" i="7"/>
  <c r="CE79" i="7"/>
  <c r="CO75" i="7"/>
  <c r="FT75" i="7" s="1"/>
  <c r="CQ74" i="7"/>
  <c r="CG82" i="7" s="1"/>
  <c r="CR73" i="7"/>
  <c r="CK76" i="7"/>
  <c r="CL76" i="7" s="1"/>
  <c r="CN76" i="7" s="1"/>
  <c r="FX73" i="7" l="1"/>
  <c r="FZ73" i="7"/>
  <c r="GA73" i="7" s="1"/>
  <c r="FV75" i="7"/>
  <c r="FU75" i="7"/>
  <c r="FW75" i="7" s="1"/>
  <c r="FZ71" i="7"/>
  <c r="GA71" i="7" s="1"/>
  <c r="FX71" i="7"/>
  <c r="FV74" i="7"/>
  <c r="FU74" i="7"/>
  <c r="FW74" i="7" s="1"/>
  <c r="CM75" i="7"/>
  <c r="CM76" i="7"/>
  <c r="CQ75" i="7"/>
  <c r="CG83" i="7" s="1"/>
  <c r="AY75" i="7"/>
  <c r="CD79" i="7"/>
  <c r="CC78" i="7"/>
  <c r="CF81" i="7"/>
  <c r="CE80" i="7"/>
  <c r="CH77" i="7"/>
  <c r="CH78" i="7"/>
  <c r="CR74" i="7"/>
  <c r="CO76" i="7"/>
  <c r="AY76" i="7" l="1"/>
  <c r="FT76" i="7"/>
  <c r="FX74" i="7"/>
  <c r="FZ74" i="7"/>
  <c r="GA74" i="7" s="1"/>
  <c r="FX75" i="7"/>
  <c r="FZ75" i="7"/>
  <c r="GA75" i="7" s="1"/>
  <c r="CK78" i="7"/>
  <c r="CL78" i="7" s="1"/>
  <c r="CN78" i="7" s="1"/>
  <c r="CK77" i="7"/>
  <c r="CL77" i="7" s="1"/>
  <c r="CN77" i="7" s="1"/>
  <c r="CF82" i="7"/>
  <c r="CC79" i="7"/>
  <c r="CD80" i="7"/>
  <c r="CR75" i="7"/>
  <c r="CE81" i="7"/>
  <c r="CQ76" i="7"/>
  <c r="CG84" i="7" s="1"/>
  <c r="CH79" i="7"/>
  <c r="CO77" i="7"/>
  <c r="FT77" i="7" s="1"/>
  <c r="FV77" i="7" l="1"/>
  <c r="FU77" i="7"/>
  <c r="FW77" i="7" s="1"/>
  <c r="FV76" i="7"/>
  <c r="FU76" i="7"/>
  <c r="FW76" i="7" s="1"/>
  <c r="CO78" i="7"/>
  <c r="CM78" i="7"/>
  <c r="CM77" i="7"/>
  <c r="CQ77" i="7"/>
  <c r="CC81" i="7" s="1"/>
  <c r="AY77" i="7"/>
  <c r="CR76" i="7"/>
  <c r="CD81" i="7"/>
  <c r="CC80" i="7"/>
  <c r="CH80" i="7" s="1"/>
  <c r="CF83" i="7"/>
  <c r="CE82" i="7"/>
  <c r="CK79" i="7"/>
  <c r="CL79" i="7" s="1"/>
  <c r="CN79" i="7" s="1"/>
  <c r="FZ76" i="7" l="1"/>
  <c r="GA76" i="7" s="1"/>
  <c r="FX76" i="7"/>
  <c r="AY78" i="7"/>
  <c r="FT78" i="7"/>
  <c r="FZ77" i="7"/>
  <c r="GA77" i="7" s="1"/>
  <c r="FX77" i="7"/>
  <c r="CQ78" i="7"/>
  <c r="CG86" i="7" s="1"/>
  <c r="CM79" i="7"/>
  <c r="CG85" i="7"/>
  <c r="CR77" i="7"/>
  <c r="CD82" i="7"/>
  <c r="CH81" i="7"/>
  <c r="CF84" i="7"/>
  <c r="CE83" i="7"/>
  <c r="CO79" i="7"/>
  <c r="CK80" i="7"/>
  <c r="CL80" i="7" s="1"/>
  <c r="AY79" i="7" l="1"/>
  <c r="FT79" i="7"/>
  <c r="FV78" i="7"/>
  <c r="FU78" i="7"/>
  <c r="FW78" i="7" s="1"/>
  <c r="CF85" i="7"/>
  <c r="CD83" i="7"/>
  <c r="CE84" i="7"/>
  <c r="CC82" i="7"/>
  <c r="CR78" i="7"/>
  <c r="CM80" i="7"/>
  <c r="CK81" i="7"/>
  <c r="CL81" i="7" s="1"/>
  <c r="CN81" i="7" s="1"/>
  <c r="CN80" i="7"/>
  <c r="CO80" i="7"/>
  <c r="CQ79" i="7"/>
  <c r="CG87" i="7" s="1"/>
  <c r="CQ80" i="7"/>
  <c r="CH82" i="7"/>
  <c r="CO81" i="7"/>
  <c r="AY81" i="7" l="1"/>
  <c r="FT81" i="7"/>
  <c r="AY80" i="7"/>
  <c r="FT80" i="7"/>
  <c r="FX78" i="7"/>
  <c r="FZ78" i="7"/>
  <c r="GA78" i="7" s="1"/>
  <c r="FV79" i="7"/>
  <c r="FU79" i="7"/>
  <c r="CM81" i="7"/>
  <c r="Q12" i="7" s="1"/>
  <c r="CR79" i="7"/>
  <c r="CD84" i="7"/>
  <c r="CC83" i="7"/>
  <c r="CH83" i="7" s="1"/>
  <c r="CF86" i="7"/>
  <c r="CE85" i="7"/>
  <c r="CQ81" i="7"/>
  <c r="CG89" i="7" s="1"/>
  <c r="CG88" i="7"/>
  <c r="CK82" i="7"/>
  <c r="CI82" i="7" s="1"/>
  <c r="CM82" i="7" s="1"/>
  <c r="FW79" i="7" l="1"/>
  <c r="FX79" i="7"/>
  <c r="FZ79" i="7"/>
  <c r="GA79" i="7" s="1"/>
  <c r="FV80" i="7"/>
  <c r="FU80" i="7"/>
  <c r="FV81" i="7"/>
  <c r="FU81" i="7"/>
  <c r="CL82" i="7"/>
  <c r="CR81" i="7"/>
  <c r="CD86" i="7"/>
  <c r="CC85" i="7"/>
  <c r="CF88" i="7"/>
  <c r="CE87" i="7"/>
  <c r="CR80" i="7"/>
  <c r="CD85" i="7"/>
  <c r="CC84" i="7"/>
  <c r="CH84" i="7" s="1"/>
  <c r="CF87" i="7"/>
  <c r="CE86" i="7"/>
  <c r="CK83" i="7"/>
  <c r="FW80" i="7" l="1"/>
  <c r="FW81" i="7"/>
  <c r="FX80" i="7"/>
  <c r="FZ80" i="7"/>
  <c r="GA80" i="7" s="1"/>
  <c r="CN82" i="7"/>
  <c r="CO82" i="7"/>
  <c r="FT82" i="7" s="1"/>
  <c r="CI83" i="7"/>
  <c r="AY82" i="7"/>
  <c r="CQ82" i="7"/>
  <c r="CG90" i="7" s="1"/>
  <c r="CH85" i="7"/>
  <c r="CK84" i="7"/>
  <c r="FV82" i="7" l="1"/>
  <c r="FU82" i="7"/>
  <c r="FW82" i="7" s="1"/>
  <c r="FX81" i="7"/>
  <c r="FZ81" i="7"/>
  <c r="CL83" i="7"/>
  <c r="CN83" i="7" s="1"/>
  <c r="CM83" i="7"/>
  <c r="CI84" i="7"/>
  <c r="CR82" i="7"/>
  <c r="CD87" i="7"/>
  <c r="CC86" i="7"/>
  <c r="CH86" i="7" s="1"/>
  <c r="CF89" i="7"/>
  <c r="CE88" i="7"/>
  <c r="CK85" i="7"/>
  <c r="GA81" i="7" l="1"/>
  <c r="FT10" i="7"/>
  <c r="FT11" i="7"/>
  <c r="FT12" i="7"/>
  <c r="FU11" i="7"/>
  <c r="FU10" i="7"/>
  <c r="FU12" i="7"/>
  <c r="FX82" i="7"/>
  <c r="FZ82" i="7"/>
  <c r="GA82" i="7" s="1"/>
  <c r="CO83" i="7"/>
  <c r="FT83" i="7" s="1"/>
  <c r="CL84" i="7"/>
  <c r="CM84" i="7"/>
  <c r="CN84" i="7"/>
  <c r="CO84" i="7"/>
  <c r="CI85" i="7"/>
  <c r="CQ84" i="7"/>
  <c r="CG92" i="7" s="1"/>
  <c r="CK86" i="7"/>
  <c r="AY84" i="7" l="1"/>
  <c r="FT84" i="7"/>
  <c r="FV83" i="7"/>
  <c r="FU83" i="7"/>
  <c r="FW83" i="7" s="1"/>
  <c r="AY83" i="7"/>
  <c r="CQ83" i="7"/>
  <c r="CL85" i="7"/>
  <c r="CM85" i="7"/>
  <c r="CN85" i="7"/>
  <c r="CO85" i="7"/>
  <c r="CI86" i="7"/>
  <c r="CD89" i="7"/>
  <c r="CC88" i="7"/>
  <c r="CF91" i="7"/>
  <c r="CQ85" i="7"/>
  <c r="CG93" i="7" s="1"/>
  <c r="CE90" i="7"/>
  <c r="CR84" i="7"/>
  <c r="AY85" i="7" l="1"/>
  <c r="FT85" i="7"/>
  <c r="FX83" i="7"/>
  <c r="FZ83" i="7"/>
  <c r="GA83" i="7" s="1"/>
  <c r="FV84" i="7"/>
  <c r="FU84" i="7"/>
  <c r="FW84" i="7" s="1"/>
  <c r="CF90" i="7"/>
  <c r="CE89" i="7"/>
  <c r="CC87" i="7"/>
  <c r="CH87" i="7" s="1"/>
  <c r="CK87" i="7" s="1"/>
  <c r="CI87" i="7" s="1"/>
  <c r="CM87" i="7" s="1"/>
  <c r="CR83" i="7"/>
  <c r="CD88" i="7"/>
  <c r="CH88" i="7" s="1"/>
  <c r="CG91" i="7"/>
  <c r="CL86" i="7"/>
  <c r="CN86" i="7" s="1"/>
  <c r="CM86" i="7"/>
  <c r="CR85" i="7"/>
  <c r="CD90" i="7"/>
  <c r="CC89" i="7"/>
  <c r="CH89" i="7" s="1"/>
  <c r="CF92" i="7"/>
  <c r="CE91" i="7"/>
  <c r="CK88" i="7"/>
  <c r="CI88" i="7" s="1"/>
  <c r="CM88" i="7" s="1"/>
  <c r="CL87" i="7"/>
  <c r="FX84" i="7" l="1"/>
  <c r="FZ84" i="7"/>
  <c r="GA84" i="7" s="1"/>
  <c r="FV85" i="7"/>
  <c r="FU85" i="7"/>
  <c r="FW85" i="7" s="1"/>
  <c r="CO86" i="7"/>
  <c r="CK89" i="7"/>
  <c r="CI89" i="7" s="1"/>
  <c r="CM89" i="7" s="1"/>
  <c r="CN87" i="7"/>
  <c r="CO87" i="7"/>
  <c r="FT87" i="7" s="1"/>
  <c r="CL88" i="7"/>
  <c r="FV87" i="7" l="1"/>
  <c r="FU87" i="7"/>
  <c r="FW87" i="7" s="1"/>
  <c r="AY86" i="7"/>
  <c r="FT86" i="7"/>
  <c r="FX85" i="7"/>
  <c r="FZ85" i="7"/>
  <c r="GA85" i="7" s="1"/>
  <c r="Z11" i="7"/>
  <c r="AZ86" i="7"/>
  <c r="CQ86" i="7"/>
  <c r="AY87" i="7"/>
  <c r="AZ87" i="7"/>
  <c r="CQ87" i="7"/>
  <c r="CR87" i="7" s="1"/>
  <c r="CN88" i="7"/>
  <c r="CO88" i="7"/>
  <c r="CL89" i="7"/>
  <c r="AZ88" i="7" l="1"/>
  <c r="FT88" i="7"/>
  <c r="FV86" i="7"/>
  <c r="FU86" i="7"/>
  <c r="FW86" i="7" s="1"/>
  <c r="FZ87" i="7"/>
  <c r="GA87" i="7" s="1"/>
  <c r="FX87" i="7"/>
  <c r="CG94" i="7"/>
  <c r="CR86" i="7"/>
  <c r="CC90" i="7"/>
  <c r="CH90" i="7" s="1"/>
  <c r="CK90" i="7" s="1"/>
  <c r="CI90" i="7" s="1"/>
  <c r="CM90" i="7" s="1"/>
  <c r="CF93" i="7"/>
  <c r="CD91" i="7"/>
  <c r="CE92" i="7"/>
  <c r="CN89" i="7"/>
  <c r="CF94" i="7"/>
  <c r="CD92" i="7"/>
  <c r="CC91" i="7"/>
  <c r="CH91" i="7" s="1"/>
  <c r="CE93" i="7"/>
  <c r="CG95" i="7"/>
  <c r="AY88" i="7"/>
  <c r="AN12" i="7" s="1"/>
  <c r="CQ88" i="7"/>
  <c r="CG96" i="7" s="1"/>
  <c r="AE11" i="7"/>
  <c r="CK91" i="7"/>
  <c r="CO89" i="7"/>
  <c r="FT89" i="7" s="1"/>
  <c r="FV89" i="7" s="1"/>
  <c r="CL90" i="7"/>
  <c r="FZ86" i="7" l="1"/>
  <c r="GA86" i="7" s="1"/>
  <c r="FX86" i="7"/>
  <c r="FV88" i="7"/>
  <c r="FU88" i="7"/>
  <c r="FW88" i="7" s="1"/>
  <c r="AZ89" i="7"/>
  <c r="AZ104" i="7" s="1"/>
  <c r="CI91" i="7"/>
  <c r="CC92" i="7"/>
  <c r="CH92" i="7" s="1"/>
  <c r="CD93" i="7"/>
  <c r="CE94" i="7"/>
  <c r="CF95" i="7"/>
  <c r="CR88" i="7"/>
  <c r="CQ89" i="7"/>
  <c r="CR89" i="7" s="1"/>
  <c r="AY89" i="7"/>
  <c r="CN90" i="7"/>
  <c r="CO90" i="7"/>
  <c r="FT90" i="7" s="1"/>
  <c r="FV90" i="7" s="1"/>
  <c r="FZ88" i="7" l="1"/>
  <c r="GA88" i="7" s="1"/>
  <c r="FX88" i="7"/>
  <c r="FU89" i="7"/>
  <c r="FW89" i="7" s="1"/>
  <c r="FU90" i="7"/>
  <c r="CL91" i="7"/>
  <c r="CM91" i="7"/>
  <c r="CK92" i="7"/>
  <c r="CE95" i="7"/>
  <c r="CC93" i="7"/>
  <c r="CH93" i="7" s="1"/>
  <c r="CF96" i="7"/>
  <c r="CD94" i="7"/>
  <c r="CG97" i="7"/>
  <c r="CQ90" i="7"/>
  <c r="CG98" i="7" s="1"/>
  <c r="AY90" i="7"/>
  <c r="AZ105" i="7" l="1"/>
  <c r="AZ106" i="7" s="1"/>
  <c r="AY6" i="7" s="1"/>
  <c r="FZ89" i="7"/>
  <c r="GA89" i="7" s="1"/>
  <c r="FX89" i="7"/>
  <c r="CN91" i="7"/>
  <c r="CO91" i="7"/>
  <c r="FT91" i="7" s="1"/>
  <c r="FV91" i="7" s="1"/>
  <c r="FW90" i="7"/>
  <c r="CI92" i="7"/>
  <c r="CK93" i="7"/>
  <c r="CI93" i="7" s="1"/>
  <c r="CQ91" i="7"/>
  <c r="AY91" i="7"/>
  <c r="CF97" i="7"/>
  <c r="CC94" i="7"/>
  <c r="CH94" i="7" s="1"/>
  <c r="CE96" i="7"/>
  <c r="CD95" i="7"/>
  <c r="CR90" i="7"/>
  <c r="FU91" i="7" l="1"/>
  <c r="FW91" i="7" s="1"/>
  <c r="FX90" i="7"/>
  <c r="FZ90" i="7"/>
  <c r="GA90" i="7" s="1"/>
  <c r="CL93" i="7"/>
  <c r="CO93" i="7" s="1"/>
  <c r="FT93" i="7" s="1"/>
  <c r="FV93" i="7" s="1"/>
  <c r="CM93" i="7"/>
  <c r="CL92" i="7"/>
  <c r="CM92" i="7"/>
  <c r="CK94" i="7"/>
  <c r="CG99" i="7"/>
  <c r="CF98" i="7"/>
  <c r="CE97" i="7"/>
  <c r="CC95" i="7"/>
  <c r="CH95" i="7" s="1"/>
  <c r="CD96" i="7"/>
  <c r="CR91" i="7"/>
  <c r="CN93" i="7"/>
  <c r="CO92" i="7" l="1"/>
  <c r="FT92" i="7" s="1"/>
  <c r="FV92" i="7" s="1"/>
  <c r="FX91" i="7"/>
  <c r="FZ91" i="7"/>
  <c r="GA91" i="7" s="1"/>
  <c r="FU93" i="7"/>
  <c r="CN92" i="7"/>
  <c r="CI94" i="7"/>
  <c r="CK95" i="7"/>
  <c r="CI95" i="7" s="1"/>
  <c r="CM95" i="7" s="1"/>
  <c r="CQ93" i="7"/>
  <c r="CG101" i="7" s="1"/>
  <c r="AY93" i="7"/>
  <c r="FU92" i="7" l="1"/>
  <c r="FW92" i="7" s="1"/>
  <c r="CQ92" i="7"/>
  <c r="CG100" i="7" s="1"/>
  <c r="AY92" i="7"/>
  <c r="FW93" i="7"/>
  <c r="FZ93" i="7" s="1"/>
  <c r="GA93" i="7" s="1"/>
  <c r="CL94" i="7"/>
  <c r="CO94" i="7" s="1"/>
  <c r="FT94" i="7" s="1"/>
  <c r="FV94" i="7" s="1"/>
  <c r="CM94" i="7"/>
  <c r="CL95" i="7"/>
  <c r="CC97" i="7"/>
  <c r="CD98" i="7"/>
  <c r="CE99" i="7"/>
  <c r="CF100" i="7"/>
  <c r="CR93" i="7"/>
  <c r="CF99" i="7" l="1"/>
  <c r="CR92" i="7"/>
  <c r="CE98" i="7"/>
  <c r="CC96" i="7"/>
  <c r="CH96" i="7" s="1"/>
  <c r="CK96" i="7" s="1"/>
  <c r="CD97" i="7"/>
  <c r="CH97" i="7" s="1"/>
  <c r="CN94" i="7"/>
  <c r="FX93" i="7"/>
  <c r="AY94" i="7"/>
  <c r="FX92" i="7"/>
  <c r="FZ92" i="7"/>
  <c r="GA92" i="7" s="1"/>
  <c r="CQ94" i="7"/>
  <c r="CG102" i="7" s="1"/>
  <c r="FU94" i="7"/>
  <c r="CI96" i="7"/>
  <c r="CO95" i="7"/>
  <c r="FT95" i="7" s="1"/>
  <c r="FV95" i="7" s="1"/>
  <c r="CN95" i="7"/>
  <c r="CD99" i="7"/>
  <c r="CE100" i="7"/>
  <c r="CF101" i="7" l="1"/>
  <c r="CR94" i="7"/>
  <c r="CK97" i="7"/>
  <c r="CI97" i="7" s="1"/>
  <c r="CC98" i="7"/>
  <c r="CH98" i="7" s="1"/>
  <c r="CK98" i="7" s="1"/>
  <c r="FW94" i="7"/>
  <c r="FX94" i="7" s="1"/>
  <c r="FU95" i="7"/>
  <c r="CL96" i="7"/>
  <c r="CM96" i="7"/>
  <c r="CN96" i="7"/>
  <c r="CO96" i="7"/>
  <c r="FT96" i="7" s="1"/>
  <c r="FV96" i="7" s="1"/>
  <c r="AY95" i="7"/>
  <c r="CQ95" i="7"/>
  <c r="CQ96" i="7"/>
  <c r="CE102" i="7" s="1"/>
  <c r="AY96" i="7"/>
  <c r="CM97" i="7" l="1"/>
  <c r="CL97" i="7"/>
  <c r="CO97" i="7" s="1"/>
  <c r="FT97" i="7" s="1"/>
  <c r="FV97" i="7" s="1"/>
  <c r="FZ94" i="7"/>
  <c r="GA94" i="7" s="1"/>
  <c r="FW95" i="7"/>
  <c r="FX95" i="7" s="1"/>
  <c r="FU97" i="7"/>
  <c r="FU96" i="7"/>
  <c r="CI98" i="7"/>
  <c r="CG103" i="7"/>
  <c r="CF102" i="7"/>
  <c r="CD100" i="7"/>
  <c r="CC99" i="7"/>
  <c r="CH99" i="7" s="1"/>
  <c r="CE101" i="7"/>
  <c r="CR95" i="7"/>
  <c r="CF103" i="7"/>
  <c r="CD101" i="7"/>
  <c r="CR96" i="7"/>
  <c r="CC100" i="7"/>
  <c r="CQ97" i="7"/>
  <c r="CE103" i="7" s="1"/>
  <c r="AY97" i="7"/>
  <c r="FZ95" i="7" l="1"/>
  <c r="GA95" i="7" s="1"/>
  <c r="CN97" i="7"/>
  <c r="FW97" i="7"/>
  <c r="FX97" i="7" s="1"/>
  <c r="FW96" i="7"/>
  <c r="FX96" i="7" s="1"/>
  <c r="CH100" i="7"/>
  <c r="CK100" i="7" s="1"/>
  <c r="CL98" i="7"/>
  <c r="CN98" i="7" s="1"/>
  <c r="CM98" i="7"/>
  <c r="CK99" i="7"/>
  <c r="CI99" i="7" s="1"/>
  <c r="CM99" i="7" s="1"/>
  <c r="CD102" i="7"/>
  <c r="CR97" i="7"/>
  <c r="CC101" i="7"/>
  <c r="CH101" i="7" s="1"/>
  <c r="FZ96" i="7" l="1"/>
  <c r="GA96" i="7" s="1"/>
  <c r="FZ97" i="7"/>
  <c r="GA97" i="7" s="1"/>
  <c r="CO98" i="7"/>
  <c r="FT98" i="7" s="1"/>
  <c r="FV98" i="7" s="1"/>
  <c r="CI100" i="7"/>
  <c r="CK101" i="7"/>
  <c r="CI101" i="7" s="1"/>
  <c r="CM101" i="7" s="1"/>
  <c r="CL99" i="7"/>
  <c r="CN99" i="7" s="1"/>
  <c r="EQ81" i="7"/>
  <c r="ES81" i="7" s="1"/>
  <c r="DD81" i="7" l="1"/>
  <c r="GB81" i="7"/>
  <c r="AY98" i="7"/>
  <c r="CQ98" i="7"/>
  <c r="CL100" i="7"/>
  <c r="CO100" i="7" s="1"/>
  <c r="CM100" i="7"/>
  <c r="CL101" i="7"/>
  <c r="CO99" i="7"/>
  <c r="FT99" i="7" s="1"/>
  <c r="FV99" i="7" s="1"/>
  <c r="EU81" i="7"/>
  <c r="EV81" i="7" s="1"/>
  <c r="EL89" i="7" s="1"/>
  <c r="EQ82" i="7"/>
  <c r="ER81" i="7"/>
  <c r="CQ100" i="7" l="1"/>
  <c r="CR100" i="7" s="1"/>
  <c r="FT100" i="7"/>
  <c r="FV100" i="7" s="1"/>
  <c r="GC81" i="7"/>
  <c r="GE81" i="7"/>
  <c r="CN100" i="7"/>
  <c r="CD103" i="7"/>
  <c r="CC102" i="7"/>
  <c r="CH102" i="7" s="1"/>
  <c r="CK102" i="7" s="1"/>
  <c r="CR98" i="7"/>
  <c r="FU98" i="7"/>
  <c r="CQ99" i="7"/>
  <c r="CC103" i="7" s="1"/>
  <c r="AY100" i="7"/>
  <c r="CI102" i="7"/>
  <c r="CO101" i="7"/>
  <c r="FT101" i="7" s="1"/>
  <c r="FV101" i="7" s="1"/>
  <c r="CN101" i="7"/>
  <c r="AY99" i="7"/>
  <c r="CQ101" i="7"/>
  <c r="CR101" i="7" s="1"/>
  <c r="EH85" i="7"/>
  <c r="EM85" i="7" s="1"/>
  <c r="EK88" i="7"/>
  <c r="EI86" i="7"/>
  <c r="EJ87" i="7"/>
  <c r="ER82" i="7"/>
  <c r="ES82" i="7"/>
  <c r="DD82" i="7" l="1"/>
  <c r="GB82" i="7"/>
  <c r="GF81" i="7"/>
  <c r="GD87" i="7"/>
  <c r="CH103" i="7"/>
  <c r="CK103" i="7" s="1"/>
  <c r="CI103" i="7" s="1"/>
  <c r="CM103" i="7" s="1"/>
  <c r="CR99" i="7"/>
  <c r="FW98" i="7"/>
  <c r="FU100" i="7"/>
  <c r="FU99" i="7"/>
  <c r="AY101" i="7"/>
  <c r="CL102" i="7"/>
  <c r="CN102" i="7" s="1"/>
  <c r="CM102" i="7"/>
  <c r="EU82" i="7"/>
  <c r="EV82" i="7" s="1"/>
  <c r="EP85" i="7"/>
  <c r="EN85" i="7" s="1"/>
  <c r="EE85" i="7" s="1"/>
  <c r="EQ84" i="7"/>
  <c r="EQ83" i="7"/>
  <c r="GH81" i="7" l="1"/>
  <c r="GG87" i="7"/>
  <c r="GJ81" i="7"/>
  <c r="GK81" i="7" s="1"/>
  <c r="GE82" i="7"/>
  <c r="GC82" i="7"/>
  <c r="FW100" i="7"/>
  <c r="FX100" i="7" s="1"/>
  <c r="CO102" i="7"/>
  <c r="FX98" i="7"/>
  <c r="FZ98" i="7"/>
  <c r="GA98" i="7" s="1"/>
  <c r="FU101" i="7"/>
  <c r="FW99" i="7"/>
  <c r="CL103" i="7"/>
  <c r="L11" i="7" s="1"/>
  <c r="ER84" i="7"/>
  <c r="ES84" i="7"/>
  <c r="GB84" i="7" s="1"/>
  <c r="ER83" i="7"/>
  <c r="ES83" i="7"/>
  <c r="EH86" i="7"/>
  <c r="EM86" i="7" s="1"/>
  <c r="EK89" i="7"/>
  <c r="EJ88" i="7"/>
  <c r="EI87" i="7"/>
  <c r="EL90" i="7"/>
  <c r="DD83" i="7" l="1"/>
  <c r="GB83" i="7"/>
  <c r="GE84" i="7"/>
  <c r="GC84" i="7"/>
  <c r="CQ102" i="7"/>
  <c r="CR102" i="7" s="1"/>
  <c r="FT102" i="7"/>
  <c r="FV102" i="7" s="1"/>
  <c r="GF82" i="7"/>
  <c r="GD88" i="7"/>
  <c r="FU102" i="7"/>
  <c r="AY102" i="7"/>
  <c r="FZ100" i="7"/>
  <c r="GA100" i="7" s="1"/>
  <c r="FW101" i="7"/>
  <c r="FX101" i="7" s="1"/>
  <c r="FX99" i="7"/>
  <c r="FZ99" i="7"/>
  <c r="GA99" i="7" s="1"/>
  <c r="CN103" i="7"/>
  <c r="AE12" i="7" s="1"/>
  <c r="CO103" i="7"/>
  <c r="FT103" i="7" s="1"/>
  <c r="FV103" i="7" s="1"/>
  <c r="EU84" i="7"/>
  <c r="EV84" i="7" s="1"/>
  <c r="DD84" i="7"/>
  <c r="EU83" i="7"/>
  <c r="EV83" i="7" s="1"/>
  <c r="EQ85" i="7"/>
  <c r="EP86" i="7"/>
  <c r="EN86" i="7" s="1"/>
  <c r="EE86" i="7" s="1"/>
  <c r="GG88" i="7" l="1"/>
  <c r="GJ82" i="7"/>
  <c r="GK82" i="7" s="1"/>
  <c r="GH82" i="7"/>
  <c r="GF84" i="7"/>
  <c r="GD90" i="7"/>
  <c r="GE83" i="7"/>
  <c r="GC83" i="7"/>
  <c r="FW102" i="7"/>
  <c r="FZ101" i="7"/>
  <c r="GA101" i="7" s="1"/>
  <c r="AS12" i="7"/>
  <c r="AN11" i="7"/>
  <c r="AY103" i="7"/>
  <c r="CQ103" i="7"/>
  <c r="CR103" i="7" s="1"/>
  <c r="EL92" i="7"/>
  <c r="EI89" i="7"/>
  <c r="EK91" i="7"/>
  <c r="EJ90" i="7"/>
  <c r="EH88" i="7"/>
  <c r="EL91" i="7"/>
  <c r="EH87" i="7"/>
  <c r="EM87" i="7" s="1"/>
  <c r="EI88" i="7"/>
  <c r="EJ89" i="7"/>
  <c r="EK90" i="7"/>
  <c r="ER85" i="7"/>
  <c r="ES85" i="7"/>
  <c r="GB85" i="7" s="1"/>
  <c r="GF83" i="7" l="1"/>
  <c r="GD89" i="7"/>
  <c r="GJ84" i="7"/>
  <c r="GK84" i="7" s="1"/>
  <c r="GH84" i="7"/>
  <c r="GG90" i="7"/>
  <c r="GE85" i="7"/>
  <c r="GC85" i="7"/>
  <c r="FX102" i="7"/>
  <c r="FZ102" i="7"/>
  <c r="GA102" i="7" s="1"/>
  <c r="FU103" i="7"/>
  <c r="DD85" i="7"/>
  <c r="EU85" i="7"/>
  <c r="EV85" i="7" s="1"/>
  <c r="EQ86" i="7"/>
  <c r="ER86" i="7" s="1"/>
  <c r="EM88" i="7"/>
  <c r="EP87" i="7"/>
  <c r="EN87" i="7" s="1"/>
  <c r="EE87" i="7" s="1"/>
  <c r="GF85" i="7" l="1"/>
  <c r="GD91" i="7"/>
  <c r="GG89" i="7"/>
  <c r="GH83" i="7"/>
  <c r="GJ83" i="7"/>
  <c r="GK83" i="7" s="1"/>
  <c r="FW103" i="7"/>
  <c r="ES86" i="7"/>
  <c r="EQ87" i="7"/>
  <c r="ER87" i="7" s="1"/>
  <c r="EP88" i="7"/>
  <c r="EN88" i="7" s="1"/>
  <c r="EE88" i="7" s="1"/>
  <c r="EK92" i="7"/>
  <c r="EL93" i="7"/>
  <c r="EH89" i="7"/>
  <c r="EM89" i="7" s="1"/>
  <c r="EJ91" i="7"/>
  <c r="EI90" i="7"/>
  <c r="DC86" i="7" l="1"/>
  <c r="GB86" i="7"/>
  <c r="GG91" i="7"/>
  <c r="GH85" i="7"/>
  <c r="GJ85" i="7"/>
  <c r="GK85" i="7" s="1"/>
  <c r="FX103" i="7"/>
  <c r="FZ103" i="7"/>
  <c r="GA103" i="7" s="1"/>
  <c r="EU86" i="7"/>
  <c r="EV86" i="7" s="1"/>
  <c r="DD86" i="7"/>
  <c r="EQ88" i="7"/>
  <c r="ER88" i="7" s="1"/>
  <c r="ES87" i="7"/>
  <c r="EP89" i="7"/>
  <c r="EK93" i="7"/>
  <c r="EJ92" i="7"/>
  <c r="EL94" i="7"/>
  <c r="EI91" i="7"/>
  <c r="EH90" i="7"/>
  <c r="EM90" i="7" s="1"/>
  <c r="AA11" i="7" l="1"/>
  <c r="GB87" i="7"/>
  <c r="GC86" i="7"/>
  <c r="GE86" i="7"/>
  <c r="EN89" i="7"/>
  <c r="EE89" i="7" s="1"/>
  <c r="ES88" i="7"/>
  <c r="DD87" i="7"/>
  <c r="DC87" i="7"/>
  <c r="EU87" i="7"/>
  <c r="EV87" i="7" s="1"/>
  <c r="EJ93" i="7" s="1"/>
  <c r="EP90" i="7"/>
  <c r="DD88" i="7" l="1"/>
  <c r="GB88" i="7"/>
  <c r="GF86" i="7"/>
  <c r="GD92" i="7"/>
  <c r="GE87" i="7"/>
  <c r="GC87" i="7"/>
  <c r="EQ89" i="7"/>
  <c r="ER89" i="7" s="1"/>
  <c r="AO12" i="7"/>
  <c r="AQ12" i="7" s="1"/>
  <c r="EN90" i="7"/>
  <c r="EE90" i="7" s="1"/>
  <c r="AF11" i="7"/>
  <c r="EU88" i="7"/>
  <c r="EV88" i="7" s="1"/>
  <c r="EJ94" i="7" s="1"/>
  <c r="DC88" i="7"/>
  <c r="EL95" i="7"/>
  <c r="EK94" i="7"/>
  <c r="EI92" i="7"/>
  <c r="EH91" i="7"/>
  <c r="EM91" i="7" s="1"/>
  <c r="GE88" i="7" l="1"/>
  <c r="GC88" i="7"/>
  <c r="GF87" i="7"/>
  <c r="GD93" i="7"/>
  <c r="GG92" i="7"/>
  <c r="GH86" i="7"/>
  <c r="GJ86" i="7"/>
  <c r="GK86" i="7" s="1"/>
  <c r="ES89" i="7"/>
  <c r="EQ90" i="7"/>
  <c r="ES90" i="7" s="1"/>
  <c r="GB90" i="7" s="1"/>
  <c r="EK95" i="7"/>
  <c r="EH92" i="7"/>
  <c r="EM92" i="7" s="1"/>
  <c r="EP92" i="7" s="1"/>
  <c r="EI93" i="7"/>
  <c r="EL96" i="7"/>
  <c r="EP91" i="7"/>
  <c r="GC90" i="7" l="1"/>
  <c r="GE90" i="7"/>
  <c r="DC89" i="7"/>
  <c r="DC104" i="7" s="1"/>
  <c r="AZ108" i="7" s="1"/>
  <c r="AZ110" i="7" s="1"/>
  <c r="AZ111" i="7" s="1"/>
  <c r="GB89" i="7"/>
  <c r="GG93" i="7"/>
  <c r="GH87" i="7"/>
  <c r="GJ87" i="7"/>
  <c r="GK87" i="7" s="1"/>
  <c r="GF88" i="7"/>
  <c r="GD94" i="7"/>
  <c r="DC105" i="7"/>
  <c r="DC106" i="7" s="1"/>
  <c r="AY7" i="7" s="1"/>
  <c r="DD89" i="7"/>
  <c r="EU89" i="7"/>
  <c r="EV89" i="7" s="1"/>
  <c r="EI94" i="7" s="1"/>
  <c r="GD96" i="7"/>
  <c r="ER90" i="7"/>
  <c r="EU90" i="7"/>
  <c r="EV90" i="7" s="1"/>
  <c r="EI95" i="7" s="1"/>
  <c r="DD90" i="7"/>
  <c r="EN92" i="7"/>
  <c r="EE92" i="7" s="1"/>
  <c r="EN91" i="7"/>
  <c r="EE91" i="7" s="1"/>
  <c r="EL97" i="7"/>
  <c r="EJ95" i="7"/>
  <c r="EH93" i="7"/>
  <c r="EM93" i="7" s="1"/>
  <c r="EJ96" i="7" l="1"/>
  <c r="GG94" i="7"/>
  <c r="GH88" i="7"/>
  <c r="GJ88" i="7"/>
  <c r="GK88" i="7" s="1"/>
  <c r="GC89" i="7"/>
  <c r="GD95" i="7" s="1"/>
  <c r="GE89" i="7"/>
  <c r="EK96" i="7"/>
  <c r="EK97" i="7"/>
  <c r="EH94" i="7"/>
  <c r="EL98" i="7"/>
  <c r="AY5" i="7"/>
  <c r="AY9" i="7" s="1"/>
  <c r="GF90" i="7"/>
  <c r="GG96" i="7" s="1"/>
  <c r="GF89" i="7"/>
  <c r="GG95" i="7" s="1"/>
  <c r="EQ91" i="7"/>
  <c r="ER91" i="7" s="1"/>
  <c r="EQ92" i="7"/>
  <c r="EP93" i="7"/>
  <c r="EM94" i="7"/>
  <c r="AY11" i="7" l="1"/>
  <c r="BC12" i="7"/>
  <c r="BD12" i="7"/>
  <c r="BB12" i="7"/>
  <c r="BA12" i="7"/>
  <c r="GJ89" i="7"/>
  <c r="GK89" i="7" s="1"/>
  <c r="GH89" i="7"/>
  <c r="GJ90" i="7"/>
  <c r="GK90" i="7" s="1"/>
  <c r="GH90" i="7"/>
  <c r="ES91" i="7"/>
  <c r="GB91" i="7" s="1"/>
  <c r="EN93" i="7"/>
  <c r="EE93" i="7" s="1"/>
  <c r="EP94" i="7"/>
  <c r="ER92" i="7"/>
  <c r="ES92" i="7"/>
  <c r="GB92" i="7" s="1"/>
  <c r="GE92" i="7" l="1"/>
  <c r="GC92" i="7"/>
  <c r="GE91" i="7"/>
  <c r="GC91" i="7"/>
  <c r="EQ93" i="7"/>
  <c r="EU91" i="7"/>
  <c r="EV91" i="7" s="1"/>
  <c r="DD91" i="7"/>
  <c r="EN94" i="7"/>
  <c r="EE94" i="7" s="1"/>
  <c r="EU92" i="7"/>
  <c r="EV92" i="7" s="1"/>
  <c r="DD92" i="7"/>
  <c r="ER93" i="7"/>
  <c r="ES93" i="7"/>
  <c r="GB93" i="7" s="1"/>
  <c r="GE93" i="7" l="1"/>
  <c r="GC93" i="7"/>
  <c r="GD97" i="7"/>
  <c r="GF92" i="7"/>
  <c r="GG98" i="7" s="1"/>
  <c r="GD98" i="7"/>
  <c r="GD99" i="7"/>
  <c r="GH92" i="7"/>
  <c r="EL99" i="7"/>
  <c r="EJ97" i="7"/>
  <c r="EH95" i="7"/>
  <c r="EM95" i="7" s="1"/>
  <c r="EI96" i="7"/>
  <c r="EK98" i="7"/>
  <c r="EQ94" i="7"/>
  <c r="ER94" i="7" s="1"/>
  <c r="EU93" i="7"/>
  <c r="EV93" i="7" s="1"/>
  <c r="DD93" i="7"/>
  <c r="EH96" i="7"/>
  <c r="EM96" i="7" s="1"/>
  <c r="EK99" i="7"/>
  <c r="EI97" i="7"/>
  <c r="EJ98" i="7"/>
  <c r="EL100" i="7"/>
  <c r="GJ92" i="7" l="1"/>
  <c r="GK92" i="7" s="1"/>
  <c r="GF91" i="7"/>
  <c r="GF93" i="7"/>
  <c r="ES94" i="7"/>
  <c r="GB94" i="7" s="1"/>
  <c r="EL103" i="7"/>
  <c r="EP95" i="7"/>
  <c r="EN95" i="7" s="1"/>
  <c r="EE95" i="7" s="1"/>
  <c r="EL104" i="7"/>
  <c r="EI98" i="7"/>
  <c r="EJ99" i="7"/>
  <c r="EH97" i="7"/>
  <c r="EM97" i="7" s="1"/>
  <c r="EL101" i="7"/>
  <c r="EK100" i="7"/>
  <c r="EP96" i="7"/>
  <c r="EK103" i="7"/>
  <c r="GE94" i="7" l="1"/>
  <c r="GC94" i="7"/>
  <c r="GJ93" i="7"/>
  <c r="GK93" i="7" s="1"/>
  <c r="GG99" i="7"/>
  <c r="GJ91" i="7"/>
  <c r="GK91" i="7" s="1"/>
  <c r="GG97" i="7"/>
  <c r="GH91" i="7"/>
  <c r="GH93" i="7"/>
  <c r="GD100" i="7"/>
  <c r="EQ95" i="7"/>
  <c r="DD94" i="7"/>
  <c r="EU94" i="7"/>
  <c r="EV94" i="7" s="1"/>
  <c r="EN96" i="7"/>
  <c r="EE96" i="7" s="1"/>
  <c r="EK104" i="7"/>
  <c r="EL105" i="7"/>
  <c r="ER95" i="7"/>
  <c r="ES95" i="7"/>
  <c r="GB95" i="7" s="1"/>
  <c r="EJ103" i="7"/>
  <c r="EP97" i="7"/>
  <c r="GC95" i="7" l="1"/>
  <c r="GE95" i="7"/>
  <c r="GF94" i="7"/>
  <c r="GD101" i="7"/>
  <c r="EQ96" i="7"/>
  <c r="EI99" i="7"/>
  <c r="EK101" i="7"/>
  <c r="EJ100" i="7"/>
  <c r="EH98" i="7"/>
  <c r="EM98" i="7" s="1"/>
  <c r="EL102" i="7"/>
  <c r="EN97" i="7"/>
  <c r="EE97" i="7" s="1"/>
  <c r="EU95" i="7"/>
  <c r="EV95" i="7" s="1"/>
  <c r="DD95" i="7"/>
  <c r="ER96" i="7"/>
  <c r="ES96" i="7"/>
  <c r="GB96" i="7" s="1"/>
  <c r="GE96" i="7" l="1"/>
  <c r="GC96" i="7"/>
  <c r="GJ94" i="7"/>
  <c r="GK94" i="7" s="1"/>
  <c r="GG100" i="7"/>
  <c r="GH94" i="7"/>
  <c r="GF95" i="7"/>
  <c r="GG101" i="7" s="1"/>
  <c r="GD102" i="7"/>
  <c r="GH95" i="7"/>
  <c r="EJ104" i="7"/>
  <c r="EL106" i="7"/>
  <c r="EI103" i="7"/>
  <c r="EK105" i="7"/>
  <c r="EP98" i="7"/>
  <c r="EN98" i="7" s="1"/>
  <c r="EE98" i="7" s="1"/>
  <c r="EQ97" i="7"/>
  <c r="ER97" i="7" s="1"/>
  <c r="EU96" i="7"/>
  <c r="EV96" i="7" s="1"/>
  <c r="DD96" i="7"/>
  <c r="EH99" i="7"/>
  <c r="EM99" i="7" s="1"/>
  <c r="EJ101" i="7"/>
  <c r="EI100" i="7"/>
  <c r="EK102" i="7"/>
  <c r="GJ95" i="7" l="1"/>
  <c r="GK95" i="7" s="1"/>
  <c r="GF96" i="7"/>
  <c r="ES97" i="7"/>
  <c r="GB97" i="7" s="1"/>
  <c r="EK106" i="7"/>
  <c r="EJ105" i="7"/>
  <c r="EI104" i="7"/>
  <c r="EL107" i="7"/>
  <c r="DD97" i="7"/>
  <c r="EI101" i="7"/>
  <c r="EH100" i="7"/>
  <c r="EM100" i="7" s="1"/>
  <c r="EJ102" i="7"/>
  <c r="EQ98" i="7"/>
  <c r="EH103" i="7"/>
  <c r="EM103" i="7" s="1"/>
  <c r="EP99" i="7"/>
  <c r="GC97" i="7" l="1"/>
  <c r="GE97" i="7"/>
  <c r="EU97" i="7"/>
  <c r="EV97" i="7" s="1"/>
  <c r="GH96" i="7"/>
  <c r="GG102" i="7"/>
  <c r="GJ96" i="7"/>
  <c r="GK96" i="7" s="1"/>
  <c r="GD103" i="7"/>
  <c r="EN99" i="7"/>
  <c r="EE99" i="7" s="1"/>
  <c r="EH104" i="7"/>
  <c r="EM104" i="7" s="1"/>
  <c r="EK107" i="7"/>
  <c r="EJ106" i="7"/>
  <c r="EL108" i="7"/>
  <c r="EI105" i="7"/>
  <c r="EI108" i="7"/>
  <c r="EK110" i="7"/>
  <c r="EJ109" i="7"/>
  <c r="EH107" i="7"/>
  <c r="EL111" i="7"/>
  <c r="EH101" i="7"/>
  <c r="EM101" i="7" s="1"/>
  <c r="EI102" i="7"/>
  <c r="EP103" i="7"/>
  <c r="ES98" i="7"/>
  <c r="GB98" i="7" s="1"/>
  <c r="ER98" i="7"/>
  <c r="EP100" i="7"/>
  <c r="EN100" i="7" s="1"/>
  <c r="GC98" i="7" l="1"/>
  <c r="GE98" i="7"/>
  <c r="GF97" i="7"/>
  <c r="DD98" i="7"/>
  <c r="EQ99" i="7"/>
  <c r="ER99" i="7" s="1"/>
  <c r="EE100" i="7"/>
  <c r="EN103" i="7"/>
  <c r="EQ103" i="7" s="1"/>
  <c r="ER103" i="7" s="1"/>
  <c r="EJ107" i="7"/>
  <c r="EL109" i="7"/>
  <c r="EI106" i="7"/>
  <c r="EK108" i="7"/>
  <c r="EH105" i="7"/>
  <c r="EM105" i="7" s="1"/>
  <c r="EL112" i="7"/>
  <c r="EK111" i="7"/>
  <c r="EP104" i="7"/>
  <c r="EH108" i="7"/>
  <c r="EJ110" i="7"/>
  <c r="EI109" i="7"/>
  <c r="EU98" i="7"/>
  <c r="EV98" i="7" s="1"/>
  <c r="EH102" i="7" s="1"/>
  <c r="EM102" i="7" s="1"/>
  <c r="EQ100" i="7"/>
  <c r="EP101" i="7"/>
  <c r="GH97" i="7" l="1"/>
  <c r="GG103" i="7"/>
  <c r="GJ97" i="7"/>
  <c r="GK97" i="7" s="1"/>
  <c r="ES99" i="7"/>
  <c r="EE103" i="7"/>
  <c r="EN104" i="7"/>
  <c r="EE104" i="7" s="1"/>
  <c r="EN101" i="7"/>
  <c r="EE101" i="7" s="1"/>
  <c r="EK112" i="7"/>
  <c r="EI110" i="7"/>
  <c r="EP105" i="7"/>
  <c r="EN105" i="7" s="1"/>
  <c r="EJ111" i="7"/>
  <c r="EL113" i="7"/>
  <c r="EH109" i="7"/>
  <c r="EI107" i="7"/>
  <c r="EM107" i="7" s="1"/>
  <c r="EK109" i="7"/>
  <c r="EH106" i="7"/>
  <c r="EM106" i="7" s="1"/>
  <c r="EJ108" i="7"/>
  <c r="EM108" i="7" s="1"/>
  <c r="EL110" i="7"/>
  <c r="ES103" i="7"/>
  <c r="GB103" i="7" s="1"/>
  <c r="DD99" i="7"/>
  <c r="EP102" i="7"/>
  <c r="ER100" i="7"/>
  <c r="ES100" i="7"/>
  <c r="GB100" i="7" s="1"/>
  <c r="GC100" i="7" l="1"/>
  <c r="GE100" i="7"/>
  <c r="GC103" i="7"/>
  <c r="GE103" i="7"/>
  <c r="EU99" i="7"/>
  <c r="EV99" i="7" s="1"/>
  <c r="GB99" i="7"/>
  <c r="GF98" i="7"/>
  <c r="EQ104" i="7"/>
  <c r="ER104" i="7" s="1"/>
  <c r="EN102" i="7"/>
  <c r="EE102" i="7" s="1"/>
  <c r="EQ101" i="7"/>
  <c r="ER101" i="7" s="1"/>
  <c r="ES104" i="7"/>
  <c r="EU104" i="7" s="1"/>
  <c r="EV104" i="7" s="1"/>
  <c r="EP108" i="7"/>
  <c r="EN108" i="7" s="1"/>
  <c r="EH112" i="7"/>
  <c r="EI113" i="7"/>
  <c r="EI112" i="7"/>
  <c r="EP107" i="7"/>
  <c r="EJ113" i="7"/>
  <c r="EH111" i="7"/>
  <c r="EI111" i="7"/>
  <c r="EH110" i="7"/>
  <c r="EM110" i="7" s="1"/>
  <c r="EK113" i="7"/>
  <c r="EJ112" i="7"/>
  <c r="EP106" i="7"/>
  <c r="EN106" i="7" s="1"/>
  <c r="EM109" i="7"/>
  <c r="DD103" i="7"/>
  <c r="EU103" i="7"/>
  <c r="EV103" i="7" s="1"/>
  <c r="EU100" i="7"/>
  <c r="EV100" i="7" s="1"/>
  <c r="DD100" i="7"/>
  <c r="GC99" i="7" l="1"/>
  <c r="GE99" i="7"/>
  <c r="GF99" i="7" s="1"/>
  <c r="GF103" i="7"/>
  <c r="ES101" i="7"/>
  <c r="GB101" i="7" s="1"/>
  <c r="EQ102" i="7"/>
  <c r="ER102" i="7" s="1"/>
  <c r="GH98" i="7"/>
  <c r="GJ98" i="7"/>
  <c r="GK98" i="7" s="1"/>
  <c r="GF100" i="7"/>
  <c r="EE106" i="7"/>
  <c r="EN107" i="7"/>
  <c r="EE107" i="7" s="1"/>
  <c r="EQ105" i="7"/>
  <c r="ER105" i="7" s="1"/>
  <c r="EE105" i="7"/>
  <c r="EE108" i="7"/>
  <c r="AG12" i="7"/>
  <c r="EP109" i="7"/>
  <c r="EH113" i="7"/>
  <c r="EM113" i="7" s="1"/>
  <c r="EM112" i="7"/>
  <c r="EP110" i="7"/>
  <c r="EN110" i="7" s="1"/>
  <c r="EM111" i="7"/>
  <c r="EQ106" i="7"/>
  <c r="GC101" i="7" l="1"/>
  <c r="GE101" i="7"/>
  <c r="EU101" i="7"/>
  <c r="EV101" i="7" s="1"/>
  <c r="DD101" i="7"/>
  <c r="GJ100" i="7"/>
  <c r="GK100" i="7" s="1"/>
  <c r="GH100" i="7"/>
  <c r="GJ99" i="7"/>
  <c r="GK99" i="7" s="1"/>
  <c r="GH99" i="7"/>
  <c r="GJ103" i="7"/>
  <c r="GK103" i="7" s="1"/>
  <c r="GH103" i="7"/>
  <c r="ES102" i="7"/>
  <c r="EQ107" i="7"/>
  <c r="ER107" i="7" s="1"/>
  <c r="ES105" i="7"/>
  <c r="EU105" i="7" s="1"/>
  <c r="EV105" i="7" s="1"/>
  <c r="EE110" i="7"/>
  <c r="EN109" i="7"/>
  <c r="EE109" i="7" s="1"/>
  <c r="EQ108" i="7"/>
  <c r="EQ110" i="7"/>
  <c r="ER110" i="7" s="1"/>
  <c r="ER106" i="7"/>
  <c r="ES106" i="7"/>
  <c r="EU106" i="7" s="1"/>
  <c r="EV106" i="7" s="1"/>
  <c r="EP111" i="7"/>
  <c r="EP112" i="7"/>
  <c r="EP113" i="7"/>
  <c r="AU12" i="7" l="1"/>
  <c r="GB102" i="7"/>
  <c r="AO11" i="7"/>
  <c r="GF101" i="7"/>
  <c r="GH101" i="7" s="1"/>
  <c r="EN113" i="7"/>
  <c r="EQ113" i="7" s="1"/>
  <c r="ER113" i="7" s="1"/>
  <c r="M11" i="7"/>
  <c r="EU102" i="7"/>
  <c r="EV102" i="7" s="1"/>
  <c r="DD102" i="7"/>
  <c r="ES107" i="7"/>
  <c r="EU107" i="7" s="1"/>
  <c r="EV107" i="7" s="1"/>
  <c r="ES110" i="7"/>
  <c r="EU110" i="7" s="1"/>
  <c r="EV110" i="7" s="1"/>
  <c r="EQ109" i="7"/>
  <c r="EN112" i="7"/>
  <c r="EE112" i="7" s="1"/>
  <c r="EN111" i="7"/>
  <c r="EE111" i="7" s="1"/>
  <c r="ER108" i="7"/>
  <c r="ES108" i="7"/>
  <c r="EU108" i="7" s="1"/>
  <c r="EV108" i="7" s="1"/>
  <c r="GE102" i="7" l="1"/>
  <c r="GC102" i="7"/>
  <c r="GJ101" i="7"/>
  <c r="GK101" i="7" s="1"/>
  <c r="EE113" i="7"/>
  <c r="ES113" i="7"/>
  <c r="EQ112" i="7"/>
  <c r="ER112" i="7" s="1"/>
  <c r="ER109" i="7"/>
  <c r="ES109" i="7"/>
  <c r="EU109" i="7" s="1"/>
  <c r="EV109" i="7" s="1"/>
  <c r="EQ111" i="7"/>
  <c r="EU113" i="7"/>
  <c r="EV113" i="7" s="1"/>
  <c r="GF102" i="7" l="1"/>
  <c r="ES112" i="7"/>
  <c r="EU112" i="7" s="1"/>
  <c r="EV112" i="7" s="1"/>
  <c r="GJ102" i="7"/>
  <c r="GK102" i="7" s="1"/>
  <c r="GH102" i="7"/>
  <c r="ER111" i="7"/>
  <c r="ES111" i="7"/>
  <c r="EU111" i="7" s="1"/>
  <c r="EV1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V1" authorId="0" shapeId="0" xr:uid="{146A67C4-456F-4F27-A9A1-F3A02AEF9FC4}">
      <text>
        <r>
          <rPr>
            <b/>
            <sz val="9"/>
            <color indexed="81"/>
            <rFont val="Tahoma"/>
            <family val="2"/>
          </rPr>
          <t>McAllister, Murdoch:</t>
        </r>
        <r>
          <rPr>
            <sz val="9"/>
            <color indexed="81"/>
            <rFont val="Tahoma"/>
            <family val="2"/>
          </rPr>
          <t xml:space="preserve">
Provided by Brittany - average from Albion test fishery for years 2003-2021</t>
        </r>
      </text>
    </comment>
    <comment ref="G2" authorId="0" shapeId="0" xr:uid="{AB90378D-BF72-4551-9C40-4C03C14AC0E1}">
      <text>
        <r>
          <rPr>
            <b/>
            <sz val="9"/>
            <color indexed="81"/>
            <rFont val="Tahoma"/>
            <family val="2"/>
          </rPr>
          <t>McAllister, Murdoch:</t>
        </r>
        <r>
          <rPr>
            <sz val="9"/>
            <color indexed="81"/>
            <rFont val="Tahoma"/>
            <family val="2"/>
          </rPr>
          <t xml:space="preserve">
spawners and recruits in column G and H should be the best ones to take forward for your multifactor analysis</t>
        </r>
      </text>
    </comment>
    <comment ref="CH32" authorId="0" shapeId="0" xr:uid="{BE425884-A954-4215-A392-7C591B60C95C}">
      <text>
        <r>
          <rPr>
            <b/>
            <sz val="9"/>
            <color indexed="81"/>
            <rFont val="Tahoma"/>
            <family val="2"/>
          </rPr>
          <t>McAllister, Murdoch:</t>
        </r>
        <r>
          <rPr>
            <sz val="9"/>
            <color indexed="81"/>
            <rFont val="Tahoma"/>
            <family val="2"/>
          </rPr>
          <t xml:space="preserve">
Sent by Haley in July 2025</t>
        </r>
      </text>
    </comment>
    <comment ref="BC33" authorId="0" shapeId="0" xr:uid="{F0B1F042-AB4E-4291-9699-DD3385A2C192}">
      <text>
        <r>
          <rPr>
            <b/>
            <sz val="9"/>
            <color indexed="81"/>
            <rFont val="Tahoma"/>
            <family val="2"/>
          </rPr>
          <t>McAllister, Murdoch:</t>
        </r>
        <r>
          <rPr>
            <sz val="9"/>
            <color indexed="81"/>
            <rFont val="Tahoma"/>
            <family val="2"/>
          </rPr>
          <t xml:space="preserve">
From Brittany files
Full southern BC
HRs higher than those for Fraser Chum stock</t>
        </r>
      </text>
    </comment>
    <comment ref="AT45" authorId="0" shapeId="0" xr:uid="{7D22DCA5-04A5-4E0D-8409-A2A3D0BB8596}">
      <text>
        <r>
          <rPr>
            <b/>
            <sz val="9"/>
            <color indexed="81"/>
            <rFont val="Tahoma"/>
            <family val="2"/>
          </rPr>
          <t>McAllister, Murdoch:</t>
        </r>
        <r>
          <rPr>
            <sz val="9"/>
            <color indexed="81"/>
            <rFont val="Tahoma"/>
            <family val="2"/>
          </rPr>
          <t xml:space="preserve">
Taken from southern BC and US chum harvest rates -- values are larger than those for Fraser Chum only</t>
        </r>
      </text>
    </comment>
    <comment ref="W50" authorId="0" shapeId="0" xr:uid="{3104AA4F-C04B-433A-A6B0-DCF4C100EFE3}">
      <text>
        <r>
          <rPr>
            <b/>
            <sz val="9"/>
            <color indexed="81"/>
            <rFont val="Tahoma"/>
            <family val="2"/>
          </rPr>
          <t>McAllister, Murdoch:</t>
        </r>
        <r>
          <rPr>
            <sz val="9"/>
            <color indexed="81"/>
            <rFont val="Tahoma"/>
            <family val="2"/>
          </rPr>
          <t xml:space="preserve">
Uses age 3-6  composition at age in each year for 2003-2022</t>
        </r>
      </text>
    </comment>
    <comment ref="AB50" authorId="0" shapeId="0" xr:uid="{4C73545B-CB00-4D83-AD95-47F5FBFCAE25}">
      <text>
        <r>
          <rPr>
            <b/>
            <sz val="9"/>
            <color indexed="81"/>
            <rFont val="Tahoma"/>
            <family val="2"/>
          </rPr>
          <t>McAllister, Murdoch:</t>
        </r>
        <r>
          <rPr>
            <sz val="9"/>
            <color indexed="81"/>
            <rFont val="Tahoma"/>
            <family val="2"/>
          </rPr>
          <t xml:space="preserve">
Uses average age composition age 3-6 all years</t>
        </r>
      </text>
    </comment>
    <comment ref="CQ56" authorId="0" shapeId="0" xr:uid="{BD036F63-FC91-4CBB-87FA-83D23F1A0D38}">
      <text>
        <r>
          <rPr>
            <b/>
            <sz val="9"/>
            <color indexed="81"/>
            <rFont val="Tahoma"/>
            <family val="2"/>
          </rPr>
          <t>McAllister, Murdoch:</t>
        </r>
        <r>
          <rPr>
            <sz val="9"/>
            <color indexed="81"/>
            <rFont val="Tahoma"/>
            <family val="2"/>
          </rPr>
          <t xml:space="preserve">
Provided by Brittany</t>
        </r>
      </text>
    </comment>
    <comment ref="AT75" authorId="0" shapeId="0" xr:uid="{76B0FFA3-A8F6-429D-9053-7B429F686B4D}">
      <text>
        <r>
          <rPr>
            <b/>
            <sz val="9"/>
            <color indexed="81"/>
            <rFont val="Tahoma"/>
            <family val="2"/>
          </rPr>
          <t>McAllister, Murdoch:</t>
        </r>
        <r>
          <rPr>
            <sz val="9"/>
            <color indexed="81"/>
            <rFont val="Tahoma"/>
            <family val="2"/>
          </rPr>
          <t xml:space="preserve">
Filled based on average of past three years with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D1" authorId="0" shapeId="0" xr:uid="{C24F7465-E3FB-4610-B57D-779C33451D96}">
      <text>
        <r>
          <rPr>
            <b/>
            <sz val="9"/>
            <color indexed="81"/>
            <rFont val="Tahoma"/>
            <family val="2"/>
          </rPr>
          <t>McAllister, Murdoch:</t>
        </r>
        <r>
          <rPr>
            <sz val="9"/>
            <color indexed="81"/>
            <rFont val="Tahoma"/>
            <family val="2"/>
          </rPr>
          <t xml:space="preserve">
to try Ricker fit to SSL + spawners
Ricker fit to AquaC + spawners</t>
        </r>
      </text>
    </comment>
    <comment ref="BX2" authorId="0" shapeId="0" xr:uid="{FA209A26-F055-4579-8E8F-8FB466169F91}">
      <text>
        <r>
          <rPr>
            <b/>
            <sz val="9"/>
            <color indexed="81"/>
            <rFont val="Tahoma"/>
            <family val="2"/>
          </rPr>
          <t>McAllister, Murdoch:</t>
        </r>
        <r>
          <rPr>
            <sz val="9"/>
            <color indexed="81"/>
            <rFont val="Tahoma"/>
            <family val="2"/>
          </rPr>
          <t xml:space="preserve">
Not used in fitting</t>
        </r>
      </text>
    </comment>
    <comment ref="GU26" authorId="0" shapeId="0" xr:uid="{543193A8-768B-4173-8926-209DB34D4D0A}">
      <text>
        <r>
          <rPr>
            <b/>
            <sz val="9"/>
            <color indexed="81"/>
            <rFont val="Tahoma"/>
            <family val="2"/>
          </rPr>
          <t>McAllister, Murdoch:</t>
        </r>
        <r>
          <rPr>
            <sz val="9"/>
            <color indexed="81"/>
            <rFont val="Tahoma"/>
            <family val="2"/>
          </rPr>
          <t xml:space="preserve">
coefficient estimate is positive for RKW - not credible</t>
        </r>
      </text>
    </comment>
    <comment ref="HE26" authorId="0" shapeId="0" xr:uid="{6DB9F9CE-B54A-4B55-B10B-CE644183040C}">
      <text>
        <r>
          <rPr>
            <b/>
            <sz val="9"/>
            <color indexed="81"/>
            <rFont val="Tahoma"/>
            <family val="2"/>
          </rPr>
          <t>McAllister, Murdoch:</t>
        </r>
        <r>
          <rPr>
            <sz val="9"/>
            <color indexed="81"/>
            <rFont val="Tahoma"/>
            <family val="2"/>
          </rPr>
          <t xml:space="preserve">
coefficient estimate is positive for RKW - not credible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AA32" authorId="0" shapeId="0" xr:uid="{B6EFEC34-93DF-4776-B25C-7A5DEEAB0CBC}">
      <text>
        <r>
          <rPr>
            <b/>
            <sz val="9"/>
            <color indexed="81"/>
            <rFont val="Tahoma"/>
            <family val="2"/>
          </rPr>
          <t>McAllister, Murdoch:</t>
        </r>
        <r>
          <rPr>
            <sz val="9"/>
            <color indexed="81"/>
            <rFont val="Tahoma"/>
            <family val="2"/>
          </rPr>
          <t xml:space="preserve">
RKW should not be here since it has such a large P value, i.e., pvalue &gt; 0.5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X29" authorId="0" shapeId="0" xr:uid="{4ACAD0DA-6A1B-4872-931B-45F8916AB577}">
      <text>
        <r>
          <rPr>
            <b/>
            <sz val="9"/>
            <color indexed="81"/>
            <rFont val="Tahoma"/>
            <family val="2"/>
          </rPr>
          <t>McAllister, Murdoch:</t>
        </r>
        <r>
          <rPr>
            <sz val="9"/>
            <color indexed="81"/>
            <rFont val="Tahoma"/>
            <family val="2"/>
          </rPr>
          <t xml:space="preserve">
RKW should not be in this model as it has a positive slope coefficient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C3" authorId="0" shapeId="0" xr:uid="{8E13A96C-F8BC-45D2-8518-52BF75808502}">
      <text>
        <r>
          <rPr>
            <b/>
            <sz val="9"/>
            <color indexed="81"/>
            <rFont val="Tahoma"/>
            <family val="2"/>
          </rPr>
          <t>McAllister, Murdoch:</t>
        </r>
        <r>
          <rPr>
            <sz val="9"/>
            <color indexed="81"/>
            <rFont val="Tahoma"/>
            <family val="2"/>
          </rPr>
          <t xml:space="preserve">
averages here but need to apply prop at age by year for return years starting in 2003</t>
        </r>
      </text>
    </comment>
    <comment ref="G3" authorId="0" shapeId="0" xr:uid="{5C1BAF9C-2E9C-40B3-8A00-D20BF8C39218}">
      <text>
        <r>
          <rPr>
            <b/>
            <sz val="9"/>
            <color indexed="81"/>
            <rFont val="Tahoma"/>
            <family val="2"/>
          </rPr>
          <t>McAllister, Murdoch:</t>
        </r>
        <r>
          <rPr>
            <sz val="9"/>
            <color indexed="81"/>
            <rFont val="Tahoma"/>
            <family val="2"/>
          </rPr>
          <t xml:space="preserve">
We need to use proportion at age by year to compute covariates using return years from 2003 onwards in this sheet.</t>
        </r>
      </text>
    </comment>
    <comment ref="L9" authorId="0" shapeId="0" xr:uid="{3D8554F1-20BF-4D2C-98C2-B4BFD54BCE50}">
      <text>
        <r>
          <rPr>
            <b/>
            <sz val="9"/>
            <color indexed="81"/>
            <rFont val="Tahoma"/>
            <family val="2"/>
          </rPr>
          <t>McAllister, Murdoch:</t>
        </r>
        <r>
          <rPr>
            <sz val="9"/>
            <color indexed="81"/>
            <rFont val="Tahoma"/>
            <family val="2"/>
          </rPr>
          <t xml:space="preserve">
affects food availability in year going out, and so lag 0 applied</t>
        </r>
      </text>
    </comment>
    <comment ref="P9" authorId="0" shapeId="0" xr:uid="{1AD9DBA3-A386-4E20-AD43-6740E8F5634F}">
      <text>
        <r>
          <rPr>
            <b/>
            <sz val="9"/>
            <color indexed="81"/>
            <rFont val="Tahoma"/>
            <family val="2"/>
          </rPr>
          <t>McAllister, Murdoch:</t>
        </r>
        <r>
          <rPr>
            <sz val="9"/>
            <color indexed="81"/>
            <rFont val="Tahoma"/>
            <family val="2"/>
          </rPr>
          <t xml:space="preserve">
llit says affects in either juvenile or final adult year</t>
        </r>
      </text>
    </comment>
    <comment ref="S9" authorId="0" shapeId="0" xr:uid="{753E9024-029D-4BEE-8A09-8469D6958C75}">
      <text>
        <r>
          <rPr>
            <b/>
            <sz val="9"/>
            <color indexed="81"/>
            <rFont val="Tahoma"/>
            <family val="2"/>
          </rPr>
          <t>McAllister, Murdoch:</t>
        </r>
        <r>
          <rPr>
            <sz val="9"/>
            <color indexed="81"/>
            <rFont val="Tahoma"/>
            <family val="2"/>
          </rPr>
          <t xml:space="preserve">
Corrected to lag 1 for impact on smolts</t>
        </r>
      </text>
    </comment>
    <comment ref="E79" authorId="0" shapeId="0" xr:uid="{F440896B-22E3-48BB-8058-7D810FE90D1B}">
      <text>
        <r>
          <rPr>
            <b/>
            <sz val="9"/>
            <color indexed="81"/>
            <rFont val="Tahoma"/>
            <family val="2"/>
          </rPr>
          <t>McAllister, Murdoch:</t>
        </r>
        <r>
          <rPr>
            <sz val="9"/>
            <color indexed="81"/>
            <rFont val="Tahoma"/>
            <family val="2"/>
          </rPr>
          <t xml:space="preserve">
SSL abundance extrapolated to hold steady 2019-2022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N1" authorId="0" shapeId="0" xr:uid="{5BD0C242-8DF2-467D-BEAC-30F4D8BB1A27}">
      <text>
        <r>
          <rPr>
            <b/>
            <sz val="9"/>
            <color indexed="81"/>
            <rFont val="Tahoma"/>
            <family val="2"/>
          </rPr>
          <t>McAllister, Murdoch:</t>
        </r>
        <r>
          <rPr>
            <sz val="9"/>
            <color indexed="81"/>
            <rFont val="Tahoma"/>
            <family val="2"/>
          </rPr>
          <t xml:space="preserve">
Need to predict spawners, and then recruits, and then catches from recruits under different chum harvesting policy options for both Fraser River chum salmon and Thompson and Chilcotin Steelhead.  Need to use the best models to predict alpha by year for each of these populations using the best fitting stock-recrruit models and associated covariates.  </t>
        </r>
      </text>
    </comment>
    <comment ref="AZ1" authorId="0" shapeId="0" xr:uid="{186B6C8E-8645-4AEA-A857-4CE8A9B707B8}">
      <text>
        <r>
          <rPr>
            <b/>
            <sz val="9"/>
            <color indexed="81"/>
            <rFont val="Tahoma"/>
            <family val="2"/>
          </rPr>
          <t>McAllister, Murdoch:</t>
        </r>
        <r>
          <rPr>
            <sz val="9"/>
            <color indexed="81"/>
            <rFont val="Tahoma"/>
            <family val="2"/>
          </rPr>
          <t xml:space="preserve">
AX-BC cell values copied from AW rows 2-9</t>
        </r>
      </text>
    </comment>
    <comment ref="AX3" authorId="0" shapeId="0" xr:uid="{B3A3C1C7-D4B0-44EE-85F1-1D9B70E8F41A}">
      <text>
        <r>
          <rPr>
            <b/>
            <sz val="9"/>
            <color indexed="81"/>
            <rFont val="Tahoma"/>
            <family val="2"/>
          </rPr>
          <t>McAllister, Murdoch:</t>
        </r>
        <r>
          <rPr>
            <sz val="9"/>
            <color indexed="81"/>
            <rFont val="Tahoma"/>
            <family val="2"/>
          </rPr>
          <t xml:space="preserve">
nparams = 1 for sigma and plus 1 if deltaPred estimated</t>
        </r>
      </text>
    </comment>
    <comment ref="AI7" authorId="0" shapeId="0" xr:uid="{FF1FEADB-E4AD-4D04-888D-B7DAB47D15E9}">
      <text>
        <r>
          <rPr>
            <b/>
            <sz val="9"/>
            <color indexed="81"/>
            <rFont val="Tahoma"/>
            <family val="2"/>
          </rPr>
          <t>McAllister, Murdoch:</t>
        </r>
        <r>
          <rPr>
            <sz val="9"/>
            <color indexed="81"/>
            <rFont val="Tahoma"/>
            <family val="2"/>
          </rPr>
          <t xml:space="preserve">
Fnbycattch=1, then use best estimates of FNb bycatch, Fnbycsatch=0, then assume no future FN kill of IFRS, i.e., FN catch 2026 and onwards is zero
</t>
        </r>
      </text>
    </comment>
    <comment ref="AJ8" authorId="0" shapeId="0" xr:uid="{8FDC4554-C492-4D01-90A1-8EA8F4118308}">
      <text>
        <r>
          <rPr>
            <b/>
            <sz val="9"/>
            <color indexed="81"/>
            <rFont val="Tahoma"/>
            <family val="2"/>
          </rPr>
          <t>McAllister, Murdoch:</t>
        </r>
        <r>
          <rPr>
            <sz val="9"/>
            <color indexed="81"/>
            <rFont val="Tahoma"/>
            <family val="2"/>
          </rPr>
          <t xml:space="preserve">
Uhistoric = 1 means apply historical Chum fishery harvest rates to 2024, after that the Uapply value is applied for the chum fishery</t>
        </r>
      </text>
    </comment>
    <comment ref="AG9" authorId="0" shapeId="0" xr:uid="{A65F0457-0A75-47ED-9D90-2E04DDEDA717}">
      <text>
        <r>
          <rPr>
            <b/>
            <sz val="9"/>
            <color indexed="81"/>
            <rFont val="Tahoma"/>
            <family val="2"/>
          </rPr>
          <t>McAllister, Murdoch:</t>
        </r>
        <r>
          <rPr>
            <sz val="9"/>
            <color indexed="81"/>
            <rFont val="Tahoma"/>
            <family val="2"/>
          </rPr>
          <t xml:space="preserve">
If AlphaV=0, use covariates to calc. future alphas and assume no change in future predation, If AlphaV = 1, then use covariates to calc. future alphas and estimate deltaPred, if alphaV = 2, then use average of previous 20 yrs of alphas for future alpha, alphaV=3, apply average of prev. 10 years, alphaV=4, apply avg of prev. 5 years, alphaV=5, use the slope from the previous 10 years.
</t>
        </r>
      </text>
    </comment>
    <comment ref="AI9" authorId="0" shapeId="0" xr:uid="{CD79E2F1-40A6-4273-92EE-3531F966559B}">
      <text>
        <r>
          <rPr>
            <b/>
            <sz val="9"/>
            <color indexed="81"/>
            <rFont val="Tahoma"/>
            <family val="2"/>
          </rPr>
          <t>McAllister, Murdoch:</t>
        </r>
        <r>
          <rPr>
            <sz val="9"/>
            <color indexed="81"/>
            <rFont val="Tahoma"/>
            <family val="2"/>
          </rPr>
          <t xml:space="preserve">
Harvest rate to apply either retroactively and/or prospectively in the commercial chum salmon fishery; if Uhistoric=1, the Uapply is overridden 1991-2024 with the best estimates coming from recorded catches to 2023, with 2024 harvest rate imputed from the average of the 2021-2023 estimated harvest rates; set equal to the value in the cell to the right, if we want to project current best estimates of low commercial fishery harvest rate</t>
        </r>
      </text>
    </comment>
    <comment ref="AK9" authorId="0" shapeId="0" xr:uid="{F3FAAF5B-536C-4BAE-A63E-34FDEC3EACA3}">
      <text>
        <r>
          <rPr>
            <b/>
            <sz val="9"/>
            <color indexed="81"/>
            <rFont val="Tahoma"/>
            <family val="2"/>
          </rPr>
          <t>McAllister, Murdoch:</t>
        </r>
        <r>
          <rPr>
            <sz val="9"/>
            <color indexed="81"/>
            <rFont val="Tahoma"/>
            <family val="2"/>
          </rPr>
          <t xml:space="preserve">
This U comes from the average of the harvest rates in 2021-2023.  </t>
        </r>
      </text>
    </comment>
    <comment ref="AX9" authorId="0" shapeId="0" xr:uid="{580886DD-2149-41A9-87B6-259C803E9F6F}">
      <text>
        <r>
          <rPr>
            <b/>
            <sz val="9"/>
            <color indexed="81"/>
            <rFont val="Tahoma"/>
            <family val="2"/>
          </rPr>
          <t>McAllister, Murdoch:</t>
        </r>
        <r>
          <rPr>
            <sz val="9"/>
            <color indexed="81"/>
            <rFont val="Tahoma"/>
            <family val="2"/>
          </rPr>
          <t xml:space="preserve">
combined likelihood for both stocks, with lognormal LHF from the six obs for the 2 stocks</t>
        </r>
      </text>
    </comment>
    <comment ref="AY9" authorId="0" shapeId="0" xr:uid="{41CAF899-1D2B-4B8F-9510-7A581A00D26A}">
      <text>
        <r>
          <rPr>
            <b/>
            <sz val="9"/>
            <color indexed="81"/>
            <rFont val="Tahoma"/>
            <family val="2"/>
          </rPr>
          <t>McAllister, Murdoch:</t>
        </r>
        <r>
          <rPr>
            <sz val="9"/>
            <color indexed="81"/>
            <rFont val="Tahoma"/>
            <family val="2"/>
          </rPr>
          <t xml:space="preserve">
Active computation of log likelihood in this column depending on the setting</t>
        </r>
      </text>
    </comment>
    <comment ref="BD9" authorId="0" shapeId="0" xr:uid="{E4EAC48D-8AB8-4DFD-9F73-50E31E0AD672}">
      <text>
        <r>
          <rPr>
            <b/>
            <sz val="9"/>
            <color indexed="81"/>
            <rFont val="Tahoma"/>
            <family val="2"/>
          </rPr>
          <t>McAllister, Murdoch:</t>
        </r>
        <r>
          <rPr>
            <sz val="9"/>
            <color indexed="81"/>
            <rFont val="Tahoma"/>
            <family val="2"/>
          </rPr>
          <t xml:space="preserve">
Active computation of log likelihood in this column depending on the setting</t>
        </r>
      </text>
    </comment>
    <comment ref="BE9" authorId="0" shapeId="0" xr:uid="{17408EB2-9622-4BA2-852A-F974BA6311D0}">
      <text>
        <r>
          <rPr>
            <b/>
            <sz val="9"/>
            <color indexed="81"/>
            <rFont val="Tahoma"/>
            <family val="2"/>
          </rPr>
          <t>McAllister, Murdoch:</t>
        </r>
        <r>
          <rPr>
            <sz val="9"/>
            <color indexed="81"/>
            <rFont val="Tahoma"/>
            <family val="2"/>
          </rPr>
          <t xml:space="preserve">
Active computation of log likelihood in this column depending on the setting</t>
        </r>
      </text>
    </comment>
    <comment ref="BL9" authorId="0" shapeId="0" xr:uid="{86F28784-08BC-4263-8A68-AC27F0E16BAE}">
      <text>
        <r>
          <rPr>
            <b/>
            <sz val="9"/>
            <color indexed="81"/>
            <rFont val="Tahoma"/>
            <family val="2"/>
          </rPr>
          <t>McAllister, Murdoch:</t>
        </r>
        <r>
          <rPr>
            <sz val="9"/>
            <color indexed="81"/>
            <rFont val="Tahoma"/>
            <family val="2"/>
          </rPr>
          <t xml:space="preserve">
How low does bycatch rate need to be to see acceptably low impact on steelhead?</t>
        </r>
      </text>
    </comment>
    <comment ref="AH10" authorId="0" shapeId="0" xr:uid="{ABBDE1DB-CDF8-47B3-BC01-CA091205DF89}">
      <text>
        <r>
          <rPr>
            <b/>
            <sz val="9"/>
            <color indexed="81"/>
            <rFont val="Tahoma"/>
            <family val="2"/>
          </rPr>
          <t>McAllister, Murdoch:</t>
        </r>
        <r>
          <rPr>
            <sz val="9"/>
            <color indexed="81"/>
            <rFont val="Tahoma"/>
            <family val="2"/>
          </rPr>
          <t xml:space="preserve">
0 means use actual SSL abundances.  Values &gt; 0 and &lt;1 means what if SSL controls were continued from the 1960s to the present and into the future with the fraction (SSLcontrol) being the weight for the average of the 1975-1977 abundance and and (1-SSLcontrol) being the weight for the actual annual abundance..</t>
        </r>
      </text>
    </comment>
    <comment ref="BJ10" authorId="0" shapeId="0" xr:uid="{D7590ED4-59F2-48CA-B587-103EB69E1029}">
      <text>
        <r>
          <rPr>
            <b/>
            <sz val="9"/>
            <color indexed="81"/>
            <rFont val="Tahoma"/>
            <family val="2"/>
          </rPr>
          <t>McAllister, Murdoch:</t>
        </r>
        <r>
          <rPr>
            <sz val="9"/>
            <color indexed="81"/>
            <rFont val="Tahoma"/>
            <family val="2"/>
          </rPr>
          <t xml:space="preserve">
NPGO not used to compute alpha for Thompson SH</t>
        </r>
      </text>
    </comment>
    <comment ref="AI11" authorId="0" shapeId="0" xr:uid="{EB02018C-2126-4BDC-87B2-F841CF6B82B4}">
      <text>
        <r>
          <rPr>
            <b/>
            <sz val="9"/>
            <color indexed="81"/>
            <rFont val="Tahoma"/>
            <family val="2"/>
          </rPr>
          <t>McAllister, Murdoch:</t>
        </r>
        <r>
          <rPr>
            <sz val="9"/>
            <color indexed="81"/>
            <rFont val="Tahoma"/>
            <family val="2"/>
          </rPr>
          <t xml:space="preserve">
Ratio of steelhead bycatch harvest rate to commercial chum salmon fishery harvest rate.  This is based on a fit of a line constrained to go through zero of historical values for bycatch harvest rates of steelhead and chum salmon fishery harvest rates (see plot below)</t>
        </r>
      </text>
    </comment>
    <comment ref="AQ12" authorId="0" shapeId="0" xr:uid="{9A5F4545-166E-4916-9661-7C563CA1419B}">
      <text>
        <r>
          <rPr>
            <b/>
            <sz val="9"/>
            <color indexed="81"/>
            <rFont val="Tahoma"/>
            <family val="2"/>
          </rPr>
          <t>McAllister, Murdoch:</t>
        </r>
        <r>
          <rPr>
            <sz val="9"/>
            <color indexed="81"/>
            <rFont val="Tahoma"/>
            <family val="2"/>
          </rPr>
          <t xml:space="preserve">
Predicted spawners on average only a little  different from observed spawner counts</t>
        </r>
      </text>
    </comment>
    <comment ref="AT13" authorId="0" shapeId="0" xr:uid="{64732858-A019-4AC0-96E0-DC5DB4C026B5}">
      <text>
        <r>
          <rPr>
            <b/>
            <sz val="9"/>
            <color indexed="81"/>
            <rFont val="Tahoma"/>
            <family val="2"/>
          </rPr>
          <t>McAllister, Murdoch
Normalized SSL abundance for Chum
NRKW increased also and are known to each chum salmon; NRK ihcreased by about double in the past few decades also and are currently left out.  The SSL abbundance here can represent total predator abundance</t>
        </r>
      </text>
    </comment>
    <comment ref="FC13" authorId="0" shapeId="0" xr:uid="{88CE5192-E383-4CDB-8254-5C0D1E8C37FE}">
      <text>
        <r>
          <rPr>
            <b/>
            <sz val="9"/>
            <color indexed="81"/>
            <rFont val="Tahoma"/>
            <family val="2"/>
          </rPr>
          <t>McAllister, Murdoch:</t>
        </r>
        <r>
          <rPr>
            <sz val="9"/>
            <color indexed="81"/>
            <rFont val="Tahoma"/>
            <family val="2"/>
          </rPr>
          <t xml:space="preserve">
This should be actual spawner counts, not model predicted. spawners up to the last year with count data.  After that it can be model predicted spawners</t>
        </r>
      </text>
    </comment>
    <comment ref="Y14" authorId="0" shapeId="0" xr:uid="{C32975D0-8D56-48E0-AAA0-0243A3A4D1DB}">
      <text>
        <r>
          <rPr>
            <b/>
            <sz val="9"/>
            <color indexed="81"/>
            <rFont val="Tahoma"/>
            <family val="2"/>
          </rPr>
          <t>McAllister, Murdoch:</t>
        </r>
        <r>
          <rPr>
            <sz val="9"/>
            <color indexed="81"/>
            <rFont val="Tahoma"/>
            <family val="2"/>
          </rPr>
          <t xml:space="preserve">
Empirical Nage</t>
        </r>
      </text>
    </comment>
    <comment ref="Y17" authorId="0" shapeId="0" xr:uid="{9858DCB5-14F2-498F-8AF8-6EE1819EACD9}">
      <text>
        <r>
          <rPr>
            <b/>
            <sz val="9"/>
            <color indexed="81"/>
            <rFont val="Tahoma"/>
            <family val="2"/>
          </rPr>
          <t>McAllister, Murdoch:</t>
        </r>
        <r>
          <rPr>
            <sz val="9"/>
            <color indexed="81"/>
            <rFont val="Tahoma"/>
            <family val="2"/>
          </rPr>
          <t xml:space="preserve">
Predicted from model 4a recruits in 1951</t>
        </r>
      </text>
    </comment>
    <comment ref="AI54" authorId="0" shapeId="0" xr:uid="{86C85486-542F-4E3A-A098-C95F088AAFA5}">
      <text>
        <r>
          <rPr>
            <b/>
            <sz val="9"/>
            <color indexed="81"/>
            <rFont val="Tahoma"/>
            <family val="2"/>
          </rPr>
          <t>McAllister, Murdoch:</t>
        </r>
        <r>
          <rPr>
            <sz val="9"/>
            <color indexed="81"/>
            <rFont val="Tahoma"/>
            <family val="2"/>
          </rPr>
          <t xml:space="preserve">
Retroacttive chum fishery harvest rates start here</t>
        </r>
      </text>
    </comment>
    <comment ref="CB54" authorId="0" shapeId="0" xr:uid="{4D8FF3B5-A0C1-4654-A034-8DB914F7DE25}">
      <text>
        <r>
          <rPr>
            <b/>
            <sz val="9"/>
            <color indexed="81"/>
            <rFont val="Tahoma"/>
            <family val="2"/>
          </rPr>
          <t>McAllister, Murdoch:</t>
        </r>
        <r>
          <rPr>
            <sz val="9"/>
            <color indexed="81"/>
            <rFont val="Tahoma"/>
            <family val="2"/>
          </rPr>
          <t xml:space="preserve">
Retroactive steelhead bycatch rates start here</t>
        </r>
      </text>
    </comment>
    <comment ref="CB60" authorId="0" shapeId="0" xr:uid="{A24D3305-DB61-4ECA-B9C2-DFFA8B735A03}">
      <text>
        <r>
          <rPr>
            <b/>
            <sz val="9"/>
            <color indexed="81"/>
            <rFont val="Tahoma"/>
            <family val="2"/>
          </rPr>
          <t>McAllister, Murdoch:</t>
        </r>
        <r>
          <rPr>
            <sz val="9"/>
            <color indexed="81"/>
            <rFont val="Tahoma"/>
            <family val="2"/>
          </rPr>
          <t xml:space="preserve">
Retroactive steelhead bycatch rates start here</t>
        </r>
      </text>
    </comment>
    <comment ref="EN81" authorId="0" shapeId="0" xr:uid="{EB4C1D94-A85B-4DB8-8151-19450ED4CBF7}">
      <text>
        <r>
          <rPr>
            <b/>
            <sz val="9"/>
            <color indexed="81"/>
            <rFont val="Tahoma"/>
            <family val="2"/>
          </rPr>
          <t>McAllister, Murdoch:</t>
        </r>
        <r>
          <rPr>
            <sz val="9"/>
            <color indexed="81"/>
            <rFont val="Tahoma"/>
            <family val="2"/>
          </rPr>
          <t xml:space="preserve">
assuming FN harvest rate in 2017
</t>
        </r>
      </text>
    </comment>
    <comment ref="CI82" authorId="0" shapeId="0" xr:uid="{4DD2F6CC-4321-40AE-9AFA-723416B02258}">
      <text>
        <r>
          <rPr>
            <b/>
            <sz val="9"/>
            <color indexed="81"/>
            <rFont val="Tahoma"/>
            <family val="2"/>
          </rPr>
          <t>McAllister, Murdoch:</t>
        </r>
        <r>
          <rPr>
            <sz val="9"/>
            <color indexed="81"/>
            <rFont val="Tahoma"/>
            <family val="2"/>
          </rPr>
          <t xml:space="preserve">
Assuming FN harvest rate in 2018</t>
        </r>
      </text>
    </comment>
    <comment ref="C83" authorId="0" shapeId="0" xr:uid="{DBADF78B-8396-4449-A673-8710AE9131C2}">
      <text>
        <r>
          <rPr>
            <b/>
            <sz val="9"/>
            <color indexed="81"/>
            <rFont val="Tahoma"/>
            <family val="2"/>
          </rPr>
          <t>McAllister, Murdoch:</t>
        </r>
        <r>
          <rPr>
            <sz val="9"/>
            <color indexed="81"/>
            <rFont val="Tahoma"/>
            <family val="2"/>
          </rPr>
          <t xml:space="preserve">
2020 should not be used to compute log likelihood for chum data</t>
        </r>
      </text>
    </comment>
    <comment ref="D83" authorId="0" shapeId="0" xr:uid="{E7922AB5-2839-46F8-916E-4D315697990B}">
      <text>
        <r>
          <rPr>
            <b/>
            <sz val="9"/>
            <color indexed="81"/>
            <rFont val="Tahoma"/>
            <family val="2"/>
          </rPr>
          <t>McAllister, Murdoch:</t>
        </r>
        <r>
          <rPr>
            <sz val="9"/>
            <color indexed="81"/>
            <rFont val="Tahoma"/>
            <family val="2"/>
          </rPr>
          <t xml:space="preserve">
Spawner counts that can be compared with spawner counts predicted from assumed changes in SSL predation after 2016 start to respond noticeably in 2021, not 2020</t>
        </r>
      </text>
    </comment>
    <comment ref="CI89" authorId="0" shapeId="0" xr:uid="{4C30EC18-5217-4459-9A52-A936EA252F18}">
      <text>
        <r>
          <rPr>
            <b/>
            <sz val="9"/>
            <color indexed="81"/>
            <rFont val="Tahoma"/>
            <family val="2"/>
          </rPr>
          <t>McAllister, Murdoch:</t>
        </r>
        <r>
          <rPr>
            <sz val="9"/>
            <color indexed="81"/>
            <rFont val="Tahoma"/>
            <family val="2"/>
          </rPr>
          <t xml:space="preserve">
Here allowing FNbycatch to be set to zero</t>
        </r>
      </text>
    </comment>
    <comment ref="EN89" authorId="0" shapeId="0" xr:uid="{0340FDB8-70C1-4058-9F8C-B3285F419493}">
      <text>
        <r>
          <rPr>
            <b/>
            <sz val="9"/>
            <color indexed="81"/>
            <rFont val="Tahoma"/>
            <family val="2"/>
          </rPr>
          <t>McAllister, Murdoch:</t>
        </r>
        <r>
          <rPr>
            <sz val="9"/>
            <color indexed="81"/>
            <rFont val="Tahoma"/>
            <family val="2"/>
          </rPr>
          <t xml:space="preserve">
Allow FN bycatch to be zero in future years</t>
        </r>
      </text>
    </comment>
    <comment ref="BO104" authorId="0" shapeId="0" xr:uid="{3A7CFA12-8319-4EC1-AD52-E4949A30E776}">
      <text>
        <r>
          <rPr>
            <b/>
            <sz val="9"/>
            <color indexed="81"/>
            <rFont val="Tahoma"/>
            <family val="2"/>
          </rPr>
          <t>McAllister, Murdoch:</t>
        </r>
        <r>
          <rPr>
            <sz val="9"/>
            <color indexed="81"/>
            <rFont val="Tahoma"/>
            <family val="2"/>
          </rPr>
          <t xml:space="preserve">
20 yr , 10 yr, 5yr prior averages</t>
        </r>
      </text>
    </comment>
    <comment ref="AU105" authorId="0" shapeId="0" xr:uid="{56159957-6982-46D9-81D5-B628CC05DE04}">
      <text>
        <r>
          <rPr>
            <b/>
            <sz val="9"/>
            <color indexed="81"/>
            <rFont val="Tahoma"/>
            <family val="2"/>
          </rPr>
          <t>McAllister, Murdoch:</t>
        </r>
        <r>
          <rPr>
            <sz val="9"/>
            <color indexed="81"/>
            <rFont val="Tahoma"/>
            <family val="2"/>
          </rPr>
          <t xml:space="preserve">
20 yr , 10 yr, 5yr prior averages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A1" authorId="0" shapeId="0" xr:uid="{2E5887DE-554C-4398-A12A-00B2E63E1B5F}">
      <text>
        <r>
          <rPr>
            <b/>
            <sz val="9"/>
            <color indexed="81"/>
            <rFont val="Tahoma"/>
            <family val="2"/>
          </rPr>
          <t>McAllister, Murdoch:</t>
        </r>
        <r>
          <rPr>
            <sz val="9"/>
            <color indexed="81"/>
            <rFont val="Tahoma"/>
            <family val="2"/>
          </rPr>
          <t xml:space="preserve">
I attempt to fit a Ricker model with lag 1 autocorrelation in recruitment deviates in this sheet.</t>
        </r>
      </text>
    </comment>
    <comment ref="F1" authorId="0" shapeId="0" xr:uid="{8DA08D9D-080B-40DA-B036-FF370EB05BE3}">
      <text>
        <r>
          <rPr>
            <b/>
            <sz val="9"/>
            <color indexed="81"/>
            <rFont val="Tahoma"/>
            <family val="2"/>
          </rPr>
          <t>McAllister, Murdoch:</t>
        </r>
        <r>
          <rPr>
            <sz val="9"/>
            <color indexed="81"/>
            <rFont val="Tahoma"/>
            <family val="2"/>
          </rPr>
          <t xml:space="preserve">
This still needs some work and more checking and so it may still needs some corrections to the equations, etc.</t>
        </r>
      </text>
    </comment>
    <comment ref="N12" authorId="0" shapeId="0" xr:uid="{00847BD7-9827-425A-A03B-11ED6DE20040}">
      <text>
        <r>
          <rPr>
            <b/>
            <sz val="9"/>
            <color indexed="81"/>
            <rFont val="Tahoma"/>
            <family val="2"/>
          </rPr>
          <t>McAllister, Murdoch:</t>
        </r>
        <r>
          <rPr>
            <sz val="9"/>
            <color indexed="81"/>
            <rFont val="Tahoma"/>
            <family val="2"/>
          </rPr>
          <t xml:space="preserve">
Need to estimate erv by year and put normal(0, sige^2) prior on each term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<sst xmlns="http://schemas.openxmlformats.org/spreadsheetml/2006/main" count="2522" uniqueCount="483">
  <si>
    <t>N/A</t>
  </si>
  <si>
    <t>Year</t>
  </si>
  <si>
    <t>Strait</t>
  </si>
  <si>
    <t>Harvest</t>
  </si>
  <si>
    <t>Stock</t>
  </si>
  <si>
    <t>Johnstone</t>
  </si>
  <si>
    <t>Georgia.</t>
  </si>
  <si>
    <t>West</t>
  </si>
  <si>
    <t>U.S.</t>
  </si>
  <si>
    <t>Total</t>
  </si>
  <si>
    <t>Strait (a)</t>
  </si>
  <si>
    <t>Coast (b)</t>
  </si>
  <si>
    <t xml:space="preserve"> </t>
  </si>
  <si>
    <t>7&amp;7A</t>
  </si>
  <si>
    <t>All Fraser</t>
  </si>
  <si>
    <t>Harvest (c)</t>
  </si>
  <si>
    <t xml:space="preserve"> Rate</t>
  </si>
  <si>
    <t>Gross (d)</t>
  </si>
  <si>
    <t>Escapement</t>
  </si>
  <si>
    <t xml:space="preserve">Total </t>
  </si>
  <si>
    <t>4B,5,6C</t>
  </si>
  <si>
    <t>St. HR</t>
  </si>
  <si>
    <t xml:space="preserve">West Coast </t>
  </si>
  <si>
    <t>HR</t>
  </si>
  <si>
    <t>Fraser R HR</t>
  </si>
  <si>
    <t>Spawners</t>
  </si>
  <si>
    <t>Returns</t>
  </si>
  <si>
    <t>Harvest Rate d2</t>
  </si>
  <si>
    <t>Harvest Rate d1</t>
  </si>
  <si>
    <t>broodyear</t>
  </si>
  <si>
    <t>spawners</t>
  </si>
  <si>
    <t>hr</t>
  </si>
  <si>
    <t>catch</t>
  </si>
  <si>
    <t>total catch</t>
  </si>
  <si>
    <t>Fraser R</t>
  </si>
  <si>
    <t>Total HR</t>
  </si>
  <si>
    <t>Approx.</t>
  </si>
  <si>
    <t>Total Returns</t>
  </si>
  <si>
    <t>Areas 11 to 13</t>
  </si>
  <si>
    <t>Area 14</t>
  </si>
  <si>
    <t>Areas 20 &amp; 21</t>
  </si>
  <si>
    <t>Areas 7 &amp; 7a</t>
  </si>
  <si>
    <t>Areas 4b, 5, 6c</t>
  </si>
  <si>
    <t>Fraser</t>
  </si>
  <si>
    <t>Gross Escapement</t>
  </si>
  <si>
    <t>Total exploitation rate</t>
  </si>
  <si>
    <t>%dif tot returns</t>
  </si>
  <si>
    <t>%dif gross escape</t>
  </si>
  <si>
    <t>Gross Esc+catch</t>
  </si>
  <si>
    <t>total return</t>
  </si>
  <si>
    <t>%dif with Grant</t>
  </si>
  <si>
    <t>Source</t>
  </si>
  <si>
    <t>Cass</t>
  </si>
  <si>
    <t>Brittany</t>
  </si>
  <si>
    <t xml:space="preserve">Source </t>
  </si>
  <si>
    <t>Grant</t>
  </si>
  <si>
    <t>Grant vs. Cass</t>
  </si>
  <si>
    <t>recruits</t>
  </si>
  <si>
    <t>Age 3</t>
  </si>
  <si>
    <t>Age 4</t>
  </si>
  <si>
    <t>Age 5</t>
  </si>
  <si>
    <t>Age 6</t>
  </si>
  <si>
    <t>Recruits</t>
  </si>
  <si>
    <t>%dif Spa</t>
  </si>
  <si>
    <t>%dif Rec</t>
  </si>
  <si>
    <t>Harvest Rate</t>
  </si>
  <si>
    <t>recruits produced at age from Brood Year</t>
  </si>
  <si>
    <t>total Run</t>
  </si>
  <si>
    <t>harvest rate</t>
  </si>
  <si>
    <t>%dif spawn</t>
  </si>
  <si>
    <t>%dif hr</t>
  </si>
  <si>
    <t>Haley's Best S/R</t>
  </si>
  <si>
    <t>Brood year</t>
  </si>
  <si>
    <t>Haley</t>
  </si>
  <si>
    <t>total Stock, hr from Grant then Brittany</t>
  </si>
  <si>
    <t>Improved recruits starting 1990</t>
  </si>
  <si>
    <t>%dif, Haleys vs digitized</t>
  </si>
  <si>
    <t>Cass, Grant, Digitized, Haley's S/R</t>
  </si>
  <si>
    <t>For recruits</t>
  </si>
  <si>
    <t>tot stock digitized from DFO 2023</t>
  </si>
  <si>
    <t>Digitized from DFO 2023 slide set</t>
  </si>
  <si>
    <t>ln(R/S)(H)</t>
  </si>
  <si>
    <t>ln(R/S)(D)</t>
  </si>
  <si>
    <t>Spawners (D)</t>
  </si>
  <si>
    <t>SpawnC</t>
  </si>
  <si>
    <t>RecruitC</t>
  </si>
  <si>
    <t>lnRSC</t>
  </si>
  <si>
    <t>CatchC</t>
  </si>
  <si>
    <t>Total stock</t>
  </si>
  <si>
    <t>NPGO</t>
  </si>
  <si>
    <t>smolt.sst</t>
  </si>
  <si>
    <t>pink</t>
  </si>
  <si>
    <t>SeaLions</t>
  </si>
  <si>
    <t>adult.sst</t>
  </si>
  <si>
    <t>PDO</t>
  </si>
  <si>
    <t>NA</t>
  </si>
  <si>
    <t>Murdoch</t>
  </si>
  <si>
    <t>Brittany tot. stock</t>
  </si>
  <si>
    <t>Using age prop. by yr from 1996-2017</t>
  </si>
  <si>
    <t>mean p age</t>
  </si>
  <si>
    <t>mean</t>
  </si>
  <si>
    <t>sd</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</si>
  <si>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</si>
  <si>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</si>
  <si>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</si>
  <si>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</si>
  <si>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</si>
  <si>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</si>
  <si>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</si>
  <si>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</si>
  <si>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</si>
  <si>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</si>
  <si>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</si>
  <si>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</si>
  <si>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</si>
  <si>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</si>
  <si>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</si>
  <si>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</si>
  <si>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</si>
  <si>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</si>
  <si>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</si>
  <si>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</si>
  <si>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</si>
  <si>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</si>
  <si>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</si>
  <si>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RESIDUAL OUTPUT</t>
  </si>
  <si>
    <t>Observation</t>
  </si>
  <si>
    <t>Predicted lnRSC</t>
  </si>
  <si>
    <t>Residuals</t>
  </si>
  <si>
    <t>Standard Residuals</t>
  </si>
  <si>
    <t>alpha(y)</t>
  </si>
  <si>
    <t>Haley's Recruits with some infill from mkm</t>
  </si>
  <si>
    <t>alpha(y), SSL, smolt SST</t>
  </si>
  <si>
    <t>lag 1</t>
  </si>
  <si>
    <t>ln(R/S)</t>
  </si>
  <si>
    <t>ar</t>
  </si>
  <si>
    <t>br</t>
  </si>
  <si>
    <t>sigr</t>
  </si>
  <si>
    <t>rho</t>
  </si>
  <si>
    <t>pred lnRS</t>
  </si>
  <si>
    <t>erv</t>
  </si>
  <si>
    <t>erv*sq(1-rsq)</t>
  </si>
  <si>
    <t>wt</t>
  </si>
  <si>
    <t>prior on erv</t>
  </si>
  <si>
    <t>sum</t>
  </si>
  <si>
    <t>negLL</t>
  </si>
  <si>
    <t>objfn</t>
  </si>
  <si>
    <t>sigev</t>
  </si>
  <si>
    <t>dev pred*rho</t>
  </si>
  <si>
    <t>wt sq</t>
  </si>
  <si>
    <t>dev sqr</t>
  </si>
  <si>
    <t>dev y+1</t>
  </si>
  <si>
    <t>var</t>
  </si>
  <si>
    <t>sigma</t>
  </si>
  <si>
    <t>mt-sq</t>
  </si>
  <si>
    <t>Best S-R data</t>
  </si>
  <si>
    <t>SSLs controlled</t>
  </si>
  <si>
    <t>SSLs, control stopped 1970</t>
  </si>
  <si>
    <t>10 Yr Moving average</t>
  </si>
  <si>
    <t>Recruits from SSL only</t>
  </si>
  <si>
    <t>pred recruits</t>
  </si>
  <si>
    <t>aquaculture.production</t>
  </si>
  <si>
    <t>MODEL:</t>
  </si>
  <si>
    <t>Model 1</t>
  </si>
  <si>
    <t>Model 2</t>
  </si>
  <si>
    <t>Model 3b</t>
  </si>
  <si>
    <t>Model 3a</t>
  </si>
  <si>
    <t>3a</t>
  </si>
  <si>
    <t>3b</t>
  </si>
  <si>
    <t>Model 4b</t>
  </si>
  <si>
    <t>4b</t>
  </si>
  <si>
    <t>Simple Ricker Model</t>
  </si>
  <si>
    <t>Model</t>
  </si>
  <si>
    <t>alpha(y) ( SSL, PDO, NPGO)</t>
  </si>
  <si>
    <t>alpha(y) (Aquac, PDO, NPGO)</t>
  </si>
  <si>
    <t>Recruits (Aquac, PDO, NPGO)</t>
  </si>
  <si>
    <t>10 Yr Moving Average</t>
  </si>
  <si>
    <t>10 yr moving average</t>
  </si>
  <si>
    <t>Recruits(SP, Smolt SST, SSL, NPGO)</t>
  </si>
  <si>
    <t>Recruits(SP, SSL, PDO, NPGO)</t>
  </si>
  <si>
    <t>St. resid y+1</t>
  </si>
  <si>
    <t>Recruits  (Spawn, SSLC, smolt SST, PDO, NPGO)</t>
  </si>
  <si>
    <t>alpha(y) ( SSL, smolt SST, NPGO)</t>
  </si>
  <si>
    <t>alpha(y) ( SSL, smolt SST, PDO, NPGO)</t>
  </si>
  <si>
    <t>Recruits (Spawn, SSL, smolt SST, PDO, NPGO)</t>
  </si>
  <si>
    <t>neglnprior</t>
  </si>
  <si>
    <t>PDO - smolt in year</t>
  </si>
  <si>
    <t>PDO juvenile</t>
  </si>
  <si>
    <t>PDO adult</t>
  </si>
  <si>
    <t>Aqua-culture</t>
  </si>
  <si>
    <t>4a</t>
  </si>
  <si>
    <t>Model 4a</t>
  </si>
  <si>
    <t>alpha(y) ( SSL, smolt SST, PDO smolt, PDO adult, NPGO)</t>
  </si>
  <si>
    <t>3c</t>
  </si>
  <si>
    <t>PDO - adult</t>
  </si>
  <si>
    <t>Model 3c</t>
  </si>
  <si>
    <t>BEST MODEL!</t>
  </si>
  <si>
    <t>alpha(y) SSL, adult PDO, NPGO</t>
  </si>
  <si>
    <t>Recruits (Spawn, SSL, PDO, NPGO)</t>
  </si>
  <si>
    <t>est sigr</t>
  </si>
  <si>
    <t>dev pred lnRS</t>
  </si>
  <si>
    <t>Never aquaculture</t>
  </si>
  <si>
    <t>alpha(y) (Spawn, SSL_Control, PDO adult, PDO smolt, NPGO)</t>
  </si>
  <si>
    <t>alpha(y) (Spawn, No aquacult, PDO adult, PDO smolt, NPGO)</t>
  </si>
  <si>
    <t>Recruits (Spawn, no Aquacult, PDO adult, PDO smolt, NPGO)</t>
  </si>
  <si>
    <t>Model 5</t>
  </si>
  <si>
    <t>Deviate</t>
  </si>
  <si>
    <t>Recruits_Obs</t>
  </si>
  <si>
    <t>ln(Robs/Rpred)</t>
  </si>
  <si>
    <t>page 3</t>
  </si>
  <si>
    <t>page 4</t>
  </si>
  <si>
    <t>page 5</t>
  </si>
  <si>
    <t>page 6</t>
  </si>
  <si>
    <t>Nage3</t>
  </si>
  <si>
    <t>Nage4</t>
  </si>
  <si>
    <t>Nage5</t>
  </si>
  <si>
    <t>Nage6</t>
  </si>
  <si>
    <t>Nage based on Predicted Recruits Model 4a</t>
  </si>
  <si>
    <t>Sum Predicted</t>
  </si>
  <si>
    <t>BEST</t>
  </si>
  <si>
    <t>Nage based on Observed total stock</t>
  </si>
  <si>
    <t>BroodYear</t>
  </si>
  <si>
    <t>St</t>
  </si>
  <si>
    <t>Rt</t>
  </si>
  <si>
    <t>year</t>
  </si>
  <si>
    <t>Dev. from actual Tot. Stock</t>
  </si>
  <si>
    <t>Catch</t>
  </si>
  <si>
    <t>U calc</t>
  </si>
  <si>
    <t>Udif</t>
  </si>
  <si>
    <t>Uapply</t>
  </si>
  <si>
    <t>pdo_adult</t>
  </si>
  <si>
    <t>pdo_smolt</t>
  </si>
  <si>
    <t>total stock</t>
  </si>
  <si>
    <t>alpha_con</t>
  </si>
  <si>
    <t>model 4a</t>
  </si>
  <si>
    <t>Chum</t>
  </si>
  <si>
    <t>Steelhead</t>
  </si>
  <si>
    <t>Thompson</t>
  </si>
  <si>
    <t>SST</t>
  </si>
  <si>
    <t>P4</t>
  </si>
  <si>
    <t>P5</t>
  </si>
  <si>
    <t>P6</t>
  </si>
  <si>
    <t>P7</t>
  </si>
  <si>
    <t>P8</t>
  </si>
  <si>
    <t>smolt age</t>
  </si>
  <si>
    <t>Mortalities in terminal FN fisheries</t>
  </si>
  <si>
    <t>Mortalities in sport</t>
  </si>
  <si>
    <t>Ut in salmon bycatch</t>
  </si>
  <si>
    <t>Predicted bycatch</t>
  </si>
  <si>
    <t>Prefishery N</t>
  </si>
  <si>
    <t>Uchum</t>
  </si>
  <si>
    <t>Ushth</t>
  </si>
  <si>
    <t>Ustth</t>
  </si>
  <si>
    <t>Uchum grid</t>
  </si>
  <si>
    <t>Ush grid</t>
  </si>
  <si>
    <t>RecruitSHTH(y)</t>
  </si>
  <si>
    <t>N4</t>
  </si>
  <si>
    <t>N5</t>
  </si>
  <si>
    <t>N6</t>
  </si>
  <si>
    <t>N7</t>
  </si>
  <si>
    <t>N8</t>
  </si>
  <si>
    <t>Bycatch in chum fishery</t>
  </si>
  <si>
    <t>Total catch</t>
  </si>
  <si>
    <t>total fishing mortality rate</t>
  </si>
  <si>
    <t>Recruits/1000(y)</t>
  </si>
  <si>
    <t>Chum spawners</t>
  </si>
  <si>
    <t>Thompson SH spawners</t>
  </si>
  <si>
    <t>SeaLions - actual</t>
  </si>
  <si>
    <t>Sea Lions - controls continued</t>
  </si>
  <si>
    <t>For SH</t>
  </si>
  <si>
    <t>SSLcontrol</t>
  </si>
  <si>
    <t>Chum SSLC Recruits  (Spawn, SSLC, smolt SST, PDO, NPGO)</t>
  </si>
  <si>
    <t>Chum SSLC alpha(y) (Spawn, SSL_Control, PDO adult, PDO smolt, NPGO)</t>
  </si>
  <si>
    <t>SH TH base alpha(y) (spawn, SSLs, SST)</t>
  </si>
  <si>
    <t>0.69*Uchum</t>
  </si>
  <si>
    <t>byrate</t>
  </si>
  <si>
    <t>Chilcotin</t>
  </si>
  <si>
    <t>Chilcotin SH spawners</t>
  </si>
  <si>
    <t>STHD Chilcotin alpha SSL controls</t>
  </si>
  <si>
    <t>Chum catch</t>
  </si>
  <si>
    <t>SSL at zero</t>
  </si>
  <si>
    <t>meanq</t>
  </si>
  <si>
    <t>sdq</t>
  </si>
  <si>
    <t>SSLavg</t>
  </si>
  <si>
    <t>SSLsd</t>
  </si>
  <si>
    <t>Total run before predation</t>
  </si>
  <si>
    <t>Steller sea lion abundance</t>
  </si>
  <si>
    <t>chums eaten per predator</t>
  </si>
  <si>
    <t>sslsdc</t>
  </si>
  <si>
    <t>scaled to T SH years</t>
  </si>
  <si>
    <t>SSL_abundance</t>
  </si>
  <si>
    <t>U_BC_IFRS</t>
  </si>
  <si>
    <t>U_chum</t>
  </si>
  <si>
    <t>Recent</t>
  </si>
  <si>
    <t>Future</t>
  </si>
  <si>
    <t>chum pre-1990s alpha</t>
  </si>
  <si>
    <t>Thomp pre-1990s alpha</t>
  </si>
  <si>
    <t>average pre-1990s alpha Chilcotin</t>
  </si>
  <si>
    <t>Predicted ln(R/S)</t>
  </si>
  <si>
    <t>Uhistoric</t>
  </si>
  <si>
    <t>pred spawn Thomp 2025</t>
  </si>
  <si>
    <t>pred spawn Chilcot 2025</t>
  </si>
  <si>
    <t>Thomp. SH spawners count</t>
  </si>
  <si>
    <t>Chilcotin SH spawners count</t>
  </si>
  <si>
    <t>(pred-obs)/obs</t>
  </si>
  <si>
    <t>Sp pred by assumed alpha</t>
  </si>
  <si>
    <t>%(pred-count)/count</t>
  </si>
  <si>
    <t>avg% dev</t>
  </si>
  <si>
    <t>average%dif</t>
  </si>
  <si>
    <t>ndata</t>
  </si>
  <si>
    <t>sigmaTH</t>
  </si>
  <si>
    <t>sigmaCH</t>
  </si>
  <si>
    <t>negloglik</t>
  </si>
  <si>
    <t>deltaPred</t>
  </si>
  <si>
    <t>(ln(pred)-ln(obs))^2</t>
  </si>
  <si>
    <t>sumsq</t>
  </si>
  <si>
    <t>sdd</t>
  </si>
  <si>
    <t>sddc</t>
  </si>
  <si>
    <t>DeltaSSL</t>
  </si>
  <si>
    <t>base case</t>
  </si>
  <si>
    <t>deltaSSL_future</t>
  </si>
  <si>
    <t>sigmacomb</t>
  </si>
  <si>
    <t>vartot</t>
  </si>
  <si>
    <t>sdtot</t>
  </si>
  <si>
    <t>sumsqtot</t>
  </si>
  <si>
    <t>AIC</t>
  </si>
  <si>
    <t>deltaAIC</t>
  </si>
  <si>
    <t>nparams</t>
  </si>
  <si>
    <t>Chum Spawner Count</t>
  </si>
  <si>
    <t>Predicted chum spawners</t>
  </si>
  <si>
    <t>ln(obs/pred)^2</t>
  </si>
  <si>
    <t>ndatachum</t>
  </si>
  <si>
    <t>sumsqchum</t>
  </si>
  <si>
    <t>ndatatot</t>
  </si>
  <si>
    <t>Chum salmon</t>
  </si>
  <si>
    <t>long term avg eaten/ predator/yr</t>
  </si>
  <si>
    <t>min</t>
  </si>
  <si>
    <t>max</t>
  </si>
  <si>
    <t>avg prd Chum spawn after 2016</t>
  </si>
  <si>
    <t>pred-obs</t>
  </si>
  <si>
    <t>BaseUapply</t>
  </si>
  <si>
    <t>long term pred rate</t>
  </si>
  <si>
    <t>Simple Ricker</t>
  </si>
  <si>
    <t>RKWs</t>
  </si>
  <si>
    <t>RKW</t>
  </si>
  <si>
    <t>Model 6</t>
  </si>
  <si>
    <t>Model 7</t>
  </si>
  <si>
    <t>1951-2016</t>
  </si>
  <si>
    <t>All years with RKW imputed from earlier years to 1974</t>
  </si>
  <si>
    <t>Using data only from 1975 for RKW index</t>
  </si>
  <si>
    <t>lnRSChum</t>
  </si>
  <si>
    <t>Predicted lnRSChum</t>
  </si>
  <si>
    <t>sigmaChum</t>
  </si>
  <si>
    <t>alphaV</t>
  </si>
  <si>
    <t>20 yr</t>
  </si>
  <si>
    <t>10 yr</t>
  </si>
  <si>
    <t>5 yr</t>
  </si>
  <si>
    <t>Frequency</t>
  </si>
  <si>
    <t>avrg catch of Chum salmon 2024-2040</t>
  </si>
  <si>
    <t>slopea10</t>
  </si>
  <si>
    <t>alpha</t>
  </si>
  <si>
    <t>slope10</t>
  </si>
  <si>
    <t>slope</t>
  </si>
  <si>
    <t>AlphaV setting</t>
  </si>
  <si>
    <t>Avg alpha_past 20 yr</t>
  </si>
  <si>
    <t>Avg alpha_past 10 yr</t>
  </si>
  <si>
    <t>Avg alpha_past 5 yr</t>
  </si>
  <si>
    <t>project past 10 yr trend in alpha</t>
  </si>
  <si>
    <t>avg Thomp spawn 1991-2024</t>
  </si>
  <si>
    <t>avg Chilcotin spawn 1991-2024</t>
  </si>
  <si>
    <t>SSL abundance relative</t>
  </si>
  <si>
    <t>chums killed per predator</t>
  </si>
  <si>
    <t>percentage killed by predators</t>
  </si>
  <si>
    <t>fraction of run killed by predators</t>
  </si>
  <si>
    <t>Total killed by predators</t>
  </si>
  <si>
    <t>running avg chums killed per predator</t>
  </si>
  <si>
    <t>Average chums killed /SSL 1951-2016</t>
  </si>
  <si>
    <t>Mean alpha prior to 1991 for chums</t>
  </si>
  <si>
    <t>Mean alpha for chums after 1990</t>
  </si>
  <si>
    <t>Mean alpha prior to 1991 for Thompson SH</t>
  </si>
  <si>
    <t>Mean alpha for Thompson SH after 1990</t>
  </si>
  <si>
    <t>Mean alpha prior to 1991 for Chilcotin SH</t>
  </si>
  <si>
    <t>Mean alpha for Chilcotin SH after 1990</t>
  </si>
  <si>
    <t>Mean alpha for Thompson SH 1999-2018</t>
  </si>
  <si>
    <t>Mean alpha for Fraser Chum 1997-2016</t>
  </si>
  <si>
    <t>Mean alpha for Chiltcotin SH 1998-2017</t>
  </si>
  <si>
    <t>avg Thomp spawn prior to 1991</t>
  </si>
  <si>
    <t>avg Chilcotin spawn prior to 1991</t>
  </si>
  <si>
    <t>chums kill per predator per day</t>
  </si>
  <si>
    <t>Avg chum harv. rate 2021-2023</t>
  </si>
  <si>
    <t>avg recruits Thompson 2011-18</t>
  </si>
  <si>
    <t>avg recruits Chilcotin 2011-2017</t>
  </si>
  <si>
    <t>avg Thompson spawners after 2025</t>
  </si>
  <si>
    <t>avg Chilcotin spawners after 2025</t>
  </si>
  <si>
    <t>bycatchU</t>
  </si>
  <si>
    <t>slope THSP</t>
  </si>
  <si>
    <t>slopeCHSH</t>
  </si>
  <si>
    <t>TotUTHSH</t>
  </si>
  <si>
    <t>TotUCHSH</t>
  </si>
  <si>
    <t>FNbycatch</t>
  </si>
  <si>
    <t>Sea lions abundance</t>
  </si>
  <si>
    <t>Chum commercial fishery harvest rate</t>
  </si>
  <si>
    <t>SH mortality rate in commercial fishery</t>
  </si>
  <si>
    <t>Chum SH alpha</t>
  </si>
  <si>
    <t>Chilcotin SH alpha</t>
  </si>
  <si>
    <t>Thompson SH alpha</t>
  </si>
  <si>
    <t>Lower columbia SLs</t>
  </si>
  <si>
    <t>Chinook eaten</t>
  </si>
  <si>
    <t>eaten/SL</t>
  </si>
  <si>
    <t>%change</t>
  </si>
  <si>
    <t>avg catch</t>
  </si>
  <si>
    <t>avrg catch of Chum salmon 1991-2023</t>
  </si>
  <si>
    <t>FNFTSH</t>
  </si>
  <si>
    <t>FNFCHSH</t>
  </si>
  <si>
    <t>FN F</t>
  </si>
  <si>
    <t>zero SSL</t>
  </si>
  <si>
    <t>chum SSLZ</t>
  </si>
  <si>
    <t>thompSSLz</t>
  </si>
  <si>
    <t>chum salmon</t>
  </si>
  <si>
    <t>Thompson SH</t>
  </si>
  <si>
    <t>Chilcotin SH</t>
  </si>
  <si>
    <t xml:space="preserve">Age 7 </t>
  </si>
  <si>
    <t>Age 8</t>
  </si>
  <si>
    <t>Age 7</t>
  </si>
  <si>
    <t xml:space="preserve">chum   </t>
  </si>
  <si>
    <t>thomspon</t>
  </si>
  <si>
    <t>SSLs</t>
  </si>
  <si>
    <t>chilcotSSLz</t>
  </si>
  <si>
    <t>thompson</t>
  </si>
  <si>
    <t>chilcotin</t>
  </si>
  <si>
    <t>Thomp</t>
  </si>
  <si>
    <t>Chiltcot</t>
  </si>
  <si>
    <t>chum</t>
  </si>
  <si>
    <t>Chilcot</t>
  </si>
  <si>
    <t>SH kill per predator per day</t>
  </si>
  <si>
    <t>rundays</t>
  </si>
  <si>
    <t>long-term avg eaten per SSL/yr</t>
  </si>
  <si>
    <t>min\</t>
  </si>
  <si>
    <t>max\</t>
  </si>
  <si>
    <t>Chum/SSL</t>
  </si>
  <si>
    <t>Fraction killed</t>
  </si>
  <si>
    <t>Fraction of Thompson run killed by predators</t>
  </si>
  <si>
    <t>Fraction of Chilcotin run killed by predators</t>
  </si>
  <si>
    <t>Steller sea lion abundance seen by CH SH</t>
  </si>
  <si>
    <t>See by:</t>
  </si>
  <si>
    <t>Normalized</t>
  </si>
  <si>
    <t>MinFlow</t>
  </si>
  <si>
    <t>AVG TSH BYC FUT</t>
  </si>
  <si>
    <t>AVG cSH BYC FUT</t>
  </si>
  <si>
    <t>Total TH  run before predation</t>
  </si>
  <si>
    <t>Total CH run before predation</t>
  </si>
  <si>
    <t>Total CH killed by predators</t>
  </si>
  <si>
    <t># CH SH killed per predator</t>
  </si>
  <si>
    <t># TH SH killed per predator</t>
  </si>
  <si>
    <t>Total killed by predators lag 4</t>
  </si>
  <si>
    <t>value</t>
  </si>
  <si>
    <t xml:space="preserve"> million dollars</t>
  </si>
  <si>
    <t>Units</t>
  </si>
  <si>
    <t>weight</t>
  </si>
  <si>
    <t>million kgs</t>
  </si>
  <si>
    <t>value/kg</t>
  </si>
  <si>
    <t>weight /fish</t>
  </si>
  <si>
    <t>kg</t>
  </si>
  <si>
    <t>value per fish</t>
  </si>
  <si>
    <t>rounded up</t>
  </si>
  <si>
    <t>CDN dollars</t>
  </si>
  <si>
    <t>no change in predation</t>
  </si>
  <si>
    <t>SH TH base alpha(y) (SSL+SST)</t>
  </si>
  <si>
    <t>Chum base alpha(y) (SSL, PDO smolt, PDO adult, NPGO)</t>
  </si>
  <si>
    <t>SH CH Base alpha(SSL, NPGO, PDO smolt)</t>
  </si>
  <si>
    <t>ln(Robs/Spawners)</t>
  </si>
  <si>
    <t>Predicted chum ln(R/S)</t>
  </si>
  <si>
    <t>thomp a last 5</t>
  </si>
  <si>
    <t>chilc a last 5</t>
  </si>
  <si>
    <t>SSL abundance relative to minimum</t>
  </si>
  <si>
    <t>Total recruits after predation</t>
  </si>
  <si>
    <t>Total TH recruits after predation</t>
  </si>
  <si>
    <t>Total CH recruits after predation</t>
  </si>
  <si>
    <t>CH brood year spawners</t>
  </si>
  <si>
    <t>TH brood year spawners</t>
  </si>
  <si>
    <t>Total CH run killed by predators</t>
  </si>
  <si>
    <t>Total TH run killed by predators</t>
  </si>
  <si>
    <t>Total run before predation lag 4 (don't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</si>
</sst>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
    <numFmt numFmtId="167" formatCode="0.0000%"/>
    <numFmt numFmtId="168" formatCode="0.000000"/>
    <numFmt numFmtId="169" formatCode="0.000"/>
    <numFmt numFmtId="170" formatCode="0.00000"/>
    <numFmt numFmtId="171" formatCode="0.0E+00"/>
    <numFmt numFmtId="172" formatCode="0.0"/>
  </numFmts>
  <fonts count="16"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i/>
      <sz val="11"/>
      <color theme="1"/>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
      <b/>
      <sz val="16"/>
      <color theme="1"/>
      <name val="Calibri"/>
      <family val="2"/>
      <scheme val="minor"/>
    </font>
    <font>
      <b/>
      <sz val="11"/>
      <color rgb="FFFF0000"/>
      <name val="Calibri"/>
      <family val="2"/>
      <scheme val="minor"/>
    </font>
    <font>
      <b/>
      <sz val="9"/>
      <color rgb="FFFF0000"/>
      <name val="Calibri"/>
      <family val="2"/>
      <scheme val="minor"/>
    </font>
  </fonts>
  <fills count="26">
    <fill>
      <patternFill patternType="none"/>
    </fill>
    <fill>
      <patternFill patternType="gray125"/>
    </fill>
    <fill>
      <patternFill patternType="solid">
        <fgColor theme="8" tint="0.59999389629810485"/>
        <bgColor indexed="64"/>
      </patternFill>
    </fill>
    <fill>
      <patternFill patternType="solid">
        <fgColor theme="7"/>
        <bgColor indexed="64"/>
      </patternFill>
    </fill>
    <fill>
      <patternFill patternType="solid">
        <fgColor rgb="FFFF0000"/>
        <bgColor indexed="64"/>
      </patternFill>
    </fill>
    <fill>
      <patternFill patternType="solid">
        <fgColor rgb="FF66FF99"/>
        <bgColor indexed="64"/>
      </patternFill>
    </fill>
    <fill>
      <patternFill patternType="solid">
        <fgColor theme="5" tint="0.39997558519241921"/>
        <bgColor indexed="64"/>
      </patternFill>
    </fill>
    <fill>
      <patternFill patternType="solid">
        <fgColor rgb="FFFF66FF"/>
        <bgColor indexed="64"/>
      </patternFill>
    </fill>
    <fill>
      <patternFill patternType="solid">
        <fgColor rgb="FFFFCCFF"/>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theme="2"/>
        <bgColor indexed="64"/>
      </patternFill>
    </fill>
    <fill>
      <patternFill patternType="solid">
        <fgColor rgb="FF66FF33"/>
        <bgColor indexed="64"/>
      </patternFill>
    </fill>
    <fill>
      <patternFill patternType="solid">
        <fgColor rgb="FFFF6699"/>
        <bgColor indexed="64"/>
      </patternFill>
    </fill>
    <fill>
      <patternFill patternType="solid">
        <fgColor rgb="FFFF7C80"/>
        <bgColor indexed="64"/>
      </patternFill>
    </fill>
  </fills>
  <borders count="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4">
    <xf numFmtId="0" fontId="0" fillId="0" borderId="0" xfId="0"/>
    <xf numFmtId="9"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xf>
    <xf numFmtId="3" fontId="0" fillId="0" borderId="0" xfId="0" applyNumberFormat="1"/>
    <xf numFmtId="9" fontId="0" fillId="0" borderId="0" xfId="0" applyNumberFormat="1"/>
    <xf numFmtId="164" fontId="0" fillId="0" borderId="0" xfId="0" applyNumberFormat="1"/>
    <xf numFmtId="165" fontId="0" fillId="0" borderId="0" xfId="0" applyNumberFormat="1"/>
    <xf numFmtId="0" fontId="0" fillId="0" borderId="0" xfId="0" applyAlignment="1">
      <alignment wrapText="1"/>
    </xf>
    <xf numFmtId="9" fontId="0" fillId="0" borderId="0" xfId="0" applyNumberFormat="1" applyAlignment="1">
      <alignment wrapText="1"/>
    </xf>
    <xf numFmtId="0" fontId="0" fillId="2" borderId="0" xfId="0" applyFill="1" applyAlignment="1">
      <alignment wrapText="1"/>
    </xf>
    <xf numFmtId="3" fontId="0" fillId="2" borderId="0" xfId="0" applyNumberFormat="1" applyFill="1"/>
    <xf numFmtId="0" fontId="0" fillId="3" borderId="0" xfId="0" applyFill="1"/>
    <xf numFmtId="3" fontId="0" fillId="3" borderId="0" xfId="0" applyNumberFormat="1" applyFill="1"/>
    <xf numFmtId="0" fontId="0" fillId="3" borderId="0" xfId="0" applyFill="1" applyAlignment="1">
      <alignment wrapText="1"/>
    </xf>
    <xf numFmtId="3" fontId="0" fillId="3" borderId="0" xfId="0" applyNumberFormat="1" applyFill="1" applyAlignment="1">
      <alignment horizontal="center"/>
    </xf>
    <xf numFmtId="0" fontId="0" fillId="2" borderId="0" xfId="0" applyFill="1"/>
    <xf numFmtId="3" fontId="0" fillId="2" borderId="0" xfId="0" applyNumberFormat="1" applyFill="1" applyAlignment="1">
      <alignment horizontal="center"/>
    </xf>
    <xf numFmtId="0" fontId="0" fillId="4" borderId="0" xfId="0" applyFill="1"/>
    <xf numFmtId="10" fontId="0" fillId="0" borderId="0" xfId="0" applyNumberFormat="1"/>
    <xf numFmtId="0" fontId="0" fillId="5" borderId="0" xfId="0" applyFill="1" applyAlignment="1">
      <alignment wrapText="1"/>
    </xf>
    <xf numFmtId="3" fontId="0" fillId="5" borderId="0" xfId="0" applyNumberFormat="1" applyFill="1"/>
    <xf numFmtId="0" fontId="0" fillId="0" borderId="1" xfId="0" applyBorder="1"/>
    <xf numFmtId="0" fontId="0" fillId="0" borderId="2" xfId="0" applyBorder="1"/>
    <xf numFmtId="0" fontId="0" fillId="6" borderId="0" xfId="0" applyFill="1"/>
    <xf numFmtId="2" fontId="0" fillId="0" borderId="0" xfId="0" applyNumberFormat="1"/>
    <xf numFmtId="9" fontId="0" fillId="7" borderId="0" xfId="0" applyNumberFormat="1" applyFill="1" applyAlignment="1">
      <alignment horizontal="center"/>
    </xf>
    <xf numFmtId="9" fontId="0" fillId="8" borderId="0" xfId="0" applyNumberFormat="1" applyFill="1"/>
    <xf numFmtId="3" fontId="0" fillId="8" borderId="0" xfId="0" applyNumberFormat="1" applyFill="1"/>
    <xf numFmtId="0" fontId="0" fillId="8" borderId="0" xfId="0" applyFill="1" applyAlignment="1">
      <alignment wrapText="1"/>
    </xf>
    <xf numFmtId="3" fontId="0" fillId="9" borderId="0" xfId="0" applyNumberFormat="1" applyFill="1"/>
    <xf numFmtId="3" fontId="0" fillId="10" borderId="0" xfId="0" applyNumberFormat="1" applyFill="1"/>
    <xf numFmtId="0" fontId="0" fillId="9" borderId="0" xfId="0" applyFill="1" applyAlignment="1">
      <alignment wrapText="1"/>
    </xf>
    <xf numFmtId="9" fontId="0" fillId="9" borderId="0" xfId="0" applyNumberFormat="1" applyFill="1"/>
    <xf numFmtId="3" fontId="0" fillId="11" borderId="0" xfId="0" applyNumberFormat="1" applyFill="1"/>
    <xf numFmtId="3" fontId="0" fillId="12" borderId="0" xfId="0" applyNumberFormat="1" applyFill="1"/>
    <xf numFmtId="0" fontId="0" fillId="12" borderId="0" xfId="0" applyFill="1"/>
    <xf numFmtId="9" fontId="0" fillId="0" borderId="0" xfId="0" applyNumberFormat="1" applyFill="1" applyAlignment="1">
      <alignment horizontal="center"/>
    </xf>
    <xf numFmtId="3" fontId="0" fillId="13" borderId="0" xfId="0" applyNumberFormat="1" applyFill="1"/>
    <xf numFmtId="3" fontId="0" fillId="14" borderId="0" xfId="0" applyNumberFormat="1" applyFill="1"/>
    <xf numFmtId="9" fontId="0" fillId="15" borderId="0" xfId="0" applyNumberFormat="1" applyFill="1"/>
    <xf numFmtId="3" fontId="4" fillId="9" borderId="0" xfId="0" applyNumberFormat="1" applyFont="1" applyFill="1" applyAlignment="1">
      <alignment wrapText="1"/>
    </xf>
    <xf numFmtId="3" fontId="0" fillId="16" borderId="0" xfId="0" applyNumberFormat="1" applyFill="1"/>
    <xf numFmtId="166" fontId="0" fillId="0" borderId="0" xfId="0" applyNumberFormat="1"/>
    <xf numFmtId="167" fontId="0" fillId="0" borderId="0" xfId="0" applyNumberFormat="1"/>
    <xf numFmtId="0" fontId="0" fillId="0" borderId="0" xfId="0" applyFill="1" applyBorder="1" applyAlignment="1"/>
    <xf numFmtId="0" fontId="0" fillId="0" borderId="3" xfId="0" applyFill="1" applyBorder="1" applyAlignment="1"/>
    <xf numFmtId="0" fontId="5" fillId="0" borderId="4" xfId="0" applyFont="1" applyFill="1" applyBorder="1" applyAlignment="1">
      <alignment horizontal="center"/>
    </xf>
    <xf numFmtId="0" fontId="5" fillId="0" borderId="4" xfId="0" applyFont="1" applyFill="1" applyBorder="1" applyAlignment="1">
      <alignment horizontal="centerContinuous"/>
    </xf>
    <xf numFmtId="2" fontId="0" fillId="0" borderId="0" xfId="0" applyNumberFormat="1" applyFill="1" applyBorder="1" applyAlignment="1"/>
    <xf numFmtId="0" fontId="5" fillId="0" borderId="0" xfId="0" applyFont="1" applyFill="1" applyBorder="1" applyAlignment="1">
      <alignment horizontal="center"/>
    </xf>
    <xf numFmtId="168" fontId="0" fillId="0" borderId="0" xfId="0" applyNumberFormat="1"/>
    <xf numFmtId="166" fontId="4" fillId="0" borderId="0" xfId="0" applyNumberFormat="1" applyFont="1"/>
    <xf numFmtId="0" fontId="0" fillId="9" borderId="0" xfId="0" applyFill="1" applyBorder="1" applyAlignment="1"/>
    <xf numFmtId="0" fontId="0" fillId="9" borderId="3" xfId="0" applyFill="1" applyBorder="1" applyAlignment="1"/>
    <xf numFmtId="0" fontId="0" fillId="9" borderId="0" xfId="0" applyFill="1"/>
    <xf numFmtId="0" fontId="6" fillId="7" borderId="0" xfId="0" applyFont="1" applyFill="1"/>
    <xf numFmtId="169" fontId="0" fillId="0" borderId="0" xfId="0" applyNumberFormat="1" applyFill="1" applyBorder="1" applyAlignment="1"/>
    <xf numFmtId="169" fontId="0" fillId="0" borderId="3" xfId="0" applyNumberFormat="1" applyFill="1" applyBorder="1" applyAlignment="1"/>
    <xf numFmtId="166" fontId="0" fillId="9" borderId="0" xfId="0" applyNumberFormat="1" applyFill="1"/>
    <xf numFmtId="1" fontId="0" fillId="0" borderId="0" xfId="0" applyNumberFormat="1"/>
    <xf numFmtId="2" fontId="0" fillId="9" borderId="0" xfId="0" applyNumberFormat="1" applyFill="1" applyBorder="1" applyAlignment="1"/>
    <xf numFmtId="0" fontId="0" fillId="4" borderId="0" xfId="0" applyFill="1" applyAlignment="1">
      <alignment wrapText="1"/>
    </xf>
    <xf numFmtId="0" fontId="0" fillId="14" borderId="0" xfId="0" applyFill="1" applyAlignment="1">
      <alignment wrapText="1"/>
    </xf>
    <xf numFmtId="0" fontId="0" fillId="14" borderId="0" xfId="0" applyFill="1"/>
    <xf numFmtId="0" fontId="7" fillId="0" borderId="0" xfId="0" applyFont="1"/>
    <xf numFmtId="0" fontId="4" fillId="0" borderId="0" xfId="0" applyFont="1"/>
    <xf numFmtId="0" fontId="7" fillId="9" borderId="0" xfId="0" applyFont="1" applyFill="1"/>
    <xf numFmtId="0" fontId="0" fillId="0" borderId="0" xfId="0" applyAlignment="1">
      <alignment horizontal="center" wrapText="1"/>
    </xf>
    <xf numFmtId="166" fontId="0" fillId="0" borderId="0" xfId="0" applyNumberFormat="1" applyAlignment="1">
      <alignment horizontal="center" wrapText="1"/>
    </xf>
    <xf numFmtId="0" fontId="0" fillId="17" borderId="0" xfId="0" applyFill="1" applyAlignment="1">
      <alignment horizontal="center" wrapText="1"/>
    </xf>
    <xf numFmtId="2" fontId="0" fillId="0" borderId="0" xfId="0" applyNumberFormat="1" applyAlignment="1">
      <alignment horizontal="center"/>
    </xf>
    <xf numFmtId="0" fontId="0" fillId="18" borderId="0" xfId="0" applyFill="1" applyAlignment="1">
      <alignment horizontal="center" wrapText="1"/>
    </xf>
    <xf numFmtId="2" fontId="0" fillId="8" borderId="0" xfId="0" applyNumberFormat="1" applyFill="1"/>
    <xf numFmtId="1" fontId="0" fillId="11" borderId="0" xfId="0" applyNumberFormat="1" applyFill="1"/>
    <xf numFmtId="169" fontId="0" fillId="0" borderId="0" xfId="0" applyNumberFormat="1" applyAlignment="1">
      <alignment horizontal="center"/>
    </xf>
    <xf numFmtId="0" fontId="0" fillId="7" borderId="0" xfId="0" applyFill="1" applyAlignment="1">
      <alignment horizontal="center" wrapText="1"/>
    </xf>
    <xf numFmtId="0" fontId="0" fillId="19" borderId="0" xfId="0" applyFill="1"/>
    <xf numFmtId="1" fontId="8" fillId="0" borderId="0" xfId="0" applyNumberFormat="1" applyFont="1"/>
    <xf numFmtId="3" fontId="8" fillId="0" borderId="0" xfId="0" applyNumberFormat="1" applyFont="1"/>
    <xf numFmtId="2" fontId="8" fillId="0" borderId="0" xfId="0" applyNumberFormat="1" applyFont="1"/>
    <xf numFmtId="0" fontId="8" fillId="0" borderId="0" xfId="0" applyFont="1"/>
    <xf numFmtId="4" fontId="8" fillId="0" borderId="0" xfId="0" applyNumberFormat="1" applyFont="1" applyAlignment="1">
      <alignment horizontal="center"/>
    </xf>
    <xf numFmtId="3" fontId="8" fillId="0" borderId="0" xfId="0" applyNumberFormat="1" applyFont="1" applyAlignment="1">
      <alignment horizontal="center"/>
    </xf>
    <xf numFmtId="166" fontId="8" fillId="0" borderId="0" xfId="0" applyNumberFormat="1" applyFont="1"/>
    <xf numFmtId="1" fontId="8" fillId="18" borderId="0" xfId="0" applyNumberFormat="1" applyFont="1" applyFill="1"/>
    <xf numFmtId="1" fontId="8" fillId="14" borderId="0" xfId="0" applyNumberFormat="1" applyFont="1" applyFill="1"/>
    <xf numFmtId="0" fontId="8" fillId="14" borderId="0" xfId="0" applyFont="1" applyFill="1"/>
    <xf numFmtId="0" fontId="0" fillId="0" borderId="0" xfId="0" applyFill="1"/>
    <xf numFmtId="2" fontId="0" fillId="9" borderId="0" xfId="0" applyNumberFormat="1" applyFill="1"/>
    <xf numFmtId="0" fontId="0" fillId="8" borderId="0" xfId="0" applyFill="1"/>
    <xf numFmtId="1" fontId="0" fillId="0" borderId="0" xfId="0" applyNumberFormat="1" applyAlignment="1">
      <alignment horizontal="center"/>
    </xf>
    <xf numFmtId="1" fontId="0" fillId="8" borderId="0" xfId="0" applyNumberFormat="1" applyFill="1" applyAlignment="1">
      <alignment horizontal="center"/>
    </xf>
    <xf numFmtId="2" fontId="0" fillId="0" borderId="0" xfId="0" applyNumberFormat="1" applyFill="1"/>
    <xf numFmtId="1" fontId="0" fillId="0" borderId="0" xfId="0" applyNumberFormat="1" applyFill="1"/>
    <xf numFmtId="169" fontId="0" fillId="5" borderId="0" xfId="0" applyNumberFormat="1" applyFill="1" applyAlignment="1">
      <alignment horizontal="center"/>
    </xf>
    <xf numFmtId="1" fontId="0" fillId="5" borderId="0" xfId="0" applyNumberFormat="1" applyFill="1"/>
    <xf numFmtId="2" fontId="0" fillId="0" borderId="0" xfId="0" applyNumberFormat="1" applyFill="1" applyAlignment="1">
      <alignment horizontal="center"/>
    </xf>
    <xf numFmtId="0" fontId="0" fillId="0" borderId="0" xfId="0" applyFill="1" applyAlignment="1">
      <alignment horizontal="center"/>
    </xf>
    <xf numFmtId="1" fontId="0" fillId="0" borderId="0" xfId="0" applyNumberFormat="1" applyFill="1" applyAlignment="1">
      <alignment horizontal="center"/>
    </xf>
    <xf numFmtId="0" fontId="0" fillId="17" borderId="0" xfId="0" applyFill="1"/>
    <xf numFmtId="0" fontId="0" fillId="7" borderId="0" xfId="0" applyFill="1" applyAlignment="1">
      <alignment wrapText="1"/>
    </xf>
    <xf numFmtId="2" fontId="0" fillId="0" borderId="3" xfId="0" applyNumberFormat="1" applyFill="1" applyBorder="1" applyAlignment="1"/>
    <xf numFmtId="2" fontId="0" fillId="19" borderId="0" xfId="0" applyNumberFormat="1" applyFill="1"/>
    <xf numFmtId="2" fontId="0" fillId="0" borderId="0" xfId="0" applyNumberFormat="1" applyAlignment="1">
      <alignment wrapText="1"/>
    </xf>
    <xf numFmtId="169" fontId="0" fillId="0" borderId="0" xfId="0" applyNumberFormat="1"/>
    <xf numFmtId="169" fontId="0" fillId="20" borderId="0" xfId="0" applyNumberFormat="1" applyFill="1"/>
    <xf numFmtId="2" fontId="0" fillId="20" borderId="0" xfId="0" applyNumberFormat="1" applyFill="1"/>
    <xf numFmtId="169" fontId="0" fillId="8" borderId="0" xfId="0" applyNumberFormat="1" applyFill="1"/>
    <xf numFmtId="2" fontId="0" fillId="8" borderId="0" xfId="0" applyNumberFormat="1" applyFill="1" applyAlignment="1">
      <alignment horizontal="center"/>
    </xf>
    <xf numFmtId="1" fontId="0" fillId="5" borderId="0" xfId="0" applyNumberFormat="1" applyFill="1" applyAlignment="1">
      <alignment horizontal="center"/>
    </xf>
    <xf numFmtId="2" fontId="0" fillId="5" borderId="0" xfId="0" applyNumberFormat="1" applyFill="1"/>
    <xf numFmtId="2" fontId="0" fillId="5" borderId="0" xfId="0" applyNumberFormat="1" applyFill="1" applyAlignment="1">
      <alignment horizontal="center"/>
    </xf>
    <xf numFmtId="1" fontId="0" fillId="9" borderId="0" xfId="0" applyNumberFormat="1" applyFill="1" applyAlignment="1">
      <alignment horizontal="center"/>
    </xf>
    <xf numFmtId="3" fontId="8" fillId="5" borderId="0" xfId="0" applyNumberFormat="1" applyFont="1" applyFill="1"/>
    <xf numFmtId="3" fontId="9" fillId="0" borderId="0" xfId="0" applyNumberFormat="1" applyFont="1"/>
    <xf numFmtId="4" fontId="0" fillId="0" borderId="0" xfId="0" applyNumberFormat="1"/>
    <xf numFmtId="0" fontId="0" fillId="6" borderId="0" xfId="0" applyFill="1" applyAlignment="1">
      <alignment wrapText="1"/>
    </xf>
    <xf numFmtId="169" fontId="0" fillId="6" borderId="0" xfId="0" applyNumberFormat="1" applyFill="1"/>
    <xf numFmtId="169" fontId="0" fillId="6" borderId="0" xfId="0" applyNumberFormat="1" applyFill="1" applyAlignment="1">
      <alignment horizontal="center"/>
    </xf>
    <xf numFmtId="169" fontId="8" fillId="6" borderId="0" xfId="0" applyNumberFormat="1" applyFont="1" applyFill="1"/>
    <xf numFmtId="2" fontId="8" fillId="0" borderId="0" xfId="0" applyNumberFormat="1" applyFont="1" applyAlignment="1">
      <alignment horizontal="center"/>
    </xf>
    <xf numFmtId="169" fontId="0" fillId="6" borderId="0" xfId="0" applyNumberFormat="1" applyFill="1" applyAlignment="1">
      <alignment wrapText="1"/>
    </xf>
    <xf numFmtId="0" fontId="0" fillId="9" borderId="0" xfId="0" applyFill="1" applyAlignment="1">
      <alignment horizontal="center"/>
    </xf>
    <xf numFmtId="2" fontId="0" fillId="9" borderId="0" xfId="0" applyNumberFormat="1" applyFill="1" applyAlignment="1">
      <alignment horizontal="center"/>
    </xf>
    <xf numFmtId="1" fontId="0" fillId="9" borderId="0" xfId="0" applyNumberFormat="1" applyFill="1"/>
    <xf numFmtId="169" fontId="0" fillId="0" borderId="0" xfId="0" applyNumberFormat="1" applyAlignment="1">
      <alignment wrapText="1"/>
    </xf>
    <xf numFmtId="2" fontId="0" fillId="7" borderId="0" xfId="0" applyNumberFormat="1" applyFill="1" applyAlignment="1">
      <alignment horizontal="center"/>
    </xf>
    <xf numFmtId="2" fontId="8" fillId="7" borderId="0" xfId="0" applyNumberFormat="1" applyFont="1" applyFill="1" applyAlignment="1">
      <alignment horizontal="center"/>
    </xf>
    <xf numFmtId="2" fontId="8" fillId="7" borderId="0" xfId="0" applyNumberFormat="1" applyFont="1" applyFill="1"/>
    <xf numFmtId="2" fontId="0" fillId="0" borderId="0" xfId="0" applyNumberFormat="1" applyAlignment="1">
      <alignment horizontal="center" wrapText="1"/>
    </xf>
    <xf numFmtId="0" fontId="5" fillId="0" borderId="4" xfId="0" applyFont="1" applyFill="1" applyBorder="1" applyAlignment="1">
      <alignment horizontal="center" wrapText="1"/>
    </xf>
    <xf numFmtId="0" fontId="0" fillId="12" borderId="0" xfId="0" applyFill="1" applyAlignment="1">
      <alignment wrapText="1"/>
    </xf>
    <xf numFmtId="0" fontId="4" fillId="5" borderId="0" xfId="0" applyFont="1" applyFill="1" applyAlignment="1">
      <alignment wrapText="1"/>
    </xf>
    <xf numFmtId="1" fontId="4" fillId="4" borderId="0" xfId="0" applyNumberFormat="1" applyFont="1" applyFill="1" applyAlignment="1">
      <alignment horizontal="center"/>
    </xf>
    <xf numFmtId="1" fontId="4" fillId="0" borderId="0" xfId="0" applyNumberFormat="1" applyFont="1" applyAlignment="1">
      <alignment horizontal="center"/>
    </xf>
    <xf numFmtId="0" fontId="0" fillId="0" borderId="0" xfId="0" applyAlignment="1"/>
    <xf numFmtId="0" fontId="0" fillId="9" borderId="0" xfId="0" applyFill="1" applyAlignment="1">
      <alignment horizontal="center" wrapText="1"/>
    </xf>
    <xf numFmtId="1" fontId="8" fillId="9" borderId="0" xfId="0" applyNumberFormat="1" applyFont="1" applyFill="1" applyAlignment="1">
      <alignment horizontal="center"/>
    </xf>
    <xf numFmtId="3" fontId="8" fillId="9" borderId="0" xfId="0" applyNumberFormat="1" applyFont="1" applyFill="1" applyAlignment="1">
      <alignment horizontal="center"/>
    </xf>
    <xf numFmtId="9" fontId="8" fillId="0" borderId="0" xfId="0" applyNumberFormat="1" applyFont="1" applyAlignment="1">
      <alignment horizontal="center"/>
    </xf>
    <xf numFmtId="0" fontId="10" fillId="0" borderId="0" xfId="0" applyFont="1"/>
    <xf numFmtId="9" fontId="4" fillId="0" borderId="0" xfId="0" applyNumberFormat="1" applyFont="1" applyAlignment="1">
      <alignment horizontal="center"/>
    </xf>
    <xf numFmtId="0" fontId="8" fillId="7" borderId="0" xfId="0" applyFont="1" applyFill="1"/>
    <xf numFmtId="9" fontId="0" fillId="0" borderId="0" xfId="0" applyNumberFormat="1" applyAlignment="1">
      <alignment horizontal="center" vertical="center"/>
    </xf>
    <xf numFmtId="11" fontId="0" fillId="0" borderId="0" xfId="0" applyNumberFormat="1"/>
    <xf numFmtId="0" fontId="11" fillId="9" borderId="0" xfId="0" applyFont="1" applyFill="1"/>
    <xf numFmtId="0" fontId="11" fillId="9" borderId="0" xfId="0" applyFont="1" applyFill="1" applyAlignment="1">
      <alignment wrapText="1"/>
    </xf>
    <xf numFmtId="169" fontId="8" fillId="9" borderId="0" xfId="0" applyNumberFormat="1" applyFont="1" applyFill="1"/>
    <xf numFmtId="169" fontId="8" fillId="14" borderId="0" xfId="0" applyNumberFormat="1" applyFont="1" applyFill="1"/>
    <xf numFmtId="169" fontId="8" fillId="0" borderId="0" xfId="0" applyNumberFormat="1" applyFont="1"/>
    <xf numFmtId="1" fontId="0" fillId="0" borderId="0" xfId="0" applyNumberFormat="1" applyAlignment="1">
      <alignment horizontal="center" vertical="center"/>
    </xf>
    <xf numFmtId="0" fontId="0" fillId="5" borderId="0" xfId="0" applyFill="1" applyAlignment="1">
      <alignment horizontal="center" wrapText="1"/>
    </xf>
    <xf numFmtId="0" fontId="11" fillId="9" borderId="0" xfId="0" applyFont="1" applyFill="1" applyAlignment="1">
      <alignment horizontal="center"/>
    </xf>
    <xf numFmtId="4" fontId="0" fillId="9" borderId="0" xfId="0" applyNumberFormat="1" applyFill="1"/>
    <xf numFmtId="1" fontId="0" fillId="0" borderId="0" xfId="0" applyNumberFormat="1" applyAlignment="1">
      <alignment horizontal="center" wrapText="1"/>
    </xf>
    <xf numFmtId="4" fontId="0" fillId="0" borderId="0" xfId="0" applyNumberFormat="1" applyAlignment="1">
      <alignment horizontal="center" wrapText="1"/>
    </xf>
    <xf numFmtId="9" fontId="0" fillId="5" borderId="0" xfId="0" applyNumberFormat="1" applyFill="1" applyAlignment="1">
      <alignment horizontal="center"/>
    </xf>
    <xf numFmtId="2" fontId="0" fillId="9" borderId="0" xfId="0" applyNumberFormat="1" applyFill="1" applyAlignment="1">
      <alignment wrapText="1"/>
    </xf>
    <xf numFmtId="2" fontId="5" fillId="0" borderId="4" xfId="0" applyNumberFormat="1" applyFont="1" applyFill="1" applyBorder="1" applyAlignment="1">
      <alignment horizontal="centerContinuous"/>
    </xf>
    <xf numFmtId="2" fontId="5" fillId="0" borderId="4" xfId="0" applyNumberFormat="1" applyFont="1" applyFill="1" applyBorder="1" applyAlignment="1">
      <alignment horizontal="center"/>
    </xf>
    <xf numFmtId="2" fontId="0" fillId="7" borderId="0" xfId="0" applyNumberFormat="1" applyFill="1" applyBorder="1" applyAlignment="1"/>
    <xf numFmtId="2" fontId="5" fillId="0" borderId="0" xfId="0" applyNumberFormat="1" applyFont="1" applyFill="1" applyBorder="1" applyAlignment="1">
      <alignment horizontal="center"/>
    </xf>
    <xf numFmtId="1" fontId="0" fillId="0" borderId="0" xfId="0" applyNumberFormat="1" applyAlignment="1">
      <alignment wrapText="1"/>
    </xf>
    <xf numFmtId="166" fontId="0" fillId="4" borderId="0" xfId="0" applyNumberFormat="1" applyFill="1"/>
    <xf numFmtId="0" fontId="0" fillId="4" borderId="3" xfId="0" applyFill="1" applyBorder="1" applyAlignment="1"/>
    <xf numFmtId="0" fontId="0" fillId="0" borderId="0" xfId="0" applyNumberFormat="1" applyFill="1" applyBorder="1" applyAlignment="1"/>
    <xf numFmtId="1" fontId="4" fillId="9" borderId="0" xfId="0" applyNumberFormat="1" applyFont="1" applyFill="1" applyAlignment="1">
      <alignment horizontal="center"/>
    </xf>
    <xf numFmtId="170" fontId="0" fillId="0" borderId="0" xfId="0" applyNumberFormat="1" applyAlignment="1">
      <alignment horizontal="center" vertical="center"/>
    </xf>
    <xf numFmtId="0" fontId="4" fillId="21" borderId="0" xfId="0" applyFont="1" applyFill="1"/>
    <xf numFmtId="0" fontId="4" fillId="21" borderId="0" xfId="0" applyFont="1" applyFill="1" applyAlignment="1">
      <alignment horizontal="center"/>
    </xf>
    <xf numFmtId="11" fontId="0" fillId="0" borderId="0" xfId="0" applyNumberFormat="1" applyFill="1" applyBorder="1" applyAlignment="1"/>
    <xf numFmtId="0" fontId="4" fillId="7" borderId="0" xfId="0" applyFont="1" applyFill="1" applyAlignment="1">
      <alignment horizontal="center"/>
    </xf>
    <xf numFmtId="0" fontId="4" fillId="8" borderId="0" xfId="0" applyFont="1" applyFill="1" applyAlignment="1">
      <alignment horizontal="center"/>
    </xf>
    <xf numFmtId="169" fontId="4" fillId="0" borderId="0" xfId="0" applyNumberFormat="1" applyFont="1" applyAlignment="1">
      <alignment horizontal="center"/>
    </xf>
    <xf numFmtId="2" fontId="4" fillId="0" borderId="0" xfId="0" applyNumberFormat="1" applyFont="1" applyAlignment="1">
      <alignment horizontal="center"/>
    </xf>
    <xf numFmtId="4" fontId="4" fillId="0" borderId="0" xfId="0" applyNumberFormat="1" applyFont="1" applyAlignment="1">
      <alignment horizontal="center"/>
    </xf>
    <xf numFmtId="3" fontId="4" fillId="9" borderId="0" xfId="0" applyNumberFormat="1" applyFont="1" applyFill="1" applyAlignment="1">
      <alignment horizontal="center"/>
    </xf>
    <xf numFmtId="172" fontId="0" fillId="0" borderId="0" xfId="0" applyNumberFormat="1" applyAlignment="1">
      <alignment horizontal="center"/>
    </xf>
    <xf numFmtId="0" fontId="0" fillId="7" borderId="0" xfId="0" applyFill="1"/>
    <xf numFmtId="166" fontId="0" fillId="0" borderId="0" xfId="0" applyNumberFormat="1" applyAlignment="1">
      <alignment horizontal="center"/>
    </xf>
    <xf numFmtId="2" fontId="0" fillId="0" borderId="0" xfId="0" applyNumberFormat="1" applyFill="1" applyBorder="1" applyAlignment="1">
      <alignment horizontal="center"/>
    </xf>
    <xf numFmtId="171" fontId="0" fillId="0" borderId="0" xfId="0" applyNumberFormat="1" applyFill="1" applyBorder="1" applyAlignment="1">
      <alignment horizontal="center"/>
    </xf>
    <xf numFmtId="11" fontId="0" fillId="0" borderId="3" xfId="0" applyNumberFormat="1" applyFill="1" applyBorder="1" applyAlignment="1">
      <alignment horizontal="center"/>
    </xf>
    <xf numFmtId="2" fontId="0" fillId="0" borderId="3" xfId="0" applyNumberFormat="1" applyFill="1" applyBorder="1" applyAlignment="1">
      <alignment horizontal="center"/>
    </xf>
    <xf numFmtId="171" fontId="0" fillId="0" borderId="3" xfId="0" applyNumberFormat="1" applyFill="1" applyBorder="1" applyAlignment="1">
      <alignment horizontal="center"/>
    </xf>
    <xf numFmtId="169" fontId="0" fillId="0" borderId="0" xfId="0" applyNumberFormat="1" applyFill="1" applyBorder="1" applyAlignment="1">
      <alignment horizontal="center"/>
    </xf>
    <xf numFmtId="172" fontId="0" fillId="0" borderId="0" xfId="0" applyNumberFormat="1" applyFill="1" applyBorder="1" applyAlignment="1">
      <alignment horizontal="center"/>
    </xf>
    <xf numFmtId="11" fontId="0" fillId="0" borderId="0" xfId="0" applyNumberFormat="1" applyFill="1" applyBorder="1" applyAlignment="1">
      <alignment horizontal="center"/>
    </xf>
    <xf numFmtId="169" fontId="0" fillId="0" borderId="3" xfId="0" applyNumberFormat="1" applyFill="1" applyBorder="1" applyAlignment="1">
      <alignment horizontal="center"/>
    </xf>
    <xf numFmtId="169" fontId="5" fillId="0" borderId="4" xfId="0" applyNumberFormat="1" applyFont="1" applyFill="1" applyBorder="1" applyAlignment="1">
      <alignment horizontal="center"/>
    </xf>
    <xf numFmtId="0" fontId="0" fillId="22" borderId="0" xfId="0" applyFill="1"/>
    <xf numFmtId="0" fontId="4" fillId="22" borderId="0" xfId="0" applyFont="1" applyFill="1" applyAlignment="1">
      <alignment horizontal="center"/>
    </xf>
    <xf numFmtId="0" fontId="0" fillId="22" borderId="0" xfId="0" applyFill="1" applyAlignment="1">
      <alignment wrapText="1"/>
    </xf>
    <xf numFmtId="166" fontId="0" fillId="22" borderId="0" xfId="0" applyNumberFormat="1" applyFill="1"/>
    <xf numFmtId="0" fontId="4" fillId="22" borderId="0" xfId="0" applyFont="1" applyFill="1"/>
    <xf numFmtId="0" fontId="0" fillId="23" borderId="0" xfId="0" applyFill="1" applyAlignment="1">
      <alignment wrapText="1"/>
    </xf>
    <xf numFmtId="0" fontId="0" fillId="24" borderId="0" xfId="0" applyFill="1" applyAlignment="1">
      <alignment wrapText="1"/>
    </xf>
    <xf numFmtId="0" fontId="0" fillId="25" borderId="0" xfId="0" applyFill="1"/>
    <xf numFmtId="1" fontId="0" fillId="25" borderId="0" xfId="0" applyNumberFormat="1" applyFill="1" applyAlignment="1">
      <alignment horizontal="center"/>
    </xf>
    <xf numFmtId="2" fontId="0" fillId="25" borderId="0" xfId="0" applyNumberFormat="1" applyFill="1" applyAlignment="1">
      <alignment horizontal="center"/>
    </xf>
    <xf numFmtId="0" fontId="0" fillId="0" borderId="0" xfId="0" applyFill="1" applyAlignment="1">
      <alignment wrapText="1"/>
    </xf>
    <xf numFmtId="2" fontId="4" fillId="0" borderId="0" xfId="0" applyNumberFormat="1" applyFont="1" applyFill="1" applyAlignment="1">
      <alignment horizontal="center"/>
    </xf>
    <xf numFmtId="0" fontId="0" fillId="10" borderId="0" xfId="0" applyFill="1"/>
    <xf numFmtId="0" fontId="0" fillId="10" borderId="0" xfId="0" applyFill="1" applyAlignment="1">
      <alignment wrapText="1"/>
    </xf>
    <xf numFmtId="2" fontId="4" fillId="10" borderId="0" xfId="0" applyNumberFormat="1" applyFont="1" applyFill="1" applyAlignment="1">
      <alignment horizontal="center"/>
    </xf>
    <xf numFmtId="3" fontId="11" fillId="0" borderId="0" xfId="0" applyNumberFormat="1" applyFont="1"/>
    <xf numFmtId="0" fontId="11" fillId="0" borderId="0" xfId="0" applyFont="1"/>
    <xf numFmtId="1" fontId="0" fillId="4" borderId="0" xfId="0" applyNumberFormat="1" applyFill="1" applyAlignment="1">
      <alignment horizontal="center"/>
    </xf>
    <xf numFmtId="1" fontId="0" fillId="7" borderId="0" xfId="0" applyNumberFormat="1" applyFill="1" applyAlignment="1">
      <alignment horizontal="center"/>
    </xf>
    <xf numFmtId="0" fontId="12" fillId="10" borderId="0" xfId="0" applyFont="1" applyFill="1" applyAlignment="1">
      <alignment horizontal="center"/>
    </xf>
    <xf numFmtId="0" fontId="11" fillId="0" borderId="0" xfId="0" applyFont="1" applyAlignment="1">
      <alignment horizontal="center"/>
    </xf>
    <xf numFmtId="3" fontId="9" fillId="0" borderId="0" xfId="0" applyNumberFormat="1" applyFont="1" applyAlignment="1">
      <alignment horizontal="center"/>
    </xf>
    <xf numFmtId="3" fontId="0" fillId="0" borderId="0" xfId="0" applyNumberFormat="1" applyFont="1" applyAlignment="1">
      <alignment horizontal="center"/>
    </xf>
    <xf numFmtId="1" fontId="0" fillId="6" borderId="0" xfId="0" applyNumberFormat="1" applyFill="1"/>
    <xf numFmtId="169" fontId="0" fillId="9" borderId="0" xfId="0" applyNumberFormat="1" applyFill="1" applyAlignment="1">
      <alignment horizontal="center"/>
    </xf>
    <xf numFmtId="0" fontId="6" fillId="7" borderId="0" xfId="0" applyFont="1" applyFill="1" applyAlignment="1">
      <alignment horizontal="center" wrapText="1"/>
    </xf>
    <xf numFmtId="0" fontId="13" fillId="7" borderId="0" xfId="0" applyFont="1" applyFill="1" applyAlignment="1">
      <alignment wrapText="1"/>
    </xf>
    <xf numFmtId="11" fontId="0" fillId="0" borderId="3" xfId="0" applyNumberFormat="1" applyFill="1" applyBorder="1" applyAlignment="1"/>
    <xf numFmtId="2" fontId="0" fillId="9" borderId="3" xfId="0" applyNumberFormat="1" applyFill="1" applyBorder="1" applyAlignment="1"/>
    <xf numFmtId="0" fontId="4" fillId="5" borderId="0" xfId="0" applyFont="1" applyFill="1"/>
    <xf numFmtId="164" fontId="14" fillId="0" borderId="0" xfId="0" applyNumberFormat="1" applyFont="1" applyAlignment="1">
      <alignment horizontal="center"/>
    </xf>
    <xf numFmtId="0" fontId="15" fillId="0" borderId="0" xfId="0" applyFont="1"/>
    <xf numFmtId="0" fontId="15" fillId="22" borderId="0" xfId="0" applyFont="1" applyFill="1"/>
    <xf numFmtId="164" fontId="14" fillId="22" borderId="0" xfId="0" applyNumberFormat="1" applyFont="1" applyFill="1" applyAlignment="1">
      <alignment horizontal="center"/>
    </xf>
    <xf numFmtId="0" fontId="4" fillId="9" borderId="0" xfId="0" applyFont="1" applyFill="1" applyAlignment="1">
      <alignment horizontal="center" wrapText="1"/>
    </xf>
    <xf numFmtId="0" fontId="4" fillId="17" borderId="0" xfId="0" applyFont="1" applyFill="1" applyAlignment="1">
      <alignment horizontal="center" wrapText="1"/>
    </xf>
    <xf numFmtId="0" fontId="0" fillId="4" borderId="0" xfId="0" applyFill="1" applyAlignment="1">
      <alignment horizontal="center"/>
    </xf>
    <xf numFmtId="1" fontId="8" fillId="8" borderId="0" xfId="0" applyNumberFormat="1" applyFont="1" applyFill="1" applyAlignment="1">
      <alignment horizontal="center"/>
    </xf>
    <xf numFmtId="3" fontId="8" fillId="8" borderId="0" xfId="0" applyNumberFormat="1" applyFont="1" applyFill="1" applyAlignment="1">
      <alignment horizontal="center"/>
    </xf>
    <xf numFmtId="4" fontId="8" fillId="0" borderId="0" xfId="0" applyNumberFormat="1" applyFont="1"/>
    <xf numFmtId="172" fontId="0" fillId="0" borderId="0" xfId="0" applyNumberFormat="1"/>
    <xf numFmtId="0" fontId="0" fillId="15" borderId="0" xfId="0" applyFill="1" applyAlignment="1">
      <alignment wrapText="1"/>
    </xf>
  </cellXfs>
  <cellStyles count="1">
    <cellStyle name="Normal" xfId="0" builtinId="0"/>
  </cellStyles>
  <dxfs count="0"/>
  <tableStyles count="0" defaultTableStyle="TableStyleMedium2" defaultPivotStyle="PivotStyleLight16"/>
  <colors>
    <mruColors>
      <color rgb="FFFFCCFF"/>
      <color rgb="FFFF66FF"/>
      <color rgb="FF66FF33"/>
      <color rgb="FFFF6699"/>
      <color rgb="FFFF9900"/>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8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8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8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8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8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8.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89.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9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9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9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10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10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10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10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1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1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1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11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1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15.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16.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17.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18.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2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22.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23.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24.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25.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26.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27.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28.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29.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30.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data'!$BN$33</c:f>
              <c:strCache>
                <c:ptCount val="1"/>
                <c:pt idx="0">
                  <c:v>Harvest Rate d1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484951881014873"/>
                  <c:y val="-0.134147346165062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data'!$BK$34:$BK$44</c:f>
              <c:numCache>
                <c:formatCode>0%</c:formatCode>
                <c:ptCount val="11"/>
                <c:pt idx="0">
                  <c:v>0.45833580738579</c:v>
                </c:pt>
                <c:pt idx="1">
                  <c:v>0.124793814208583</c:v>
                </c:pt>
                <c:pt idx="2">
                  <c:v>0.50525946493688301</c:v>
                </c:pt>
                <c:pt idx="3">
                  <c:v>0.20373352742299999</c:v>
                </c:pt>
                <c:pt idx="4">
                  <c:v>0.153826237319623</c:v>
                </c:pt>
                <c:pt idx="5">
                  <c:v>0.36857466450709098</c:v>
                </c:pt>
                <c:pt idx="6">
                  <c:v>0.44855807959285898</c:v>
                </c:pt>
                <c:pt idx="7">
                  <c:v>0.32658383025843302</c:v>
                </c:pt>
                <c:pt idx="8">
                  <c:v>0.52253790849725801</c:v>
                </c:pt>
                <c:pt idx="9">
                  <c:v>0.44405996158125</c:v>
                </c:pt>
                <c:pt idx="10">
                  <c:v>0.51953507179094105</c:v>
                </c:pt>
              </c:numCache>
            </c:numRef>
          </c:xVal>
          <c:yVal>
            <c:numRef>
              <c:f>'Orig data'!$BN$34:$BN$44</c:f>
              <c:numCache>
                <c:formatCode>0%</c:formatCode>
                <c:ptCount val="11"/>
                <c:pt idx="0">
                  <c:v>0.65576754920370983</c:v>
                </c:pt>
                <c:pt idx="1">
                  <c:v>0.11445948557306022</c:v>
                </c:pt>
                <c:pt idx="2">
                  <c:v>0.54314834502799636</c:v>
                </c:pt>
                <c:pt idx="3">
                  <c:v>0.19331264808507742</c:v>
                </c:pt>
                <c:pt idx="4">
                  <c:v>0.10833970117624923</c:v>
                </c:pt>
                <c:pt idx="5">
                  <c:v>0.34507221483556932</c:v>
                </c:pt>
                <c:pt idx="6">
                  <c:v>0.42739415504349887</c:v>
                </c:pt>
                <c:pt idx="7">
                  <c:v>0.24118629053035784</c:v>
                </c:pt>
                <c:pt idx="8">
                  <c:v>0.58402226866261886</c:v>
                </c:pt>
                <c:pt idx="9">
                  <c:v>0.43093335288510887</c:v>
                </c:pt>
                <c:pt idx="10">
                  <c:v>0.49435485716516503</c:v>
                </c:pt>
              </c:numCache>
            </c:numRef>
          </c:yVal>
          <c:smooth val="0"/>
          <c:extLst>
            <c:ext xmlns:c16="http://schemas.microsoft.com/office/drawing/2014/chart" uri="{C3380CC4-5D6E-409C-BE32-E72D297353CC}">
              <c16:uniqueId val="{00000000-BAEB-41E5-8592-2EE16904D5C4}"/>
            </c:ext>
          </c:extLst>
        </c:ser>
        <c:dLbls>
          <c:showLegendKey val="0"/>
          <c:showVal val="0"/>
          <c:showCatName val="0"/>
          <c:showSerName val="0"/>
          <c:showPercent val="0"/>
          <c:showBubbleSize val="0"/>
        </c:dLbls>
        <c:axId val="1541870399"/>
        <c:axId val="1541854175"/>
      </c:scatterChart>
      <c:valAx>
        <c:axId val="1541870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54175"/>
        <c:crosses val="autoZero"/>
        <c:crossBetween val="midCat"/>
      </c:valAx>
      <c:valAx>
        <c:axId val="1541854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Stock-recruit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data'!$D$4</c:f>
              <c:strCache>
                <c:ptCount val="1"/>
                <c:pt idx="0">
                  <c:v>Haley's Recruits with some infill from mkm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yVal>
          <c:smooth val="0"/>
          <c:extLst>
            <c:ext xmlns:c16="http://schemas.microsoft.com/office/drawing/2014/chart" uri="{C3380CC4-5D6E-409C-BE32-E72D297353CC}">
              <c16:uniqueId val="{00000000-2C1C-47A7-8344-F8FD24D8885C}"/>
            </c:ext>
          </c:extLst>
        </c:ser>
        <c:ser>
          <c:idx val="1"/>
          <c:order val="1"/>
          <c:tx>
            <c:strRef>
              <c:f>'Orig data'!$C$4</c:f>
              <c:strCache>
                <c:ptCount val="1"/>
                <c:pt idx="0">
                  <c:v>Spawners (D)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yVal>
          <c:smooth val="0"/>
          <c:extLst>
            <c:ext xmlns:c16="http://schemas.microsoft.com/office/drawing/2014/chart" uri="{C3380CC4-5D6E-409C-BE32-E72D297353CC}">
              <c16:uniqueId val="{00000003-2C1C-47A7-8344-F8FD24D8885C}"/>
            </c:ext>
          </c:extLst>
        </c:ser>
        <c:dLbls>
          <c:showLegendKey val="0"/>
          <c:showVal val="0"/>
          <c:showCatName val="0"/>
          <c:showSerName val="0"/>
          <c:showPercent val="0"/>
          <c:showBubbleSize val="0"/>
        </c:dLbls>
        <c:axId val="979619439"/>
        <c:axId val="979625679"/>
      </c:scatterChart>
      <c:scatterChart>
        <c:scatterStyle val="lineMarker"/>
        <c:varyColors val="0"/>
        <c:ser>
          <c:idx val="2"/>
          <c:order val="2"/>
          <c:tx>
            <c:strRef>
              <c:f>'Orig data'!$E$4</c:f>
              <c:strCache>
                <c:ptCount val="1"/>
                <c:pt idx="0">
                  <c:v>ln(R/S)(H)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5-2C1C-47A7-8344-F8FD24D8885C}"/>
            </c:ext>
          </c:extLst>
        </c:ser>
        <c:dLbls>
          <c:showLegendKey val="0"/>
          <c:showVal val="0"/>
          <c:showCatName val="0"/>
          <c:showSerName val="0"/>
          <c:showPercent val="0"/>
          <c:showBubbleSize val="0"/>
        </c:dLbls>
        <c:axId val="1577195871"/>
        <c:axId val="1577183807"/>
      </c:scatterChart>
      <c:valAx>
        <c:axId val="979619439"/>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5679"/>
        <c:crosses val="autoZero"/>
        <c:crossBetween val="midCat"/>
      </c:valAx>
      <c:valAx>
        <c:axId val="9796256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9439"/>
        <c:crosses val="autoZero"/>
        <c:crossBetween val="midCat"/>
      </c:valAx>
      <c:valAx>
        <c:axId val="1577183807"/>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95871"/>
        <c:crosses val="max"/>
        <c:crossBetween val="midCat"/>
      </c:valAx>
      <c:valAx>
        <c:axId val="1577195871"/>
        <c:scaling>
          <c:orientation val="minMax"/>
        </c:scaling>
        <c:delete val="1"/>
        <c:axPos val="b"/>
        <c:numFmt formatCode="General" sourceLinked="1"/>
        <c:majorTickMark val="out"/>
        <c:minorTickMark val="none"/>
        <c:tickLblPos val="nextTo"/>
        <c:crossAx val="1577183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(Haley's 1996-2017)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083267716535431"/>
                  <c:y val="-0.489012467191601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C513-4D7C-819F-EB245B839EA7}"/>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Using</a:t>
            </a:r>
            <a:r>
              <a:rPr lang="en-US" baseline="0"/>
              <a:t> </a:t>
            </a:r>
            <a:r>
              <a:rPr lang="en-US" sz="1400" b="0" i="0" u="none" strike="noStrike" baseline="0">
                <a:effectLst/>
              </a:rPr>
              <a:t>Using age  3 to 6 comp by year where possible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data'!$I$4</c:f>
              <c:strCache>
                <c:ptCount val="1"/>
                <c:pt idx="0">
                  <c:v>ln(R/S)(D)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91065932101189"/>
                  <c:y val="-0.311765116860576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data'!$G$5:$G$71</c:f>
              <c:numCache>
                <c:formatCode>#,##0</c:formatCode>
                <c:ptCount val="67"/>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data'!$I$5:$I$71</c:f>
              <c:numCache>
                <c:formatCode>0.00</c:formatCode>
                <c:ptCount val="67"/>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pt idx="66">
                  <c:v>-0.2727544397691033</c:v>
                </c:pt>
              </c:numCache>
            </c:numRef>
          </c:yVal>
          <c:smooth val="0"/>
          <c:extLst>
            <c:ext xmlns:c16="http://schemas.microsoft.com/office/drawing/2014/chart" uri="{C3380CC4-5D6E-409C-BE32-E72D297353CC}">
              <c16:uniqueId val="{00000001-D734-4B38-AAFA-C641EBAAED46}"/>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Haley's</a:t>
            </a:r>
            <a:r>
              <a:rPr lang="en-US" baseline="0"/>
              <a:t> vs. Murdoch's reconstruction of Fraser Chum salmon recruits, Haley's using average over years, Murdoch using age comp by year where available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Haley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data'!$L$50:$L$71</c:f>
              <c:numCache>
                <c:formatCode>#,##0</c:formatCode>
                <c:ptCount val="22"/>
                <c:pt idx="0">
                  <c:v>1431408</c:v>
                </c:pt>
                <c:pt idx="1">
                  <c:v>2858328</c:v>
                </c:pt>
                <c:pt idx="2">
                  <c:v>2785129</c:v>
                </c:pt>
                <c:pt idx="3">
                  <c:v>2232718</c:v>
                </c:pt>
                <c:pt idx="4">
                  <c:v>2988615</c:v>
                </c:pt>
                <c:pt idx="5">
                  <c:v>2160110</c:v>
                </c:pt>
                <c:pt idx="6">
                  <c:v>2425524</c:v>
                </c:pt>
                <c:pt idx="7">
                  <c:v>1619282</c:v>
                </c:pt>
                <c:pt idx="8">
                  <c:v>1231521</c:v>
                </c:pt>
                <c:pt idx="9">
                  <c:v>884912</c:v>
                </c:pt>
                <c:pt idx="10">
                  <c:v>744365</c:v>
                </c:pt>
                <c:pt idx="11">
                  <c:v>1296356</c:v>
                </c:pt>
                <c:pt idx="12">
                  <c:v>1641562</c:v>
                </c:pt>
                <c:pt idx="13">
                  <c:v>1613902</c:v>
                </c:pt>
                <c:pt idx="14">
                  <c:v>1521759</c:v>
                </c:pt>
                <c:pt idx="15">
                  <c:v>1567636</c:v>
                </c:pt>
                <c:pt idx="16">
                  <c:v>2530282</c:v>
                </c:pt>
                <c:pt idx="17">
                  <c:v>1408307</c:v>
                </c:pt>
                <c:pt idx="18">
                  <c:v>810777</c:v>
                </c:pt>
                <c:pt idx="19">
                  <c:v>438554</c:v>
                </c:pt>
                <c:pt idx="20">
                  <c:v>597944</c:v>
                </c:pt>
                <c:pt idx="21">
                  <c:v>599216</c:v>
                </c:pt>
              </c:numCache>
            </c:numRef>
          </c:yVal>
          <c:smooth val="0"/>
          <c:extLst>
            <c:ext xmlns:c16="http://schemas.microsoft.com/office/drawing/2014/chart" uri="{C3380CC4-5D6E-409C-BE32-E72D297353CC}">
              <c16:uniqueId val="{00000000-75BA-42D9-8DB3-5FAB09C09203}"/>
            </c:ext>
          </c:extLst>
        </c:ser>
        <c:ser>
          <c:idx val="1"/>
          <c:order val="1"/>
          <c:tx>
            <c:v>Murdoch rec-age prop by year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data'!$W$50:$W$71</c:f>
              <c:numCache>
                <c:formatCode>#,##0</c:formatCode>
                <c:ptCount val="22"/>
                <c:pt idx="0">
                  <c:v>1406508.3752676437</c:v>
                </c:pt>
                <c:pt idx="1">
                  <c:v>3026044.5640955563</c:v>
                </c:pt>
                <c:pt idx="2">
                  <c:v>2543320.0171653759</c:v>
                </c:pt>
                <c:pt idx="3">
                  <c:v>3078021.5509376186</c:v>
                </c:pt>
                <c:pt idx="4">
                  <c:v>2282485.9433021657</c:v>
                </c:pt>
                <c:pt idx="5">
                  <c:v>1868662.078775011</c:v>
                </c:pt>
                <c:pt idx="6">
                  <c:v>2826467.1680969703</c:v>
                </c:pt>
                <c:pt idx="7">
                  <c:v>1321874.9421960777</c:v>
                </c:pt>
                <c:pt idx="8">
                  <c:v>1274857.4320357505</c:v>
                </c:pt>
                <c:pt idx="9">
                  <c:v>826792.95575855998</c:v>
                </c:pt>
                <c:pt idx="10">
                  <c:v>653276.45190826431</c:v>
                </c:pt>
                <c:pt idx="11">
                  <c:v>1919087.3845169125</c:v>
                </c:pt>
                <c:pt idx="12">
                  <c:v>1341575.4990023808</c:v>
                </c:pt>
                <c:pt idx="13">
                  <c:v>1605367.0756795239</c:v>
                </c:pt>
                <c:pt idx="14">
                  <c:v>1596985.3916231559</c:v>
                </c:pt>
                <c:pt idx="15">
                  <c:v>1137157.6669372031</c:v>
                </c:pt>
                <c:pt idx="16">
                  <c:v>3027578.7899983842</c:v>
                </c:pt>
                <c:pt idx="17">
                  <c:v>805154.93228744587</c:v>
                </c:pt>
                <c:pt idx="18">
                  <c:v>920933.05007688294</c:v>
                </c:pt>
                <c:pt idx="19">
                  <c:v>390127.06417119328</c:v>
                </c:pt>
                <c:pt idx="20">
                  <c:v>720301.20758067002</c:v>
                </c:pt>
                <c:pt idx="21">
                  <c:v>502191.09895925201</c:v>
                </c:pt>
              </c:numCache>
            </c:numRef>
          </c:yVal>
          <c:smooth val="0"/>
          <c:extLst>
            <c:ext xmlns:c16="http://schemas.microsoft.com/office/drawing/2014/chart" uri="{C3380CC4-5D6E-409C-BE32-E72D297353CC}">
              <c16:uniqueId val="{00000005-75BA-42D9-8DB3-5FAB09C09203}"/>
            </c:ext>
          </c:extLst>
        </c:ser>
        <c:ser>
          <c:idx val="2"/>
          <c:order val="2"/>
          <c:tx>
            <c:v>Murdoch-rec-avg prop age</c:v>
          </c:tx>
          <c:spPr>
            <a:ln w="19050" cap="rnd">
              <a:solidFill>
                <a:schemeClr val="tx1"/>
              </a:solidFill>
              <a:prstDash val="dash"/>
              <a:round/>
            </a:ln>
            <a:effectLst/>
          </c:spPr>
          <c:marker>
            <c:symbol val="circle"/>
            <c:size val="5"/>
            <c:spPr>
              <a:solidFill>
                <a:schemeClr val="accent3"/>
              </a:solidFill>
              <a:ln w="9525">
                <a:solidFill>
                  <a:schemeClr val="accent3"/>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data'!$AB$50:$AB$71</c:f>
              <c:numCache>
                <c:formatCode>#,##0</c:formatCode>
                <c:ptCount val="22"/>
                <c:pt idx="0">
                  <c:v>1406508.3752676437</c:v>
                </c:pt>
                <c:pt idx="1">
                  <c:v>3026030.4507266176</c:v>
                </c:pt>
                <c:pt idx="2">
                  <c:v>2685723.3687924482</c:v>
                </c:pt>
                <c:pt idx="3">
                  <c:v>2258243.2510302407</c:v>
                </c:pt>
                <c:pt idx="4">
                  <c:v>3003099.3336992869</c:v>
                </c:pt>
                <c:pt idx="5">
                  <c:v>2085989.8545379378</c:v>
                </c:pt>
                <c:pt idx="6">
                  <c:v>2415592.8993571778</c:v>
                </c:pt>
                <c:pt idx="7">
                  <c:v>1501700.0309801486</c:v>
                </c:pt>
                <c:pt idx="8">
                  <c:v>1192587.7091204056</c:v>
                </c:pt>
                <c:pt idx="9">
                  <c:v>841915.57000060705</c:v>
                </c:pt>
                <c:pt idx="10">
                  <c:v>779998.96799453057</c:v>
                </c:pt>
                <c:pt idx="11">
                  <c:v>1376695.7322840265</c:v>
                </c:pt>
                <c:pt idx="12">
                  <c:v>1658267.7131345156</c:v>
                </c:pt>
                <c:pt idx="13">
                  <c:v>1599592.0005304904</c:v>
                </c:pt>
                <c:pt idx="14">
                  <c:v>1512709.3690897836</c:v>
                </c:pt>
                <c:pt idx="15">
                  <c:v>1654800.3617279141</c:v>
                </c:pt>
                <c:pt idx="16">
                  <c:v>2534603.5925504556</c:v>
                </c:pt>
                <c:pt idx="17">
                  <c:v>1235092.4135788511</c:v>
                </c:pt>
                <c:pt idx="18">
                  <c:v>758600.38283809193</c:v>
                </c:pt>
                <c:pt idx="19">
                  <c:v>422118.49041296559</c:v>
                </c:pt>
                <c:pt idx="20">
                  <c:v>618291.98502002261</c:v>
                </c:pt>
                <c:pt idx="21">
                  <c:v>625307.00697289268</c:v>
                </c:pt>
              </c:numCache>
            </c:numRef>
          </c:yVal>
          <c:smooth val="0"/>
          <c:extLst>
            <c:ext xmlns:c16="http://schemas.microsoft.com/office/drawing/2014/chart" uri="{C3380CC4-5D6E-409C-BE32-E72D297353CC}">
              <c16:uniqueId val="{00000006-75BA-42D9-8DB3-5FAB09C09203}"/>
            </c:ext>
          </c:extLst>
        </c:ser>
        <c:dLbls>
          <c:showLegendKey val="0"/>
          <c:showVal val="0"/>
          <c:showCatName val="0"/>
          <c:showSerName val="0"/>
          <c:showPercent val="0"/>
          <c:showBubbleSize val="0"/>
        </c:dLbls>
        <c:axId val="588942528"/>
        <c:axId val="588944192"/>
      </c:scatterChart>
      <c:valAx>
        <c:axId val="588942528"/>
        <c:scaling>
          <c:orientation val="minMax"/>
          <c:min val="199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4192"/>
        <c:crosses val="autoZero"/>
        <c:crossBetween val="midCat"/>
      </c:valAx>
      <c:valAx>
        <c:axId val="58894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2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Brittany's vs. digitized using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data'!$W$44:$W$71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3026044.5640955563</c:v>
                </c:pt>
                <c:pt idx="8">
                  <c:v>2543320.0171653759</c:v>
                </c:pt>
                <c:pt idx="9">
                  <c:v>3078021.5509376186</c:v>
                </c:pt>
                <c:pt idx="10">
                  <c:v>2282485.9433021657</c:v>
                </c:pt>
                <c:pt idx="11">
                  <c:v>1868662.078775011</c:v>
                </c:pt>
                <c:pt idx="12">
                  <c:v>2826467.1680969703</c:v>
                </c:pt>
                <c:pt idx="13">
                  <c:v>1321874.9421960777</c:v>
                </c:pt>
                <c:pt idx="14">
                  <c:v>1274857.4320357505</c:v>
                </c:pt>
                <c:pt idx="15">
                  <c:v>826792.95575855998</c:v>
                </c:pt>
                <c:pt idx="16">
                  <c:v>653276.45190826431</c:v>
                </c:pt>
                <c:pt idx="17">
                  <c:v>1919087.3845169125</c:v>
                </c:pt>
                <c:pt idx="18">
                  <c:v>1341575.4990023808</c:v>
                </c:pt>
                <c:pt idx="19">
                  <c:v>1605367.0756795239</c:v>
                </c:pt>
                <c:pt idx="20">
                  <c:v>1596985.3916231559</c:v>
                </c:pt>
                <c:pt idx="21">
                  <c:v>1137157.6669372031</c:v>
                </c:pt>
                <c:pt idx="22">
                  <c:v>3027578.7899983842</c:v>
                </c:pt>
                <c:pt idx="23">
                  <c:v>805154.93228744587</c:v>
                </c:pt>
                <c:pt idx="24">
                  <c:v>920933.05007688294</c:v>
                </c:pt>
                <c:pt idx="25">
                  <c:v>390127.06417119328</c:v>
                </c:pt>
                <c:pt idx="26">
                  <c:v>720301.20758067002</c:v>
                </c:pt>
                <c:pt idx="27">
                  <c:v>502191.09895925201</c:v>
                </c:pt>
              </c:numCache>
            </c:numRef>
          </c:xVal>
          <c:yVal>
            <c:numRef>
              <c:f>'Orig data'!$AB$44:$AB$71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3026030.4507266176</c:v>
                </c:pt>
                <c:pt idx="8">
                  <c:v>2685723.3687924482</c:v>
                </c:pt>
                <c:pt idx="9">
                  <c:v>2258243.2510302407</c:v>
                </c:pt>
                <c:pt idx="10">
                  <c:v>3003099.3336992869</c:v>
                </c:pt>
                <c:pt idx="11">
                  <c:v>2085989.8545379378</c:v>
                </c:pt>
                <c:pt idx="12">
                  <c:v>2415592.8993571778</c:v>
                </c:pt>
                <c:pt idx="13">
                  <c:v>1501700.0309801486</c:v>
                </c:pt>
                <c:pt idx="14">
                  <c:v>1192587.7091204056</c:v>
                </c:pt>
                <c:pt idx="15">
                  <c:v>841915.57000060705</c:v>
                </c:pt>
                <c:pt idx="16">
                  <c:v>779998.96799453057</c:v>
                </c:pt>
                <c:pt idx="17">
                  <c:v>1376695.7322840265</c:v>
                </c:pt>
                <c:pt idx="18">
                  <c:v>1658267.7131345156</c:v>
                </c:pt>
                <c:pt idx="19">
                  <c:v>1599592.0005304904</c:v>
                </c:pt>
                <c:pt idx="20">
                  <c:v>1512709.3690897836</c:v>
                </c:pt>
                <c:pt idx="21">
                  <c:v>1654800.3617279141</c:v>
                </c:pt>
                <c:pt idx="22">
                  <c:v>2534603.5925504556</c:v>
                </c:pt>
                <c:pt idx="23">
                  <c:v>1235092.4135788511</c:v>
                </c:pt>
                <c:pt idx="24">
                  <c:v>758600.38283809193</c:v>
                </c:pt>
                <c:pt idx="25">
                  <c:v>422118.49041296559</c:v>
                </c:pt>
                <c:pt idx="26">
                  <c:v>618291.98502002261</c:v>
                </c:pt>
                <c:pt idx="27">
                  <c:v>625307.00697289268</c:v>
                </c:pt>
              </c:numCache>
            </c:numRef>
          </c:yVal>
          <c:smooth val="0"/>
          <c:extLst>
            <c:ext xmlns:c16="http://schemas.microsoft.com/office/drawing/2014/chart" uri="{C3380CC4-5D6E-409C-BE32-E72D297353CC}">
              <c16:uniqueId val="{00000000-25AE-4835-AC1B-675E34DD659E}"/>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both using Albion test fishery average age comps from 2003-2022, Haley using only ages 3-5, Murdoch using ages 3-6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data'!$AB$5:$AB$71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3026030.4507266176</c:v>
                </c:pt>
                <c:pt idx="47">
                  <c:v>2685723.3687924482</c:v>
                </c:pt>
                <c:pt idx="48">
                  <c:v>2258243.2510302407</c:v>
                </c:pt>
                <c:pt idx="49">
                  <c:v>3003099.3336992869</c:v>
                </c:pt>
                <c:pt idx="50">
                  <c:v>2085989.8545379378</c:v>
                </c:pt>
                <c:pt idx="51">
                  <c:v>2415592.8993571778</c:v>
                </c:pt>
                <c:pt idx="52">
                  <c:v>1501700.0309801486</c:v>
                </c:pt>
                <c:pt idx="53">
                  <c:v>1192587.7091204056</c:v>
                </c:pt>
                <c:pt idx="54">
                  <c:v>841915.57000060705</c:v>
                </c:pt>
                <c:pt idx="55">
                  <c:v>779998.96799453057</c:v>
                </c:pt>
                <c:pt idx="56">
                  <c:v>1376695.7322840265</c:v>
                </c:pt>
                <c:pt idx="57">
                  <c:v>1658267.7131345156</c:v>
                </c:pt>
                <c:pt idx="58">
                  <c:v>1599592.0005304904</c:v>
                </c:pt>
                <c:pt idx="59">
                  <c:v>1512709.3690897836</c:v>
                </c:pt>
                <c:pt idx="60">
                  <c:v>1654800.3617279141</c:v>
                </c:pt>
                <c:pt idx="61">
                  <c:v>2534603.5925504556</c:v>
                </c:pt>
                <c:pt idx="62">
                  <c:v>1235092.4135788511</c:v>
                </c:pt>
                <c:pt idx="63">
                  <c:v>758600.38283809193</c:v>
                </c:pt>
                <c:pt idx="64">
                  <c:v>422118.49041296559</c:v>
                </c:pt>
                <c:pt idx="65">
                  <c:v>618291.98502002261</c:v>
                </c:pt>
                <c:pt idx="66">
                  <c:v>625307.00697289268</c:v>
                </c:pt>
              </c:numCache>
            </c:numRef>
          </c:yVal>
          <c:smooth val="0"/>
          <c:extLst>
            <c:ext xmlns:c16="http://schemas.microsoft.com/office/drawing/2014/chart" uri="{C3380CC4-5D6E-409C-BE32-E72D297353CC}">
              <c16:uniqueId val="{00000000-D6C0-41DA-AD86-EE06C0FEB857}"/>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using average vs annual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data'!$W$5:$W$71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pt idx="66">
                  <c:v>502191.09895925201</c:v>
                </c:pt>
              </c:numCache>
            </c:numRef>
          </c:yVal>
          <c:smooth val="0"/>
          <c:extLst>
            <c:ext xmlns:c16="http://schemas.microsoft.com/office/drawing/2014/chart" uri="{C3380CC4-5D6E-409C-BE32-E72D297353CC}">
              <c16:uniqueId val="{00000000-87BC-4D95-A89D-E65ABD035524}"/>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based on Haley's reconstruction with average</a:t>
            </a:r>
            <a:r>
              <a:rPr lang="en-US" baseline="0"/>
              <a:t> age compositgion for age 3-5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96748323688483"/>
                  <c:y val="-0.345529660082074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DECB-4096-BF48-98BAB392AFC8}"/>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5334208223972"/>
                  <c:y val="-0.594948964712744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Haley'!$Q$2:$Q$67</c:f>
              <c:numCache>
                <c:formatCode>General</c:formatCode>
                <c:ptCount val="66"/>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numCache>
            </c:numRef>
          </c:yVal>
          <c:smooth val="0"/>
          <c:extLst>
            <c:ext xmlns:c16="http://schemas.microsoft.com/office/drawing/2014/chart" uri="{C3380CC4-5D6E-409C-BE32-E72D297353CC}">
              <c16:uniqueId val="{00000001-B5B2-43CD-8772-721BC8B711B3}"/>
            </c:ext>
          </c:extLst>
        </c:ser>
        <c:dLbls>
          <c:showLegendKey val="0"/>
          <c:showVal val="0"/>
          <c:showCatName val="0"/>
          <c:showSerName val="0"/>
          <c:showPercent val="0"/>
          <c:showBubbleSize val="0"/>
        </c:dLbls>
        <c:axId val="1776147023"/>
        <c:axId val="1776145775"/>
      </c:scatterChart>
      <c:valAx>
        <c:axId val="1776147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5775"/>
        <c:crossesAt val="-1.5"/>
        <c:crossBetween val="midCat"/>
      </c:valAx>
      <c:valAx>
        <c:axId val="1776145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Haley'!$AA$42:$AA$107</c:f>
              <c:numCache>
                <c:formatCode>General</c:formatCode>
                <c:ptCount val="66"/>
                <c:pt idx="0">
                  <c:v>0.12302121104736397</c:v>
                </c:pt>
                <c:pt idx="1">
                  <c:v>-1.0448173412108619</c:v>
                </c:pt>
                <c:pt idx="2">
                  <c:v>-0.4030060420955951</c:v>
                </c:pt>
                <c:pt idx="3">
                  <c:v>1.4024181212356404</c:v>
                </c:pt>
                <c:pt idx="4">
                  <c:v>1.2620104794569733</c:v>
                </c:pt>
                <c:pt idx="5">
                  <c:v>3.3021151410127905</c:v>
                </c:pt>
                <c:pt idx="6">
                  <c:v>0.73533459243965271</c:v>
                </c:pt>
                <c:pt idx="7">
                  <c:v>0.32389226711655544</c:v>
                </c:pt>
                <c:pt idx="8">
                  <c:v>-0.29869714946564441</c:v>
                </c:pt>
                <c:pt idx="9">
                  <c:v>-0.97087292890948029</c:v>
                </c:pt>
                <c:pt idx="10">
                  <c:v>-0.97344159658372231</c:v>
                </c:pt>
                <c:pt idx="11">
                  <c:v>-0.28771105927509127</c:v>
                </c:pt>
                <c:pt idx="12">
                  <c:v>-0.55412425439225954</c:v>
                </c:pt>
                <c:pt idx="13">
                  <c:v>0.72176797024885331</c:v>
                </c:pt>
                <c:pt idx="14">
                  <c:v>1.0506368166654341</c:v>
                </c:pt>
                <c:pt idx="15">
                  <c:v>-0.65819817948679715</c:v>
                </c:pt>
                <c:pt idx="16">
                  <c:v>-0.1534956647741946</c:v>
                </c:pt>
                <c:pt idx="17">
                  <c:v>-0.42614287636064219</c:v>
                </c:pt>
                <c:pt idx="18">
                  <c:v>0.67581954500073693</c:v>
                </c:pt>
                <c:pt idx="19">
                  <c:v>0.25689300253551911</c:v>
                </c:pt>
                <c:pt idx="20">
                  <c:v>-0.44425788313559228</c:v>
                </c:pt>
                <c:pt idx="21">
                  <c:v>-5.3970616523935026E-2</c:v>
                </c:pt>
                <c:pt idx="22">
                  <c:v>0.36296241584917527</c:v>
                </c:pt>
                <c:pt idx="23">
                  <c:v>0.50466596656385476</c:v>
                </c:pt>
                <c:pt idx="24">
                  <c:v>4.2530412404177327E-2</c:v>
                </c:pt>
                <c:pt idx="25">
                  <c:v>-0.19279702962037015</c:v>
                </c:pt>
                <c:pt idx="26">
                  <c:v>-1.5268545951342611</c:v>
                </c:pt>
                <c:pt idx="27">
                  <c:v>-0.63288726284522023</c:v>
                </c:pt>
                <c:pt idx="28">
                  <c:v>-0.51950963455291232</c:v>
                </c:pt>
                <c:pt idx="29">
                  <c:v>-0.3511732503923663</c:v>
                </c:pt>
                <c:pt idx="30">
                  <c:v>0.76647359003472304</c:v>
                </c:pt>
                <c:pt idx="31">
                  <c:v>1.122214568511235</c:v>
                </c:pt>
                <c:pt idx="32">
                  <c:v>-0.22382313555351321</c:v>
                </c:pt>
                <c:pt idx="33">
                  <c:v>-0.20957464037343992</c:v>
                </c:pt>
                <c:pt idx="34">
                  <c:v>-1.0678666577134432</c:v>
                </c:pt>
                <c:pt idx="35">
                  <c:v>-0.27972552322946742</c:v>
                </c:pt>
                <c:pt idx="36">
                  <c:v>0.21104689339239283</c:v>
                </c:pt>
                <c:pt idx="37">
                  <c:v>-1.968241904325388</c:v>
                </c:pt>
                <c:pt idx="38">
                  <c:v>0.63700658763254969</c:v>
                </c:pt>
                <c:pt idx="39">
                  <c:v>0.80756916128693279</c:v>
                </c:pt>
                <c:pt idx="40">
                  <c:v>0.39854121657110175</c:v>
                </c:pt>
                <c:pt idx="41">
                  <c:v>-0.212816967698787</c:v>
                </c:pt>
                <c:pt idx="42">
                  <c:v>-0.16711016317302027</c:v>
                </c:pt>
                <c:pt idx="43">
                  <c:v>1.2425658512747868</c:v>
                </c:pt>
                <c:pt idx="44">
                  <c:v>1.0430627083724358</c:v>
                </c:pt>
                <c:pt idx="45">
                  <c:v>-0.39794497764914255</c:v>
                </c:pt>
                <c:pt idx="46">
                  <c:v>1.0511851343498841</c:v>
                </c:pt>
                <c:pt idx="47">
                  <c:v>1.5949547172986638</c:v>
                </c:pt>
                <c:pt idx="48">
                  <c:v>0.81633543241453166</c:v>
                </c:pt>
                <c:pt idx="49">
                  <c:v>1.5186676594104151</c:v>
                </c:pt>
                <c:pt idx="50">
                  <c:v>0.84241109552674176</c:v>
                </c:pt>
                <c:pt idx="51">
                  <c:v>0.67326955268210376</c:v>
                </c:pt>
                <c:pt idx="52">
                  <c:v>-0.24097073039494146</c:v>
                </c:pt>
                <c:pt idx="53">
                  <c:v>-0.49792023734015145</c:v>
                </c:pt>
                <c:pt idx="54">
                  <c:v>-1.4037455211756924</c:v>
                </c:pt>
                <c:pt idx="55">
                  <c:v>-1.7544852219566953</c:v>
                </c:pt>
                <c:pt idx="56">
                  <c:v>-0.52113314110747933</c:v>
                </c:pt>
                <c:pt idx="57">
                  <c:v>1.7701428008739251E-3</c:v>
                </c:pt>
                <c:pt idx="58">
                  <c:v>0.797932799799562</c:v>
                </c:pt>
                <c:pt idx="59">
                  <c:v>0.35000072354162115</c:v>
                </c:pt>
                <c:pt idx="60">
                  <c:v>-0.15938158976767833</c:v>
                </c:pt>
                <c:pt idx="61">
                  <c:v>0.66223613627946465</c:v>
                </c:pt>
                <c:pt idx="62">
                  <c:v>-0.42132330885464891</c:v>
                </c:pt>
                <c:pt idx="63">
                  <c:v>-1.5127524078196875</c:v>
                </c:pt>
                <c:pt idx="64">
                  <c:v>-2.5835881807623999</c:v>
                </c:pt>
                <c:pt idx="65">
                  <c:v>-2.1869502391022162</c:v>
                </c:pt>
              </c:numCache>
            </c:numRef>
          </c:yVal>
          <c:smooth val="0"/>
          <c:extLst>
            <c:ext xmlns:c16="http://schemas.microsoft.com/office/drawing/2014/chart" uri="{C3380CC4-5D6E-409C-BE32-E72D297353CC}">
              <c16:uniqueId val="{00000000-F954-4FF4-BC12-EB876BC2744A}"/>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Haley'!$S$1</c:f>
              <c:strCache>
                <c:ptCount val="1"/>
                <c:pt idx="0">
                  <c:v>alpha(y)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Haley'!$R$2:$R$67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Haley'!$S$2:$S$67</c:f>
              <c:numCache>
                <c:formatCode>General</c:formatCode>
                <c:ptCount val="66"/>
                <c:pt idx="0">
                  <c:v>1.073744911420206</c:v>
                </c:pt>
                <c:pt idx="1">
                  <c:v>0.97976500330544158</c:v>
                </c:pt>
                <c:pt idx="2">
                  <c:v>1.1020315575824775</c:v>
                </c:pt>
                <c:pt idx="3">
                  <c:v>1.2082923427962495</c:v>
                </c:pt>
                <c:pt idx="4">
                  <c:v>1.2402736569027621</c:v>
                </c:pt>
                <c:pt idx="5">
                  <c:v>1.1895366042301065</c:v>
                </c:pt>
                <c:pt idx="6">
                  <c:v>0.95299088208742777</c:v>
                </c:pt>
                <c:pt idx="7">
                  <c:v>1.0711113526119269</c:v>
                </c:pt>
                <c:pt idx="8">
                  <c:v>1.0681971422201602</c:v>
                </c:pt>
                <c:pt idx="9">
                  <c:v>0.9909033540859471</c:v>
                </c:pt>
                <c:pt idx="10">
                  <c:v>1.1279280383213841</c:v>
                </c:pt>
                <c:pt idx="11">
                  <c:v>1.0075885716904243</c:v>
                </c:pt>
                <c:pt idx="12">
                  <c:v>1.0786839928889356</c:v>
                </c:pt>
                <c:pt idx="13">
                  <c:v>1.0694051231795603</c:v>
                </c:pt>
                <c:pt idx="14">
                  <c:v>1.1410338390079129</c:v>
                </c:pt>
                <c:pt idx="15">
                  <c:v>0.97503101084460164</c:v>
                </c:pt>
                <c:pt idx="16">
                  <c:v>1.0299869239719341</c:v>
                </c:pt>
                <c:pt idx="17">
                  <c:v>0.87562498715662773</c:v>
                </c:pt>
                <c:pt idx="18">
                  <c:v>1.0640228882566198</c:v>
                </c:pt>
                <c:pt idx="19">
                  <c:v>1.1355771593213069</c:v>
                </c:pt>
                <c:pt idx="20">
                  <c:v>1.1454463426815367</c:v>
                </c:pt>
                <c:pt idx="21">
                  <c:v>1.036811958317795</c:v>
                </c:pt>
                <c:pt idx="22">
                  <c:v>1.1081238503965305</c:v>
                </c:pt>
                <c:pt idx="23">
                  <c:v>1.1200091530245391</c:v>
                </c:pt>
                <c:pt idx="24">
                  <c:v>1.1845118965518471</c:v>
                </c:pt>
                <c:pt idx="25">
                  <c:v>1.039561297240942</c:v>
                </c:pt>
                <c:pt idx="26">
                  <c:v>0.75582687613447064</c:v>
                </c:pt>
                <c:pt idx="27">
                  <c:v>1.0305898231223802</c:v>
                </c:pt>
                <c:pt idx="28">
                  <c:v>0.97529758910605846</c:v>
                </c:pt>
                <c:pt idx="29">
                  <c:v>0.9310387218267786</c:v>
                </c:pt>
                <c:pt idx="30">
                  <c:v>0.90630958467719736</c:v>
                </c:pt>
                <c:pt idx="31">
                  <c:v>0.79452800667598433</c:v>
                </c:pt>
                <c:pt idx="32">
                  <c:v>0.82335391743227393</c:v>
                </c:pt>
                <c:pt idx="33">
                  <c:v>0.8224564054113519</c:v>
                </c:pt>
                <c:pt idx="34">
                  <c:v>0.44758780284724509</c:v>
                </c:pt>
                <c:pt idx="35">
                  <c:v>0.48977167593200094</c:v>
                </c:pt>
                <c:pt idx="36">
                  <c:v>0.80830531295221386</c:v>
                </c:pt>
                <c:pt idx="37">
                  <c:v>0.78379600711344766</c:v>
                </c:pt>
                <c:pt idx="38">
                  <c:v>0.61866736141027312</c:v>
                </c:pt>
                <c:pt idx="39">
                  <c:v>0.6212655116507807</c:v>
                </c:pt>
                <c:pt idx="40">
                  <c:v>0.35540522053118917</c:v>
                </c:pt>
                <c:pt idx="41">
                  <c:v>0.40458541140787263</c:v>
                </c:pt>
                <c:pt idx="42">
                  <c:v>0.46904115170271082</c:v>
                </c:pt>
                <c:pt idx="43">
                  <c:v>0.11772770647165157</c:v>
                </c:pt>
                <c:pt idx="44">
                  <c:v>7.7232328468119005E-2</c:v>
                </c:pt>
                <c:pt idx="45">
                  <c:v>0.2719058960358296</c:v>
                </c:pt>
                <c:pt idx="46">
                  <c:v>0.33575910866229453</c:v>
                </c:pt>
                <c:pt idx="47">
                  <c:v>-0.61784521235056</c:v>
                </c:pt>
                <c:pt idx="48">
                  <c:v>-0.41837593745978024</c:v>
                </c:pt>
                <c:pt idx="49">
                  <c:v>0.66017092751897155</c:v>
                </c:pt>
                <c:pt idx="50">
                  <c:v>-0.54498304583109891</c:v>
                </c:pt>
                <c:pt idx="51">
                  <c:v>-0.25473316908315397</c:v>
                </c:pt>
                <c:pt idx="52">
                  <c:v>0.1356761747879171</c:v>
                </c:pt>
                <c:pt idx="53">
                  <c:v>-0.50758822156889194</c:v>
                </c:pt>
                <c:pt idx="54">
                  <c:v>0.21417231547212168</c:v>
                </c:pt>
                <c:pt idx="55">
                  <c:v>-4.5646125776605179E-2</c:v>
                </c:pt>
                <c:pt idx="56">
                  <c:v>0.48893111349925067</c:v>
                </c:pt>
                <c:pt idx="57">
                  <c:v>0.38237910246406592</c:v>
                </c:pt>
                <c:pt idx="58">
                  <c:v>0.54331377552882065</c:v>
                </c:pt>
                <c:pt idx="59">
                  <c:v>0.55243559657018859</c:v>
                </c:pt>
                <c:pt idx="60">
                  <c:v>0.32165190610155836</c:v>
                </c:pt>
                <c:pt idx="61">
                  <c:v>-8.1690767305741263E-2</c:v>
                </c:pt>
                <c:pt idx="62">
                  <c:v>3.3662149657688101E-2</c:v>
                </c:pt>
                <c:pt idx="63">
                  <c:v>-0.19969646414430609</c:v>
                </c:pt>
                <c:pt idx="64">
                  <c:v>-0.1374635865443179</c:v>
                </c:pt>
                <c:pt idx="65">
                  <c:v>-0.54788870116802824</c:v>
                </c:pt>
              </c:numCache>
            </c:numRef>
          </c:yVal>
          <c:smooth val="0"/>
          <c:extLst>
            <c:ext xmlns:c16="http://schemas.microsoft.com/office/drawing/2014/chart" uri="{C3380CC4-5D6E-409C-BE32-E72D297353CC}">
              <c16:uniqueId val="{00000000-DC45-4CCB-ABF2-940606D5FB86}"/>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Haley'!$AZ$33:$AZ$98</c:f>
              <c:numCache>
                <c:formatCode>General</c:formatCode>
                <c:ptCount val="66"/>
                <c:pt idx="0">
                  <c:v>-1.1382978025605891E-2</c:v>
                </c:pt>
                <c:pt idx="1">
                  <c:v>-1.0782072443696917</c:v>
                </c:pt>
                <c:pt idx="2">
                  <c:v>-0.59794490900372788</c:v>
                </c:pt>
                <c:pt idx="3">
                  <c:v>1.1896536006133041</c:v>
                </c:pt>
                <c:pt idx="4">
                  <c:v>0.93739791022182106</c:v>
                </c:pt>
                <c:pt idx="5">
                  <c:v>3.3502688946952488</c:v>
                </c:pt>
                <c:pt idx="6">
                  <c:v>1.0160600650030081</c:v>
                </c:pt>
                <c:pt idx="7">
                  <c:v>0.31287086802656111</c:v>
                </c:pt>
                <c:pt idx="8">
                  <c:v>-0.43512121512412277</c:v>
                </c:pt>
                <c:pt idx="9">
                  <c:v>-1.0194631252614863</c:v>
                </c:pt>
                <c:pt idx="10">
                  <c:v>-1.2482882154592216</c:v>
                </c:pt>
                <c:pt idx="11">
                  <c:v>-0.27945083942825072</c:v>
                </c:pt>
                <c:pt idx="12">
                  <c:v>-0.79180515139684726</c:v>
                </c:pt>
                <c:pt idx="13">
                  <c:v>0.51971383376574609</c:v>
                </c:pt>
                <c:pt idx="14">
                  <c:v>0.88033409990842704</c:v>
                </c:pt>
                <c:pt idx="15">
                  <c:v>-0.91464832233597826</c:v>
                </c:pt>
                <c:pt idx="16">
                  <c:v>-0.2772235879303202</c:v>
                </c:pt>
                <c:pt idx="17">
                  <c:v>-0.87606210118388927</c:v>
                </c:pt>
                <c:pt idx="18">
                  <c:v>0.39964234951122402</c:v>
                </c:pt>
                <c:pt idx="19">
                  <c:v>-0.15156836072225185</c:v>
                </c:pt>
                <c:pt idx="20">
                  <c:v>-0.93664699937839013</c:v>
                </c:pt>
                <c:pt idx="21">
                  <c:v>-0.45533155816454451</c:v>
                </c:pt>
                <c:pt idx="22">
                  <c:v>4.5366013981137397E-2</c:v>
                </c:pt>
                <c:pt idx="23">
                  <c:v>6.5092130563271081E-2</c:v>
                </c:pt>
                <c:pt idx="24">
                  <c:v>-0.36596296976808207</c:v>
                </c:pt>
                <c:pt idx="25">
                  <c:v>-0.50371820447688243</c:v>
                </c:pt>
                <c:pt idx="26">
                  <c:v>-1.674009552475229</c:v>
                </c:pt>
                <c:pt idx="27">
                  <c:v>-0.98392076997409428</c:v>
                </c:pt>
                <c:pt idx="28">
                  <c:v>-0.60903042396869989</c:v>
                </c:pt>
                <c:pt idx="29">
                  <c:v>-0.40766375948323952</c:v>
                </c:pt>
                <c:pt idx="30">
                  <c:v>0.69310777309486127</c:v>
                </c:pt>
                <c:pt idx="31">
                  <c:v>1.4605436750583185</c:v>
                </c:pt>
                <c:pt idx="32">
                  <c:v>-0.11360140582079958</c:v>
                </c:pt>
                <c:pt idx="33">
                  <c:v>-0.31717115912073601</c:v>
                </c:pt>
                <c:pt idx="34">
                  <c:v>-1.4699293635349948</c:v>
                </c:pt>
                <c:pt idx="35">
                  <c:v>-0.22754914753668701</c:v>
                </c:pt>
                <c:pt idx="36">
                  <c:v>0.37970972038002487</c:v>
                </c:pt>
                <c:pt idx="37">
                  <c:v>-2.1059170723929053</c:v>
                </c:pt>
                <c:pt idx="38">
                  <c:v>0.83598231250744937</c:v>
                </c:pt>
                <c:pt idx="39">
                  <c:v>0.83071202260720567</c:v>
                </c:pt>
                <c:pt idx="40">
                  <c:v>0.69350478016709882</c:v>
                </c:pt>
                <c:pt idx="41">
                  <c:v>9.4558456081014573E-3</c:v>
                </c:pt>
                <c:pt idx="42">
                  <c:v>-3.5968170701791806E-2</c:v>
                </c:pt>
                <c:pt idx="43">
                  <c:v>1.3009314362366644</c:v>
                </c:pt>
                <c:pt idx="44">
                  <c:v>1.221103555762908</c:v>
                </c:pt>
                <c:pt idx="45">
                  <c:v>-0.17745917005612452</c:v>
                </c:pt>
                <c:pt idx="46">
                  <c:v>1.4340041204265515</c:v>
                </c:pt>
                <c:pt idx="47">
                  <c:v>0.79858660922133795</c:v>
                </c:pt>
                <c:pt idx="48">
                  <c:v>0.27562515373925806</c:v>
                </c:pt>
                <c:pt idx="49">
                  <c:v>1.6960410107224135</c:v>
                </c:pt>
                <c:pt idx="50">
                  <c:v>0.36280080208407234</c:v>
                </c:pt>
                <c:pt idx="51">
                  <c:v>0.66221483554782623</c:v>
                </c:pt>
                <c:pt idx="52">
                  <c:v>-0.11253634828781071</c:v>
                </c:pt>
                <c:pt idx="53">
                  <c:v>-0.60011559665149827</c:v>
                </c:pt>
                <c:pt idx="54">
                  <c:v>-1.3237682600072604</c:v>
                </c:pt>
                <c:pt idx="55">
                  <c:v>-1.9747611584171725</c:v>
                </c:pt>
                <c:pt idx="56">
                  <c:v>-0.59966938165387229</c:v>
                </c:pt>
                <c:pt idx="57">
                  <c:v>0.29155342593377176</c:v>
                </c:pt>
                <c:pt idx="58">
                  <c:v>1.4671177299940783</c:v>
                </c:pt>
                <c:pt idx="59">
                  <c:v>0.79088220769059325</c:v>
                </c:pt>
                <c:pt idx="60">
                  <c:v>0.12509175743668516</c:v>
                </c:pt>
                <c:pt idx="61">
                  <c:v>1.484293305209238</c:v>
                </c:pt>
                <c:pt idx="62">
                  <c:v>0.34502692855220685</c:v>
                </c:pt>
                <c:pt idx="63">
                  <c:v>-0.3310901688385316</c:v>
                </c:pt>
                <c:pt idx="64">
                  <c:v>-1.3439838178585097</c:v>
                </c:pt>
                <c:pt idx="65">
                  <c:v>-1.5237182654611523</c:v>
                </c:pt>
              </c:numCache>
            </c:numRef>
          </c:yVal>
          <c:smooth val="0"/>
          <c:extLst>
            <c:ext xmlns:c16="http://schemas.microsoft.com/office/drawing/2014/chart" uri="{C3380CC4-5D6E-409C-BE32-E72D297353CC}">
              <c16:uniqueId val="{00000000-CBDD-4E63-BA31-F3A25EAEE203}"/>
            </c:ext>
          </c:extLst>
        </c:ser>
        <c:dLbls>
          <c:showLegendKey val="0"/>
          <c:showVal val="0"/>
          <c:showCatName val="0"/>
          <c:showSerName val="0"/>
          <c:showPercent val="0"/>
          <c:showBubbleSize val="0"/>
        </c:dLbls>
        <c:axId val="10186751"/>
        <c:axId val="10188831"/>
      </c:scatterChart>
      <c:valAx>
        <c:axId val="10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831"/>
        <c:crossesAt val="-3"/>
        <c:crossBetween val="midCat"/>
      </c:valAx>
      <c:valAx>
        <c:axId val="101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7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Haley'!$C$2:$C$68</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'SR + catch data Haley'!$H$2:$H$68</c:f>
              <c:numCache>
                <c:formatCode>0.0000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0-B6DB-46FD-B94E-B20163B75E24}"/>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BC3B-4878-9E72-8FE018E8E47E}"/>
            </c:ext>
          </c:extLst>
        </c:ser>
        <c:dLbls>
          <c:showLegendKey val="0"/>
          <c:showVal val="0"/>
          <c:showCatName val="0"/>
          <c:showSerName val="0"/>
          <c:showPercent val="0"/>
          <c:showBubbleSize val="0"/>
        </c:dLbls>
        <c:axId val="1853913232"/>
        <c:axId val="1853924048"/>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24048"/>
        <c:crosses val="autoZero"/>
        <c:crossBetween val="midCat"/>
      </c:valAx>
      <c:valAx>
        <c:axId val="18539240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C838-436E-847A-4C7A981825C2}"/>
            </c:ext>
          </c:extLst>
        </c:ser>
        <c:dLbls>
          <c:showLegendKey val="0"/>
          <c:showVal val="0"/>
          <c:showCatName val="0"/>
          <c:showSerName val="0"/>
          <c:showPercent val="0"/>
          <c:showBubbleSize val="0"/>
        </c:dLbls>
        <c:axId val="1853929040"/>
        <c:axId val="1853925296"/>
      </c:scatterChart>
      <c:valAx>
        <c:axId val="1853929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25296"/>
        <c:crosses val="autoZero"/>
        <c:crossBetween val="midCat"/>
      </c:valAx>
      <c:valAx>
        <c:axId val="1853925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29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3893-43DA-BA4F-589CC4324251}"/>
            </c:ext>
          </c:extLst>
        </c:ser>
        <c:dLbls>
          <c:showLegendKey val="0"/>
          <c:showVal val="0"/>
          <c:showCatName val="0"/>
          <c:showSerName val="0"/>
          <c:showPercent val="0"/>
          <c:showBubbleSize val="0"/>
        </c:dLbls>
        <c:axId val="1853913232"/>
        <c:axId val="1853926544"/>
      </c:scatterChart>
      <c:valAx>
        <c:axId val="185391323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26544"/>
        <c:crosses val="autoZero"/>
        <c:crossBetween val="midCat"/>
      </c:valAx>
      <c:valAx>
        <c:axId val="185392654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2D99-4FDA-9F65-EFF82496444F}"/>
            </c:ext>
          </c:extLst>
        </c:ser>
        <c:dLbls>
          <c:showLegendKey val="0"/>
          <c:showVal val="0"/>
          <c:showCatName val="0"/>
          <c:showSerName val="0"/>
          <c:showPercent val="0"/>
          <c:showBubbleSize val="0"/>
        </c:dLbls>
        <c:axId val="1853913232"/>
        <c:axId val="1853918224"/>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18224"/>
        <c:crosses val="autoZero"/>
        <c:crossBetween val="midCat"/>
      </c:valAx>
      <c:valAx>
        <c:axId val="185391822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C61-4A1D-9B0C-50D8706CA4C5}"/>
            </c:ext>
          </c:extLst>
        </c:ser>
        <c:dLbls>
          <c:showLegendKey val="0"/>
          <c:showVal val="0"/>
          <c:showCatName val="0"/>
          <c:showSerName val="0"/>
          <c:showPercent val="0"/>
          <c:showBubbleSize val="0"/>
        </c:dLbls>
        <c:axId val="1853856240"/>
        <c:axId val="1853854160"/>
      </c:scatterChart>
      <c:valAx>
        <c:axId val="18538562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854160"/>
        <c:crosses val="autoZero"/>
        <c:crossBetween val="midCat"/>
      </c:valAx>
      <c:valAx>
        <c:axId val="18538541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10C-41EB-90F3-8283958D3A5E}"/>
            </c:ext>
          </c:extLst>
        </c:ser>
        <c:dLbls>
          <c:showLegendKey val="0"/>
          <c:showVal val="0"/>
          <c:showCatName val="0"/>
          <c:showSerName val="0"/>
          <c:showPercent val="0"/>
          <c:showBubbleSize val="0"/>
        </c:dLbls>
        <c:axId val="1853856240"/>
        <c:axId val="1853846256"/>
      </c:scatterChart>
      <c:valAx>
        <c:axId val="1853856240"/>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846256"/>
        <c:crosses val="autoZero"/>
        <c:crossBetween val="midCat"/>
      </c:valAx>
      <c:valAx>
        <c:axId val="1853846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Haley'!$N$2:$N$67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89E9-427A-8550-4E61BD44CC66}"/>
            </c:ext>
          </c:extLst>
        </c:ser>
        <c:dLbls>
          <c:showLegendKey val="0"/>
          <c:showVal val="0"/>
          <c:showCatName val="0"/>
          <c:showSerName val="0"/>
          <c:showPercent val="0"/>
          <c:showBubbleSize val="0"/>
        </c:dLbls>
        <c:axId val="1853856240"/>
        <c:axId val="1853856656"/>
      </c:scatterChart>
      <c:valAx>
        <c:axId val="1853856240"/>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856656"/>
        <c:crosses val="autoZero"/>
        <c:crossBetween val="midCat"/>
      </c:valAx>
      <c:valAx>
        <c:axId val="18538566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Haley'!$O$2:$O$67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B6CB-4ED3-86C2-865678F5897A}"/>
            </c:ext>
          </c:extLst>
        </c:ser>
        <c:dLbls>
          <c:showLegendKey val="0"/>
          <c:showVal val="0"/>
          <c:showCatName val="0"/>
          <c:showSerName val="0"/>
          <c:showPercent val="0"/>
          <c:showBubbleSize val="0"/>
        </c:dLbls>
        <c:axId val="1853856240"/>
        <c:axId val="1853858736"/>
      </c:scatterChart>
      <c:valAx>
        <c:axId val="1853856240"/>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858736"/>
        <c:crosses val="autoZero"/>
        <c:crossBetween val="midCat"/>
      </c:valAx>
      <c:valAx>
        <c:axId val="18538587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Haley'!$Z$42:$Z$107</c:f>
              <c:numCache>
                <c:formatCode>General</c:formatCode>
                <c:ptCount val="66"/>
                <c:pt idx="0">
                  <c:v>6.2172279953230936E-2</c:v>
                </c:pt>
                <c:pt idx="1">
                  <c:v>-0.52802826183155194</c:v>
                </c:pt>
                <c:pt idx="2">
                  <c:v>-0.20367060492002687</c:v>
                </c:pt>
                <c:pt idx="3">
                  <c:v>0.70875202172556317</c:v>
                </c:pt>
                <c:pt idx="4">
                  <c:v>0.63779301280412315</c:v>
                </c:pt>
                <c:pt idx="5">
                  <c:v>1.6688181268660085</c:v>
                </c:pt>
                <c:pt idx="6">
                  <c:v>0.37162232229084102</c:v>
                </c:pt>
                <c:pt idx="7">
                  <c:v>0.16368820087541014</c:v>
                </c:pt>
                <c:pt idx="8">
                  <c:v>-0.15095512911720788</c:v>
                </c:pt>
                <c:pt idx="9">
                  <c:v>-0.49065834274655257</c:v>
                </c:pt>
                <c:pt idx="10">
                  <c:v>-0.49195649226394189</c:v>
                </c:pt>
                <c:pt idx="11">
                  <c:v>-0.14540299490308817</c:v>
                </c:pt>
                <c:pt idx="12">
                  <c:v>-0.28004250632589689</c:v>
                </c:pt>
                <c:pt idx="13">
                  <c:v>0.36476604258358503</c:v>
                </c:pt>
                <c:pt idx="14">
                  <c:v>0.53096929983680552</c:v>
                </c:pt>
                <c:pt idx="15">
                  <c:v>-0.33263923457886446</c:v>
                </c:pt>
                <c:pt idx="16">
                  <c:v>-7.7573414866435764E-2</c:v>
                </c:pt>
                <c:pt idx="17">
                  <c:v>-0.21536346442702842</c:v>
                </c:pt>
                <c:pt idx="18">
                  <c:v>0.34154469454437464</c:v>
                </c:pt>
                <c:pt idx="19">
                  <c:v>0.12982821040117365</c:v>
                </c:pt>
                <c:pt idx="20">
                  <c:v>-0.22451840009201107</c:v>
                </c:pt>
                <c:pt idx="21">
                  <c:v>-2.7275591348899009E-2</c:v>
                </c:pt>
                <c:pt idx="22">
                  <c:v>0.18343341557569137</c:v>
                </c:pt>
                <c:pt idx="23">
                  <c:v>0.25504734906239712</c:v>
                </c:pt>
                <c:pt idx="24">
                  <c:v>2.149395770052076E-2</c:v>
                </c:pt>
                <c:pt idx="25">
                  <c:v>-9.7435481228469456E-2</c:v>
                </c:pt>
                <c:pt idx="26">
                  <c:v>-0.77163954515141664</c:v>
                </c:pt>
                <c:pt idx="27">
                  <c:v>-0.31984764049589653</c:v>
                </c:pt>
                <c:pt idx="28">
                  <c:v>-0.26254902030991223</c:v>
                </c:pt>
                <c:pt idx="29">
                  <c:v>-0.17747542435649022</c:v>
                </c:pt>
                <c:pt idx="30">
                  <c:v>0.38735930341353808</c:v>
                </c:pt>
                <c:pt idx="31">
                  <c:v>0.56714315951752914</c:v>
                </c:pt>
                <c:pt idx="32">
                  <c:v>-0.11311540932795228</c:v>
                </c:pt>
                <c:pt idx="33">
                  <c:v>-0.10591452564532688</c:v>
                </c:pt>
                <c:pt idx="34">
                  <c:v>-0.53967689173958788</c:v>
                </c:pt>
                <c:pt idx="35">
                  <c:v>-0.14136727636009644</c:v>
                </c:pt>
                <c:pt idx="36">
                  <c:v>0.10665857072565932</c:v>
                </c:pt>
                <c:pt idx="37">
                  <c:v>-0.99470721877615986</c:v>
                </c:pt>
                <c:pt idx="38">
                  <c:v>0.3219294588401943</c:v>
                </c:pt>
                <c:pt idx="39">
                  <c:v>0.40812812318841929</c:v>
                </c:pt>
                <c:pt idx="40">
                  <c:v>0.20141417791782268</c:v>
                </c:pt>
                <c:pt idx="41">
                  <c:v>-0.10755312829323838</c:v>
                </c:pt>
                <c:pt idx="42">
                  <c:v>-8.4453890181775626E-2</c:v>
                </c:pt>
                <c:pt idx="43">
                  <c:v>0.62796611501440835</c:v>
                </c:pt>
                <c:pt idx="44">
                  <c:v>0.52714150805050064</c:v>
                </c:pt>
                <c:pt idx="45">
                  <c:v>-0.20111285156231487</c:v>
                </c:pt>
                <c:pt idx="46">
                  <c:v>0.53124640782729515</c:v>
                </c:pt>
                <c:pt idx="47">
                  <c:v>0.80605588542321227</c:v>
                </c:pt>
                <c:pt idx="48">
                  <c:v>0.41255840848679087</c:v>
                </c:pt>
                <c:pt idx="49">
                  <c:v>0.76750204353321116</c:v>
                </c:pt>
                <c:pt idx="50">
                  <c:v>0.42573648902409189</c:v>
                </c:pt>
                <c:pt idx="51">
                  <c:v>0.34025598315092548</c:v>
                </c:pt>
                <c:pt idx="52">
                  <c:v>-0.12178143576298224</c:v>
                </c:pt>
                <c:pt idx="53">
                  <c:v>-0.25163820228019462</c:v>
                </c:pt>
                <c:pt idx="54">
                  <c:v>-0.70942286116845443</c:v>
                </c:pt>
                <c:pt idx="55">
                  <c:v>-0.88667917885560021</c:v>
                </c:pt>
                <c:pt idx="56">
                  <c:v>-0.26336950568115103</c:v>
                </c:pt>
                <c:pt idx="57">
                  <c:v>8.9459218321918943E-4</c:v>
                </c:pt>
                <c:pt idx="58">
                  <c:v>0.403258112894888</c:v>
                </c:pt>
                <c:pt idx="59">
                  <c:v>0.17688285444926388</c:v>
                </c:pt>
                <c:pt idx="60">
                  <c:v>-8.0548035042607657E-2</c:v>
                </c:pt>
                <c:pt idx="61">
                  <c:v>0.33467993128486684</c:v>
                </c:pt>
                <c:pt idx="62">
                  <c:v>-0.21292775844035311</c:v>
                </c:pt>
                <c:pt idx="63">
                  <c:v>-0.76451260232415885</c:v>
                </c:pt>
                <c:pt idx="64">
                  <c:v>-1.3056900211815983</c:v>
                </c:pt>
                <c:pt idx="65">
                  <c:v>-1.105237717558315</c:v>
                </c:pt>
              </c:numCache>
            </c:numRef>
          </c:yVal>
          <c:smooth val="0"/>
          <c:extLst>
            <c:ext xmlns:c16="http://schemas.microsoft.com/office/drawing/2014/chart" uri="{C3380CC4-5D6E-409C-BE32-E72D297353CC}">
              <c16:uniqueId val="{00000001-5BAC-4634-9339-A9076B270521}"/>
            </c:ext>
          </c:extLst>
        </c:ser>
        <c:dLbls>
          <c:showLegendKey val="0"/>
          <c:showVal val="0"/>
          <c:showCatName val="0"/>
          <c:showSerName val="0"/>
          <c:showPercent val="0"/>
          <c:showBubbleSize val="0"/>
        </c:dLbls>
        <c:axId val="1853875376"/>
        <c:axId val="1853860400"/>
      </c:scatterChart>
      <c:valAx>
        <c:axId val="185387537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860400"/>
        <c:crosses val="autoZero"/>
        <c:crossBetween val="midCat"/>
      </c:valAx>
      <c:valAx>
        <c:axId val="185386040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753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5"/>
            <c:dispRSqr val="0"/>
            <c:dispEq val="0"/>
          </c:trendline>
          <c:xVal>
            <c:numRef>
              <c:f>'SR + catch data Murdoch_age con'!$X$42:$X$107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con'!$AA$42:$AA$107</c:f>
              <c:numCache>
                <c:formatCode>General</c:formatCode>
                <c:ptCount val="66"/>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pt idx="65">
                  <c:v>-2.1818853179534776</c:v>
                </c:pt>
              </c:numCache>
            </c:numRef>
          </c:yVal>
          <c:smooth val="0"/>
          <c:extLst>
            <c:ext xmlns:c16="http://schemas.microsoft.com/office/drawing/2014/chart" uri="{C3380CC4-5D6E-409C-BE32-E72D297353CC}">
              <c16:uniqueId val="{00000001-94D9-469B-A1E5-15FC08E5C785}"/>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con'!$S$2:$S$67</c:f>
              <c:numCache>
                <c:formatCode>General</c:formatCode>
                <c:ptCount val="66"/>
                <c:pt idx="0">
                  <c:v>1.1234382309633071</c:v>
                </c:pt>
                <c:pt idx="1">
                  <c:v>1.015304022223338</c:v>
                </c:pt>
                <c:pt idx="2">
                  <c:v>1.1503835293583833</c:v>
                </c:pt>
                <c:pt idx="3">
                  <c:v>1.266371346456908</c:v>
                </c:pt>
                <c:pt idx="4">
                  <c:v>1.3029937117644204</c:v>
                </c:pt>
                <c:pt idx="5">
                  <c:v>1.2403377742482689</c:v>
                </c:pt>
                <c:pt idx="6">
                  <c:v>0.97165770599246826</c:v>
                </c:pt>
                <c:pt idx="7">
                  <c:v>1.1073797660570346</c:v>
                </c:pt>
                <c:pt idx="8">
                  <c:v>1.1075347711697505</c:v>
                </c:pt>
                <c:pt idx="9">
                  <c:v>1.0181734284760582</c:v>
                </c:pt>
                <c:pt idx="10">
                  <c:v>1.1729342054285323</c:v>
                </c:pt>
                <c:pt idx="11">
                  <c:v>1.0361347183918213</c:v>
                </c:pt>
                <c:pt idx="12">
                  <c:v>1.1212053210775017</c:v>
                </c:pt>
                <c:pt idx="13">
                  <c:v>1.1135613698376186</c:v>
                </c:pt>
                <c:pt idx="14">
                  <c:v>1.1887697649610882</c:v>
                </c:pt>
                <c:pt idx="15">
                  <c:v>1.0115446874491065</c:v>
                </c:pt>
                <c:pt idx="16">
                  <c:v>1.0660183370923466</c:v>
                </c:pt>
                <c:pt idx="17">
                  <c:v>0.91537524233282863</c:v>
                </c:pt>
                <c:pt idx="18">
                  <c:v>1.11055363550949</c:v>
                </c:pt>
                <c:pt idx="19">
                  <c:v>1.1915895091901483</c:v>
                </c:pt>
                <c:pt idx="20">
                  <c:v>1.2035943436478724</c:v>
                </c:pt>
                <c:pt idx="21">
                  <c:v>1.0869714222407254</c:v>
                </c:pt>
                <c:pt idx="22">
                  <c:v>1.1599975653836636</c:v>
                </c:pt>
                <c:pt idx="23">
                  <c:v>1.1785305756550011</c:v>
                </c:pt>
                <c:pt idx="24">
                  <c:v>1.2432283950839988</c:v>
                </c:pt>
                <c:pt idx="25">
                  <c:v>1.0854470712454465</c:v>
                </c:pt>
                <c:pt idx="26">
                  <c:v>0.77478442769781874</c:v>
                </c:pt>
                <c:pt idx="27">
                  <c:v>1.0762380656922674</c:v>
                </c:pt>
                <c:pt idx="28">
                  <c:v>1.0069983679801471</c:v>
                </c:pt>
                <c:pt idx="29">
                  <c:v>0.95978688620196695</c:v>
                </c:pt>
                <c:pt idx="30">
                  <c:v>0.93881642214842609</c:v>
                </c:pt>
                <c:pt idx="31">
                  <c:v>0.80426870882502355</c:v>
                </c:pt>
                <c:pt idx="32">
                  <c:v>0.84034200486849497</c:v>
                </c:pt>
                <c:pt idx="33">
                  <c:v>0.84937431258035256</c:v>
                </c:pt>
                <c:pt idx="34">
                  <c:v>0.46836580682078227</c:v>
                </c:pt>
                <c:pt idx="35">
                  <c:v>0.4944079115267086</c:v>
                </c:pt>
                <c:pt idx="36">
                  <c:v>0.82350698865334304</c:v>
                </c:pt>
                <c:pt idx="37">
                  <c:v>0.80517668217036187</c:v>
                </c:pt>
                <c:pt idx="38">
                  <c:v>0.62743496494554063</c:v>
                </c:pt>
                <c:pt idx="39">
                  <c:v>0.63713974502827142</c:v>
                </c:pt>
                <c:pt idx="40">
                  <c:v>0.34666609741434906</c:v>
                </c:pt>
                <c:pt idx="41">
                  <c:v>0.39979161258325591</c:v>
                </c:pt>
                <c:pt idx="42">
                  <c:v>0.47167259659822264</c:v>
                </c:pt>
                <c:pt idx="43">
                  <c:v>0.10898854426285816</c:v>
                </c:pt>
                <c:pt idx="44">
                  <c:v>6.1011845568062086E-2</c:v>
                </c:pt>
                <c:pt idx="45">
                  <c:v>0.25945495797457141</c:v>
                </c:pt>
                <c:pt idx="46">
                  <c:v>0.32542420658211635</c:v>
                </c:pt>
                <c:pt idx="47">
                  <c:v>-0.62132999278991541</c:v>
                </c:pt>
                <c:pt idx="48">
                  <c:v>-0.42523708255914927</c:v>
                </c:pt>
                <c:pt idx="49">
                  <c:v>0.68085541242603453</c:v>
                </c:pt>
                <c:pt idx="50">
                  <c:v>-0.55793934983184834</c:v>
                </c:pt>
                <c:pt idx="51">
                  <c:v>-0.27324499861814011</c:v>
                </c:pt>
                <c:pt idx="52">
                  <c:v>0.12746734567727505</c:v>
                </c:pt>
                <c:pt idx="53">
                  <c:v>-0.53977561015010056</c:v>
                </c:pt>
                <c:pt idx="54">
                  <c:v>0.2097972174321116</c:v>
                </c:pt>
                <c:pt idx="55">
                  <c:v>-4.8731846748137769E-2</c:v>
                </c:pt>
                <c:pt idx="56">
                  <c:v>0.51318863436855489</c:v>
                </c:pt>
                <c:pt idx="57">
                  <c:v>0.38815123571070198</c:v>
                </c:pt>
                <c:pt idx="58">
                  <c:v>0.54556342189811824</c:v>
                </c:pt>
                <c:pt idx="59">
                  <c:v>0.56567380884679697</c:v>
                </c:pt>
                <c:pt idx="60">
                  <c:v>0.32999277308444019</c:v>
                </c:pt>
                <c:pt idx="61">
                  <c:v>-0.11354740279299977</c:v>
                </c:pt>
                <c:pt idx="62">
                  <c:v>8.445851062171994E-3</c:v>
                </c:pt>
                <c:pt idx="63">
                  <c:v>-0.25778032548875845</c:v>
                </c:pt>
                <c:pt idx="64">
                  <c:v>-0.19865050773645077</c:v>
                </c:pt>
                <c:pt idx="65">
                  <c:v>-0.60998714383811059</c:v>
                </c:pt>
              </c:numCache>
            </c:numRef>
          </c:yVal>
          <c:smooth val="0"/>
          <c:extLst>
            <c:ext xmlns:c16="http://schemas.microsoft.com/office/drawing/2014/chart" uri="{C3380CC4-5D6E-409C-BE32-E72D297353CC}">
              <c16:uniqueId val="{00000001-B209-46D5-9C87-29CF5CDE7874}"/>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con'!$Q$2:$Q$67</c:f>
              <c:numCache>
                <c:formatCode>General</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1.0624551925891534</c:v>
                </c:pt>
                <c:pt idx="47">
                  <c:v>-0.28210337671043434</c:v>
                </c:pt>
                <c:pt idx="48">
                  <c:v>-0.27976805182261238</c:v>
                </c:pt>
                <c:pt idx="49">
                  <c:v>1.4563540968498505</c:v>
                </c:pt>
                <c:pt idx="50">
                  <c:v>-0.41275973174855596</c:v>
                </c:pt>
                <c:pt idx="51">
                  <c:v>4.8057858333487566E-2</c:v>
                </c:pt>
                <c:pt idx="52">
                  <c:v>4.8121396913901751E-3</c:v>
                </c:pt>
                <c:pt idx="53">
                  <c:v>-0.82326812227176638</c:v>
                </c:pt>
                <c:pt idx="54">
                  <c:v>-0.45829379451452573</c:v>
                </c:pt>
                <c:pt idx="55">
                  <c:v>-0.9268114038855616</c:v>
                </c:pt>
                <c:pt idx="56">
                  <c:v>0.26401692545269301</c:v>
                </c:pt>
                <c:pt idx="57">
                  <c:v>0.52392118867178106</c:v>
                </c:pt>
                <c:pt idx="58">
                  <c:v>1.2151368894649843</c:v>
                </c:pt>
                <c:pt idx="59">
                  <c:v>0.91030249988950107</c:v>
                </c:pt>
                <c:pt idx="60">
                  <c:v>0.42758266859195582</c:v>
                </c:pt>
                <c:pt idx="61">
                  <c:v>0.60717724186679167</c:v>
                </c:pt>
                <c:pt idx="62">
                  <c:v>5.5990763650055189E-2</c:v>
                </c:pt>
                <c:pt idx="63">
                  <c:v>-0.4294989622701833</c:v>
                </c:pt>
                <c:pt idx="64">
                  <c:v>-0.81208603903978072</c:v>
                </c:pt>
                <c:pt idx="65">
                  <c:v>-1.1615582877267705</c:v>
                </c:pt>
              </c:numCache>
            </c:numRef>
          </c:yVal>
          <c:smooth val="0"/>
          <c:extLst>
            <c:ext xmlns:c16="http://schemas.microsoft.com/office/drawing/2014/chart" uri="{C3380CC4-5D6E-409C-BE32-E72D297353CC}">
              <c16:uniqueId val="{00000001-2A22-417F-BA06-6E76195E66D6}"/>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con'!$Z$42:$Z$107</c:f>
              <c:numCache>
                <c:formatCode>General</c:formatCode>
                <c:ptCount val="66"/>
                <c:pt idx="0">
                  <c:v>-5.9641842412441859E-2</c:v>
                </c:pt>
                <c:pt idx="1">
                  <c:v>-0.50799106854371412</c:v>
                </c:pt>
                <c:pt idx="2">
                  <c:v>-0.15807551779779172</c:v>
                </c:pt>
                <c:pt idx="3">
                  <c:v>0.74904883540846323</c:v>
                </c:pt>
                <c:pt idx="4">
                  <c:v>0.62598661754650697</c:v>
                </c:pt>
                <c:pt idx="5">
                  <c:v>1.3713769676455343</c:v>
                </c:pt>
                <c:pt idx="6">
                  <c:v>5.8526514212545511E-2</c:v>
                </c:pt>
                <c:pt idx="7">
                  <c:v>-1.5933278000893836E-2</c:v>
                </c:pt>
                <c:pt idx="8">
                  <c:v>-0.26521381978955816</c:v>
                </c:pt>
                <c:pt idx="9">
                  <c:v>-0.12151677033043451</c:v>
                </c:pt>
                <c:pt idx="10">
                  <c:v>-0.26465277891772832</c:v>
                </c:pt>
                <c:pt idx="11">
                  <c:v>4.0190000922124547E-2</c:v>
                </c:pt>
                <c:pt idx="12">
                  <c:v>-0.17627318615455934</c:v>
                </c:pt>
                <c:pt idx="13">
                  <c:v>0.44581455857062879</c:v>
                </c:pt>
                <c:pt idx="14">
                  <c:v>0.60043607820896305</c:v>
                </c:pt>
                <c:pt idx="15">
                  <c:v>-0.24872889474262183</c:v>
                </c:pt>
                <c:pt idx="16">
                  <c:v>-7.5779879337648182E-2</c:v>
                </c:pt>
                <c:pt idx="17">
                  <c:v>8.1705824767271951E-3</c:v>
                </c:pt>
                <c:pt idx="18">
                  <c:v>0.59879724489758079</c:v>
                </c:pt>
                <c:pt idx="19">
                  <c:v>3.4401628435026699E-2</c:v>
                </c:pt>
                <c:pt idx="20">
                  <c:v>-0.27141076906923844</c:v>
                </c:pt>
                <c:pt idx="21">
                  <c:v>-0.11245760073377253</c:v>
                </c:pt>
                <c:pt idx="22">
                  <c:v>0.13524863681392763</c:v>
                </c:pt>
                <c:pt idx="23">
                  <c:v>0.14288708646052628</c:v>
                </c:pt>
                <c:pt idx="24">
                  <c:v>-0.10178986097020737</c:v>
                </c:pt>
                <c:pt idx="25">
                  <c:v>-8.9320898223306133E-2</c:v>
                </c:pt>
                <c:pt idx="26">
                  <c:v>-0.81168799829490879</c:v>
                </c:pt>
                <c:pt idx="27">
                  <c:v>-0.30142018053856101</c:v>
                </c:pt>
                <c:pt idx="28">
                  <c:v>-0.278810128693179</c:v>
                </c:pt>
                <c:pt idx="29">
                  <c:v>-6.4991594704442046E-2</c:v>
                </c:pt>
                <c:pt idx="30">
                  <c:v>0.46977605951500734</c:v>
                </c:pt>
                <c:pt idx="31">
                  <c:v>0.55668004087925049</c:v>
                </c:pt>
                <c:pt idx="32">
                  <c:v>-0.32100258587193464</c:v>
                </c:pt>
                <c:pt idx="33">
                  <c:v>-0.20770944147092618</c:v>
                </c:pt>
                <c:pt idx="34">
                  <c:v>-0.60198426335991906</c:v>
                </c:pt>
                <c:pt idx="35">
                  <c:v>-0.19666972440084551</c:v>
                </c:pt>
                <c:pt idx="36">
                  <c:v>0.53031947371029875</c:v>
                </c:pt>
                <c:pt idx="37">
                  <c:v>0.22828630967461772</c:v>
                </c:pt>
                <c:pt idx="38">
                  <c:v>-4.8218867551489186E-2</c:v>
                </c:pt>
                <c:pt idx="39">
                  <c:v>0.23088182038467053</c:v>
                </c:pt>
                <c:pt idx="40">
                  <c:v>-0.1532029529331741</c:v>
                </c:pt>
                <c:pt idx="41">
                  <c:v>-0.4399057680252112</c:v>
                </c:pt>
                <c:pt idx="42">
                  <c:v>-0.20409646329171838</c:v>
                </c:pt>
                <c:pt idx="43">
                  <c:v>0.68283638827490456</c:v>
                </c:pt>
                <c:pt idx="44">
                  <c:v>0.45736834471691779</c:v>
                </c:pt>
                <c:pt idx="45">
                  <c:v>-0.22629880215428388</c:v>
                </c:pt>
                <c:pt idx="46">
                  <c:v>0.57698490627026122</c:v>
                </c:pt>
                <c:pt idx="47">
                  <c:v>0.82363736174178204</c:v>
                </c:pt>
                <c:pt idx="48">
                  <c:v>0.46297728411725131</c:v>
                </c:pt>
                <c:pt idx="49">
                  <c:v>0.75209536288493362</c:v>
                </c:pt>
                <c:pt idx="50">
                  <c:v>0.43414006234986868</c:v>
                </c:pt>
                <c:pt idx="51">
                  <c:v>0.35744721253556916</c:v>
                </c:pt>
                <c:pt idx="52">
                  <c:v>-0.19681183219787499</c:v>
                </c:pt>
                <c:pt idx="53">
                  <c:v>-0.25172663343666102</c:v>
                </c:pt>
                <c:pt idx="54">
                  <c:v>-0.76310493187283224</c:v>
                </c:pt>
                <c:pt idx="55">
                  <c:v>-0.82722081183697782</c:v>
                </c:pt>
                <c:pt idx="56">
                  <c:v>-0.21422049146183192</c:v>
                </c:pt>
                <c:pt idx="57">
                  <c:v>-1.9103182479361935E-3</c:v>
                </c:pt>
                <c:pt idx="58">
                  <c:v>0.36826669583515748</c:v>
                </c:pt>
                <c:pt idx="59">
                  <c:v>0.14831113266089524</c:v>
                </c:pt>
                <c:pt idx="60">
                  <c:v>-3.6850741464938053E-2</c:v>
                </c:pt>
                <c:pt idx="61">
                  <c:v>0.33380090270962293</c:v>
                </c:pt>
                <c:pt idx="62">
                  <c:v>-0.35228336626207402</c:v>
                </c:pt>
                <c:pt idx="63">
                  <c:v>-0.83920220544956226</c:v>
                </c:pt>
                <c:pt idx="64">
                  <c:v>-1.3576246320100052</c:v>
                </c:pt>
                <c:pt idx="65">
                  <c:v>-1.0589532093043732</c:v>
                </c:pt>
              </c:numCache>
            </c:numRef>
          </c:yVal>
          <c:smooth val="0"/>
          <c:extLst>
            <c:ext xmlns:c16="http://schemas.microsoft.com/office/drawing/2014/chart" uri="{C3380CC4-5D6E-409C-BE32-E72D297353CC}">
              <c16:uniqueId val="{00000000-8449-4243-A748-BE664EB6DBE7}"/>
            </c:ext>
          </c:extLst>
        </c:ser>
        <c:dLbls>
          <c:showLegendKey val="0"/>
          <c:showVal val="0"/>
          <c:showCatName val="0"/>
          <c:showSerName val="0"/>
          <c:showPercent val="0"/>
          <c:showBubbleSize val="0"/>
        </c:dLbls>
        <c:axId val="1657738256"/>
        <c:axId val="1657726608"/>
      </c:scatterChart>
      <c:valAx>
        <c:axId val="165773825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657726608"/>
        <c:crosses val="autoZero"/>
        <c:crossBetween val="midCat"/>
      </c:valAx>
      <c:valAx>
        <c:axId val="16577266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5773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FA6B-4993-AF12-F9D064DB556B}"/>
            </c:ext>
          </c:extLst>
        </c:ser>
        <c:dLbls>
          <c:showLegendKey val="0"/>
          <c:showVal val="0"/>
          <c:showCatName val="0"/>
          <c:showSerName val="0"/>
          <c:showPercent val="0"/>
          <c:showBubbleSize val="0"/>
        </c:dLbls>
        <c:axId val="1853946928"/>
        <c:axId val="1853941104"/>
      </c:scatterChart>
      <c:valAx>
        <c:axId val="1853946928"/>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41104"/>
        <c:crosses val="autoZero"/>
        <c:crossBetween val="midCat"/>
      </c:valAx>
      <c:valAx>
        <c:axId val="185394110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69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D3AB-4FC2-9DEF-3272E8993893}"/>
            </c:ext>
          </c:extLst>
        </c:ser>
        <c:dLbls>
          <c:showLegendKey val="0"/>
          <c:showVal val="0"/>
          <c:showCatName val="0"/>
          <c:showSerName val="0"/>
          <c:showPercent val="0"/>
          <c:showBubbleSize val="0"/>
        </c:dLbls>
        <c:axId val="1853958576"/>
        <c:axId val="1853946928"/>
      </c:scatterChart>
      <c:valAx>
        <c:axId val="1853958576"/>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46928"/>
        <c:crosses val="autoZero"/>
        <c:crossBetween val="midCat"/>
      </c:valAx>
      <c:valAx>
        <c:axId val="185394692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85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638B-4E44-BB55-9AB11C1B1713}"/>
            </c:ext>
          </c:extLst>
        </c:ser>
        <c:dLbls>
          <c:showLegendKey val="0"/>
          <c:showVal val="0"/>
          <c:showCatName val="0"/>
          <c:showSerName val="0"/>
          <c:showPercent val="0"/>
          <c:showBubbleSize val="0"/>
        </c:dLbls>
        <c:axId val="1853949424"/>
        <c:axId val="1853950256"/>
      </c:scatterChart>
      <c:valAx>
        <c:axId val="1853949424"/>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50256"/>
        <c:crosses val="autoZero"/>
        <c:crossBetween val="midCat"/>
      </c:valAx>
      <c:valAx>
        <c:axId val="1853950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94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Murdoch_age con'!$N$2:$N$67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9704-4A77-8E66-3D1D6E007751}"/>
            </c:ext>
          </c:extLst>
        </c:ser>
        <c:dLbls>
          <c:showLegendKey val="0"/>
          <c:showVal val="0"/>
          <c:showCatName val="0"/>
          <c:showSerName val="0"/>
          <c:showPercent val="0"/>
          <c:showBubbleSize val="0"/>
        </c:dLbls>
        <c:axId val="1853957744"/>
        <c:axId val="1853947760"/>
      </c:scatterChart>
      <c:valAx>
        <c:axId val="1853957744"/>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947760"/>
        <c:crosses val="autoZero"/>
        <c:crossBetween val="midCat"/>
      </c:valAx>
      <c:valAx>
        <c:axId val="18539477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Murdoch_age con'!$O$2:$O$67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3C49-47BD-831B-FA0CBAFB14D5}"/>
            </c:ext>
          </c:extLst>
        </c:ser>
        <c:dLbls>
          <c:showLegendKey val="0"/>
          <c:showVal val="0"/>
          <c:showCatName val="0"/>
          <c:showSerName val="0"/>
          <c:showPercent val="0"/>
          <c:showBubbleSize val="0"/>
        </c:dLbls>
        <c:axId val="1853957744"/>
        <c:axId val="1853959408"/>
      </c:scatterChart>
      <c:valAx>
        <c:axId val="1853957744"/>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959408"/>
        <c:crosses val="autoZero"/>
        <c:crossBetween val="midCat"/>
      </c:valAx>
      <c:valAx>
        <c:axId val="18539594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EF3C-48FB-A9A4-906B27D67A06}"/>
            </c:ext>
          </c:extLst>
        </c:ser>
        <c:dLbls>
          <c:showLegendKey val="0"/>
          <c:showVal val="0"/>
          <c:showCatName val="0"/>
          <c:showSerName val="0"/>
          <c:showPercent val="0"/>
          <c:showBubbleSize val="0"/>
        </c:dLbls>
        <c:axId val="1715952720"/>
        <c:axId val="1715953136"/>
      </c:scatterChart>
      <c:valAx>
        <c:axId val="1715952720"/>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715953136"/>
        <c:crosses val="autoZero"/>
        <c:crossBetween val="midCat"/>
      </c:valAx>
      <c:valAx>
        <c:axId val="17159531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27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49FC-414F-B84C-21175CDFC4EF}"/>
            </c:ext>
          </c:extLst>
        </c:ser>
        <c:dLbls>
          <c:showLegendKey val="0"/>
          <c:showVal val="0"/>
          <c:showCatName val="0"/>
          <c:showSerName val="0"/>
          <c:showPercent val="0"/>
          <c:showBubbleSize val="0"/>
        </c:dLbls>
        <c:axId val="1715961040"/>
        <c:axId val="1715952720"/>
      </c:scatterChart>
      <c:valAx>
        <c:axId val="1715961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715952720"/>
        <c:crosses val="autoZero"/>
        <c:crossBetween val="midCat"/>
      </c:valAx>
      <c:valAx>
        <c:axId val="171595272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61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3309-4EB1-A709-633E6406F44D}"/>
            </c:ext>
          </c:extLst>
        </c:ser>
        <c:dLbls>
          <c:showLegendKey val="0"/>
          <c:showVal val="0"/>
          <c:showCatName val="0"/>
          <c:showSerName val="0"/>
          <c:showPercent val="0"/>
          <c:showBubbleSize val="0"/>
        </c:dLbls>
        <c:axId val="1715953552"/>
        <c:axId val="1715956880"/>
      </c:scatterChart>
      <c:valAx>
        <c:axId val="171595355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715956880"/>
        <c:crosses val="autoZero"/>
        <c:crossBetween val="midCat"/>
      </c:valAx>
      <c:valAx>
        <c:axId val="17159568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3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a:t>
            </a:r>
            <a:r>
              <a:rPr lang="en-US" sz="1400" b="0" i="0" u="none" strike="noStrike" baseline="0">
                <a:effectLst/>
              </a:rPr>
              <a:t>from model fitted to spawners, SSLs, smolt SST,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6"/>
            <c:dispRSqr val="0"/>
            <c:dispEq val="0"/>
          </c:trendline>
          <c:xVal>
            <c:numRef>
              <c:f>'SR + catch data Murdoch_age con'!$AW$33:$AW$98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con'!$AZ$33:$AZ$98</c:f>
              <c:numCache>
                <c:formatCode>General</c:formatCode>
                <c:ptCount val="66"/>
                <c:pt idx="0">
                  <c:v>-0.32722317141492352</c:v>
                </c:pt>
                <c:pt idx="1">
                  <c:v>-1.1139526293586655</c:v>
                </c:pt>
                <c:pt idx="2">
                  <c:v>-0.56758012388584878</c:v>
                </c:pt>
                <c:pt idx="3">
                  <c:v>1.3177974078679335</c:v>
                </c:pt>
                <c:pt idx="4">
                  <c:v>0.91571191519867445</c:v>
                </c:pt>
                <c:pt idx="5">
                  <c:v>2.8803998845688898</c:v>
                </c:pt>
                <c:pt idx="6">
                  <c:v>0.41198937477440639</c:v>
                </c:pt>
                <c:pt idx="7">
                  <c:v>-7.677865608211483E-2</c:v>
                </c:pt>
                <c:pt idx="8">
                  <c:v>-0.73985706479504487</c:v>
                </c:pt>
                <c:pt idx="9">
                  <c:v>-0.23413333065913586</c:v>
                </c:pt>
                <c:pt idx="10">
                  <c:v>-0.84127384791540338</c:v>
                </c:pt>
                <c:pt idx="11">
                  <c:v>0.13880678606590563</c:v>
                </c:pt>
                <c:pt idx="12">
                  <c:v>-0.63300703840755612</c:v>
                </c:pt>
                <c:pt idx="13">
                  <c:v>0.7125445534226309</c:v>
                </c:pt>
                <c:pt idx="14">
                  <c:v>1.0722028869351945</c:v>
                </c:pt>
                <c:pt idx="15">
                  <c:v>-0.80801328359964886</c:v>
                </c:pt>
                <c:pt idx="16">
                  <c:v>-0.30067583674016829</c:v>
                </c:pt>
                <c:pt idx="17">
                  <c:v>-0.47504073221289644</c:v>
                </c:pt>
                <c:pt idx="18">
                  <c:v>0.97841375212960702</c:v>
                </c:pt>
                <c:pt idx="19">
                  <c:v>-0.43883115720453836</c:v>
                </c:pt>
                <c:pt idx="20">
                  <c:v>-1.174602876809802</c:v>
                </c:pt>
                <c:pt idx="21">
                  <c:v>-0.73580893423843552</c:v>
                </c:pt>
                <c:pt idx="22">
                  <c:v>-0.10871397318419257</c:v>
                </c:pt>
                <c:pt idx="23">
                  <c:v>-0.25438291835157673</c:v>
                </c:pt>
                <c:pt idx="24">
                  <c:v>-0.7331325344548042</c:v>
                </c:pt>
                <c:pt idx="25">
                  <c:v>-0.55912658471701959</c:v>
                </c:pt>
                <c:pt idx="26">
                  <c:v>-1.8781520775167464</c:v>
                </c:pt>
                <c:pt idx="27">
                  <c:v>-1.0509935328749047</c:v>
                </c:pt>
                <c:pt idx="28">
                  <c:v>-0.6903593352818439</c:v>
                </c:pt>
                <c:pt idx="29">
                  <c:v>-0.17595756817538252</c:v>
                </c:pt>
                <c:pt idx="30">
                  <c:v>0.91962948955846779</c:v>
                </c:pt>
                <c:pt idx="31">
                  <c:v>1.5885482368164892</c:v>
                </c:pt>
                <c:pt idx="32">
                  <c:v>-0.57129563736701883</c:v>
                </c:pt>
                <c:pt idx="33">
                  <c:v>-0.57935729096371014</c:v>
                </c:pt>
                <c:pt idx="34">
                  <c:v>-1.7535613429287709</c:v>
                </c:pt>
                <c:pt idx="35">
                  <c:v>-0.34754338083294556</c:v>
                </c:pt>
                <c:pt idx="36">
                  <c:v>1.4076777793206565</c:v>
                </c:pt>
                <c:pt idx="37">
                  <c:v>0.55378455723473863</c:v>
                </c:pt>
                <c:pt idx="38">
                  <c:v>7.8778195808687237E-2</c:v>
                </c:pt>
                <c:pt idx="39">
                  <c:v>0.48885344435856598</c:v>
                </c:pt>
                <c:pt idx="40">
                  <c:v>-1.6898054176493323E-2</c:v>
                </c:pt>
                <c:pt idx="41">
                  <c:v>-0.70540736761921685</c:v>
                </c:pt>
                <c:pt idx="42">
                  <c:v>-0.28314271399636654</c:v>
                </c:pt>
                <c:pt idx="43">
                  <c:v>1.5299496818094056</c:v>
                </c:pt>
                <c:pt idx="44">
                  <c:v>1.1780650681679465</c:v>
                </c:pt>
                <c:pt idx="45">
                  <c:v>-0.20180917744331331</c:v>
                </c:pt>
                <c:pt idx="46">
                  <c:v>1.692357453490291</c:v>
                </c:pt>
                <c:pt idx="47">
                  <c:v>0.78132999074377885</c:v>
                </c:pt>
                <c:pt idx="48">
                  <c:v>0.33766033176024063</c:v>
                </c:pt>
                <c:pt idx="49">
                  <c:v>1.7828198849666299</c:v>
                </c:pt>
                <c:pt idx="50">
                  <c:v>0.33918883111364795</c:v>
                </c:pt>
                <c:pt idx="51">
                  <c:v>0.74368682306157174</c:v>
                </c:pt>
                <c:pt idx="52">
                  <c:v>-0.27414227145516751</c:v>
                </c:pt>
                <c:pt idx="53">
                  <c:v>-0.64288845683512863</c:v>
                </c:pt>
                <c:pt idx="54">
                  <c:v>-1.5230867182524441</c:v>
                </c:pt>
                <c:pt idx="55">
                  <c:v>-2.0026634471853102</c:v>
                </c:pt>
                <c:pt idx="56">
                  <c:v>-0.56002556811995641</c:v>
                </c:pt>
                <c:pt idx="57">
                  <c:v>0.32352995220461661</c:v>
                </c:pt>
                <c:pt idx="58">
                  <c:v>1.5487279514838213</c:v>
                </c:pt>
                <c:pt idx="59">
                  <c:v>0.80521225079252656</c:v>
                </c:pt>
                <c:pt idx="60">
                  <c:v>0.24026858406692431</c:v>
                </c:pt>
                <c:pt idx="61">
                  <c:v>1.6699375900834965</c:v>
                </c:pt>
                <c:pt idx="62">
                  <c:v>0.1283892688508802</c:v>
                </c:pt>
                <c:pt idx="63">
                  <c:v>-0.37286063614195347</c:v>
                </c:pt>
                <c:pt idx="64">
                  <c:v>-1.3871506187022171</c:v>
                </c:pt>
                <c:pt idx="65">
                  <c:v>-1.4268320367560179</c:v>
                </c:pt>
              </c:numCache>
            </c:numRef>
          </c:yVal>
          <c:smooth val="0"/>
          <c:extLst>
            <c:ext xmlns:c16="http://schemas.microsoft.com/office/drawing/2014/chart" uri="{C3380CC4-5D6E-409C-BE32-E72D297353CC}">
              <c16:uniqueId val="{00000001-6435-44D4-A8DE-EB3855808D36}"/>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from model fitted to spawners, SSLs, smolt SST, NPGO, Adult SST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5"/>
            <c:dispRSqr val="0"/>
            <c:dispEq val="0"/>
          </c:trendline>
          <c:xVal>
            <c:numRef>
              <c:f>'SR + catch data Murdoch_age con'!$AK$57:$AK$122</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con'!$AN$57:$AN$122</c:f>
              <c:numCache>
                <c:formatCode>General</c:formatCode>
                <c:ptCount val="66"/>
                <c:pt idx="0">
                  <c:v>-3.515710188651483E-2</c:v>
                </c:pt>
                <c:pt idx="1">
                  <c:v>-0.86132272340408378</c:v>
                </c:pt>
                <c:pt idx="2">
                  <c:v>-0.7910114237543463</c:v>
                </c:pt>
                <c:pt idx="3">
                  <c:v>1.0570911796312215</c:v>
                </c:pt>
                <c:pt idx="4">
                  <c:v>0.77838826732164168</c:v>
                </c:pt>
                <c:pt idx="5">
                  <c:v>2.775831931711751</c:v>
                </c:pt>
                <c:pt idx="6">
                  <c:v>0.27846331219473214</c:v>
                </c:pt>
                <c:pt idx="7">
                  <c:v>-0.26191235302458388</c:v>
                </c:pt>
                <c:pt idx="8">
                  <c:v>-1.1311640604768618</c:v>
                </c:pt>
                <c:pt idx="9">
                  <c:v>-0.12007271345417012</c:v>
                </c:pt>
                <c:pt idx="10">
                  <c:v>-0.7188014073687754</c:v>
                </c:pt>
                <c:pt idx="11">
                  <c:v>0.26092030425845997</c:v>
                </c:pt>
                <c:pt idx="12">
                  <c:v>-0.75799077958522365</c:v>
                </c:pt>
                <c:pt idx="13">
                  <c:v>0.79709185689597584</c:v>
                </c:pt>
                <c:pt idx="14">
                  <c:v>1.1714248711809605</c:v>
                </c:pt>
                <c:pt idx="15">
                  <c:v>-0.61049286904933742</c:v>
                </c:pt>
                <c:pt idx="16">
                  <c:v>6.3627765519818261E-2</c:v>
                </c:pt>
                <c:pt idx="17">
                  <c:v>-0.31137935592462407</c:v>
                </c:pt>
                <c:pt idx="18">
                  <c:v>1.2689731646056244</c:v>
                </c:pt>
                <c:pt idx="19">
                  <c:v>-0.4716175626534489</c:v>
                </c:pt>
                <c:pt idx="20">
                  <c:v>-1.1373503416760551</c:v>
                </c:pt>
                <c:pt idx="21">
                  <c:v>-0.65581239638540367</c:v>
                </c:pt>
                <c:pt idx="22">
                  <c:v>-0.22136964981980717</c:v>
                </c:pt>
                <c:pt idx="23">
                  <c:v>-0.14905115728173379</c:v>
                </c:pt>
                <c:pt idx="24">
                  <c:v>-0.75515497732033787</c:v>
                </c:pt>
                <c:pt idx="25">
                  <c:v>-0.53675374802974496</c:v>
                </c:pt>
                <c:pt idx="26">
                  <c:v>-1.9149873688464196</c:v>
                </c:pt>
                <c:pt idx="27">
                  <c:v>-0.99065620102910845</c:v>
                </c:pt>
                <c:pt idx="28">
                  <c:v>-0.78764856946463446</c:v>
                </c:pt>
                <c:pt idx="29">
                  <c:v>-0.19330324618192279</c:v>
                </c:pt>
                <c:pt idx="30">
                  <c:v>1.1161681560310925</c:v>
                </c:pt>
                <c:pt idx="31">
                  <c:v>1.569403588781793</c:v>
                </c:pt>
                <c:pt idx="32">
                  <c:v>-0.57322651170514427</c:v>
                </c:pt>
                <c:pt idx="33">
                  <c:v>-0.53597576365493704</c:v>
                </c:pt>
                <c:pt idx="34">
                  <c:v>-1.9293238826532209</c:v>
                </c:pt>
                <c:pt idx="35">
                  <c:v>-0.37249163274967062</c:v>
                </c:pt>
                <c:pt idx="36">
                  <c:v>1.4486500718665947</c:v>
                </c:pt>
                <c:pt idx="37">
                  <c:v>0.70534720921639815</c:v>
                </c:pt>
                <c:pt idx="38">
                  <c:v>0.1598048036007389</c:v>
                </c:pt>
                <c:pt idx="39">
                  <c:v>0.54661589154231094</c:v>
                </c:pt>
                <c:pt idx="40">
                  <c:v>7.1564217826629126E-2</c:v>
                </c:pt>
                <c:pt idx="41">
                  <c:v>-0.68228825072763755</c:v>
                </c:pt>
                <c:pt idx="42">
                  <c:v>-0.77643396767862005</c:v>
                </c:pt>
                <c:pt idx="43">
                  <c:v>1.3106038421409312</c:v>
                </c:pt>
                <c:pt idx="44">
                  <c:v>1.191808538404328</c:v>
                </c:pt>
                <c:pt idx="45">
                  <c:v>-0.61915068838873177</c:v>
                </c:pt>
                <c:pt idx="46">
                  <c:v>1.5113302437074698</c:v>
                </c:pt>
                <c:pt idx="47">
                  <c:v>0.53920731235118424</c:v>
                </c:pt>
                <c:pt idx="48">
                  <c:v>0.32014429788125387</c:v>
                </c:pt>
                <c:pt idx="49">
                  <c:v>1.7563714080023383</c:v>
                </c:pt>
                <c:pt idx="50">
                  <c:v>0.35178442397230009</c:v>
                </c:pt>
                <c:pt idx="51">
                  <c:v>1.0055838889944282</c:v>
                </c:pt>
                <c:pt idx="52">
                  <c:v>-0.11979308863659012</c:v>
                </c:pt>
                <c:pt idx="53">
                  <c:v>-0.31673779111403783</c:v>
                </c:pt>
                <c:pt idx="54">
                  <c:v>-1.6553805096967624</c:v>
                </c:pt>
                <c:pt idx="55">
                  <c:v>-1.9484404865237828</c:v>
                </c:pt>
                <c:pt idx="56">
                  <c:v>-0.39984036328601552</c:v>
                </c:pt>
                <c:pt idx="57">
                  <c:v>0.55706277467724297</c:v>
                </c:pt>
                <c:pt idx="58">
                  <c:v>1.4917190442592536</c:v>
                </c:pt>
                <c:pt idx="59">
                  <c:v>0.45143717805497235</c:v>
                </c:pt>
                <c:pt idx="60">
                  <c:v>-0.21045136877538095</c:v>
                </c:pt>
                <c:pt idx="61">
                  <c:v>1.5703802848200896</c:v>
                </c:pt>
                <c:pt idx="62">
                  <c:v>0.52774207520975558</c:v>
                </c:pt>
                <c:pt idx="63">
                  <c:v>-0.14551430051170811</c:v>
                </c:pt>
                <c:pt idx="64">
                  <c:v>-1.4656861228335898</c:v>
                </c:pt>
                <c:pt idx="65">
                  <c:v>-1.4907971691083717</c:v>
                </c:pt>
              </c:numCache>
            </c:numRef>
          </c:yVal>
          <c:smooth val="0"/>
          <c:extLst>
            <c:ext xmlns:c16="http://schemas.microsoft.com/office/drawing/2014/chart" uri="{C3380CC4-5D6E-409C-BE32-E72D297353CC}">
              <c16:uniqueId val="{00000001-6F40-4DC9-B412-8533832DDEA8}"/>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con'!$T$2:$T$67</c:f>
              <c:numCache>
                <c:formatCode>General</c:formatCode>
                <c:ptCount val="66"/>
                <c:pt idx="0">
                  <c:v>0.92313749049199545</c:v>
                </c:pt>
                <c:pt idx="1">
                  <c:v>1.0470865707095611</c:v>
                </c:pt>
                <c:pt idx="2">
                  <c:v>1.3475403551717773</c:v>
                </c:pt>
                <c:pt idx="3">
                  <c:v>1.4002067316038223</c:v>
                </c:pt>
                <c:pt idx="4">
                  <c:v>1.2918934679339478</c:v>
                </c:pt>
                <c:pt idx="5">
                  <c:v>1.1063576991801085</c:v>
                </c:pt>
                <c:pt idx="6">
                  <c:v>0.98368115022833791</c:v>
                </c:pt>
                <c:pt idx="7">
                  <c:v>1.17072557258515</c:v>
                </c:pt>
                <c:pt idx="8">
                  <c:v>1.2972907904704543</c:v>
                </c:pt>
                <c:pt idx="9">
                  <c:v>1.1135509580079894</c:v>
                </c:pt>
                <c:pt idx="10">
                  <c:v>1.1658180335577497</c:v>
                </c:pt>
                <c:pt idx="11">
                  <c:v>0.99942021466637621</c:v>
                </c:pt>
                <c:pt idx="12">
                  <c:v>1.2578935391721329</c:v>
                </c:pt>
                <c:pt idx="13">
                  <c:v>1.0942121061044936</c:v>
                </c:pt>
                <c:pt idx="14">
                  <c:v>1.0901757903907352</c:v>
                </c:pt>
                <c:pt idx="15">
                  <c:v>0.85418980450265791</c:v>
                </c:pt>
                <c:pt idx="16">
                  <c:v>0.88176882707756066</c:v>
                </c:pt>
                <c:pt idx="17">
                  <c:v>0.76561251221160509</c:v>
                </c:pt>
                <c:pt idx="18">
                  <c:v>1.0016677634624636</c:v>
                </c:pt>
                <c:pt idx="19">
                  <c:v>1.1417751073813891</c:v>
                </c:pt>
                <c:pt idx="20">
                  <c:v>1.0369783186031469</c:v>
                </c:pt>
                <c:pt idx="21">
                  <c:v>0.89473206945840134</c:v>
                </c:pt>
                <c:pt idx="22">
                  <c:v>1.1103096837745086</c:v>
                </c:pt>
                <c:pt idx="23">
                  <c:v>1.2227415898317193</c:v>
                </c:pt>
                <c:pt idx="24">
                  <c:v>1.4290367866623004</c:v>
                </c:pt>
                <c:pt idx="25">
                  <c:v>1.2345167651573936</c:v>
                </c:pt>
                <c:pt idx="26">
                  <c:v>0.86220133964313295</c:v>
                </c:pt>
                <c:pt idx="27">
                  <c:v>0.9672393552564712</c:v>
                </c:pt>
                <c:pt idx="28">
                  <c:v>0.92141723717236768</c:v>
                </c:pt>
                <c:pt idx="29">
                  <c:v>0.90934001738606018</c:v>
                </c:pt>
                <c:pt idx="30">
                  <c:v>0.89042836503616496</c:v>
                </c:pt>
                <c:pt idx="31">
                  <c:v>0.82168599470999582</c:v>
                </c:pt>
                <c:pt idx="32">
                  <c:v>0.76391453657526209</c:v>
                </c:pt>
                <c:pt idx="33">
                  <c:v>0.76548963312352336</c:v>
                </c:pt>
                <c:pt idx="34">
                  <c:v>0.42139051843384967</c:v>
                </c:pt>
                <c:pt idx="35">
                  <c:v>0.56665787100186449</c:v>
                </c:pt>
                <c:pt idx="36">
                  <c:v>0.92503013847203985</c:v>
                </c:pt>
                <c:pt idx="37">
                  <c:v>0.95862792480584502</c:v>
                </c:pt>
                <c:pt idx="38">
                  <c:v>0.73905252635848184</c:v>
                </c:pt>
                <c:pt idx="39">
                  <c:v>0.64147458574831528</c:v>
                </c:pt>
                <c:pt idx="40">
                  <c:v>0.33561120977969877</c:v>
                </c:pt>
                <c:pt idx="41">
                  <c:v>0.26841171043323481</c:v>
                </c:pt>
                <c:pt idx="42">
                  <c:v>0.45262486666509449</c:v>
                </c:pt>
                <c:pt idx="43">
                  <c:v>-1.5560852516204413E-2</c:v>
                </c:pt>
                <c:pt idx="44">
                  <c:v>-0.13791925435338062</c:v>
                </c:pt>
                <c:pt idx="45">
                  <c:v>0.14052432588476346</c:v>
                </c:pt>
                <c:pt idx="46">
                  <c:v>0.31666652482576779</c:v>
                </c:pt>
                <c:pt idx="47">
                  <c:v>-0.52650971384402767</c:v>
                </c:pt>
                <c:pt idx="48">
                  <c:v>-0.31567995404171367</c:v>
                </c:pt>
                <c:pt idx="49">
                  <c:v>1.0008176458734277</c:v>
                </c:pt>
                <c:pt idx="50">
                  <c:v>-0.33735538161681045</c:v>
                </c:pt>
                <c:pt idx="51">
                  <c:v>-0.23334549505826321</c:v>
                </c:pt>
                <c:pt idx="52">
                  <c:v>1.9976920766967096E-2</c:v>
                </c:pt>
                <c:pt idx="53">
                  <c:v>-0.86582420921529213</c:v>
                </c:pt>
                <c:pt idx="54">
                  <c:v>5.6925389195558063E-2</c:v>
                </c:pt>
                <c:pt idx="55">
                  <c:v>-0.17390351790296354</c:v>
                </c:pt>
                <c:pt idx="56">
                  <c:v>0.45702769066345572</c:v>
                </c:pt>
                <c:pt idx="57">
                  <c:v>0.26348540002726883</c:v>
                </c:pt>
                <c:pt idx="58">
                  <c:v>0.74690247320247816</c:v>
                </c:pt>
                <c:pt idx="59">
                  <c:v>0.81942796573351662</c:v>
                </c:pt>
                <c:pt idx="60">
                  <c:v>0.57054084468996502</c:v>
                </c:pt>
                <c:pt idx="61">
                  <c:v>8.516440472618525E-2</c:v>
                </c:pt>
                <c:pt idx="62">
                  <c:v>-6.5544579135680806E-2</c:v>
                </c:pt>
                <c:pt idx="63">
                  <c:v>-0.29585384134792408</c:v>
                </c:pt>
                <c:pt idx="64">
                  <c:v>-1.7119255914607667E-2</c:v>
                </c:pt>
                <c:pt idx="65">
                  <c:v>-0.5910064672489046</c:v>
                </c:pt>
              </c:numCache>
            </c:numRef>
          </c:yVal>
          <c:smooth val="0"/>
          <c:extLst>
            <c:ext xmlns:c16="http://schemas.microsoft.com/office/drawing/2014/chart" uri="{C3380CC4-5D6E-409C-BE32-E72D297353CC}">
              <c16:uniqueId val="{00000001-8590-46CD-B2B5-BCAB39AA89D1}"/>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con'!$AA$42:$AA$106</c:f>
              <c:numCache>
                <c:formatCode>General</c:formatCode>
                <c:ptCount val="65"/>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numCache>
            </c:numRef>
          </c:xVal>
          <c:yVal>
            <c:numRef>
              <c:f>'SR + catch data Murdoch_age con'!$AB$42:$AB$106</c:f>
              <c:numCache>
                <c:formatCode>General</c:formatCode>
                <c:ptCount val="65"/>
              </c:numCache>
            </c:numRef>
          </c:yVal>
          <c:smooth val="0"/>
          <c:extLst>
            <c:ext xmlns:c16="http://schemas.microsoft.com/office/drawing/2014/chart" uri="{C3380CC4-5D6E-409C-BE32-E72D297353CC}">
              <c16:uniqueId val="{00000001-5F95-4842-9A32-3C714C0CE8DB}"/>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con'!$E$95</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con'!$D$96:$D$161</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con'!$E$96:$E$161</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1-75F4-4053-96B3-B9B5657CBC1E}"/>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var'!$DD$31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3"/>
            <c:dispRSqr val="0"/>
            <c:dispEq val="0"/>
          </c:trendline>
          <c:xVal>
            <c:numRef>
              <c:f>'SR + catch data Murdoch_age var'!$DA$32:$DA$97</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formatCode="General">
                  <c:v>1988</c:v>
                </c:pt>
                <c:pt idx="38" formatCode="General">
                  <c:v>1989</c:v>
                </c:pt>
                <c:pt idx="39" formatCode="General">
                  <c:v>1990</c:v>
                </c:pt>
                <c:pt idx="40" formatCode="General">
                  <c:v>1991</c:v>
                </c:pt>
                <c:pt idx="41" formatCode="General">
                  <c:v>1992</c:v>
                </c:pt>
                <c:pt idx="42" formatCode="General">
                  <c:v>1993</c:v>
                </c:pt>
                <c:pt idx="43" formatCode="General">
                  <c:v>1994</c:v>
                </c:pt>
                <c:pt idx="44" formatCode="General">
                  <c:v>1995</c:v>
                </c:pt>
                <c:pt idx="45" formatCode="General">
                  <c:v>1996</c:v>
                </c:pt>
                <c:pt idx="46" formatCode="General">
                  <c:v>1997</c:v>
                </c:pt>
                <c:pt idx="47" formatCode="General">
                  <c:v>1998</c:v>
                </c:pt>
                <c:pt idx="48" formatCode="General">
                  <c:v>1999</c:v>
                </c:pt>
                <c:pt idx="49" formatCode="General">
                  <c:v>2000</c:v>
                </c:pt>
                <c:pt idx="50" formatCode="General">
                  <c:v>2001</c:v>
                </c:pt>
                <c:pt idx="51" formatCode="General">
                  <c:v>2002</c:v>
                </c:pt>
                <c:pt idx="52" formatCode="General">
                  <c:v>2003</c:v>
                </c:pt>
                <c:pt idx="53" formatCode="General">
                  <c:v>2004</c:v>
                </c:pt>
                <c:pt idx="54" formatCode="General">
                  <c:v>2005</c:v>
                </c:pt>
                <c:pt idx="55" formatCode="General">
                  <c:v>2006</c:v>
                </c:pt>
                <c:pt idx="56" formatCode="General">
                  <c:v>2007</c:v>
                </c:pt>
                <c:pt idx="57" formatCode="General">
                  <c:v>2008</c:v>
                </c:pt>
                <c:pt idx="58" formatCode="General">
                  <c:v>2009</c:v>
                </c:pt>
                <c:pt idx="59" formatCode="General">
                  <c:v>2010</c:v>
                </c:pt>
                <c:pt idx="60" formatCode="General">
                  <c:v>2011</c:v>
                </c:pt>
                <c:pt idx="61" formatCode="General">
                  <c:v>2012</c:v>
                </c:pt>
                <c:pt idx="62" formatCode="General">
                  <c:v>2013</c:v>
                </c:pt>
                <c:pt idx="63" formatCode="General">
                  <c:v>2014</c:v>
                </c:pt>
                <c:pt idx="64" formatCode="General">
                  <c:v>2015</c:v>
                </c:pt>
                <c:pt idx="65" formatCode="General">
                  <c:v>2016</c:v>
                </c:pt>
              </c:numCache>
            </c:numRef>
          </c:xVal>
          <c:yVal>
            <c:numRef>
              <c:f>'SR + catch data Murdoch_age var'!$DD$32:$DD$97</c:f>
              <c:numCache>
                <c:formatCode>0.00</c:formatCode>
                <c:ptCount val="66"/>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pt idx="65" formatCode="General">
                  <c:v>-1.8697620353956108</c:v>
                </c:pt>
              </c:numCache>
            </c:numRef>
          </c:yVal>
          <c:smooth val="0"/>
          <c:extLst>
            <c:ext xmlns:c16="http://schemas.microsoft.com/office/drawing/2014/chart" uri="{C3380CC4-5D6E-409C-BE32-E72D297353CC}">
              <c16:uniqueId val="{00000000-A1FC-4600-92E1-B684CA25A72B}"/>
            </c:ext>
          </c:extLst>
        </c:ser>
        <c:dLbls>
          <c:showLegendKey val="0"/>
          <c:showVal val="0"/>
          <c:showCatName val="0"/>
          <c:showSerName val="0"/>
          <c:showPercent val="0"/>
          <c:showBubbleSize val="0"/>
        </c:dLbls>
        <c:axId val="1952649535"/>
        <c:axId val="1952639967"/>
      </c:scatterChart>
      <c:valAx>
        <c:axId val="195264953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1-4A79-46F4-928D-2BB582CE7726}"/>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var'!$BW$2</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var'!$L$3:$L$68</c:f>
              <c:numCache>
                <c:formatCode>0.00</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var'!$BW$3:$BW$68</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yVal>
          <c:smooth val="0"/>
          <c:extLst>
            <c:ext xmlns:c16="http://schemas.microsoft.com/office/drawing/2014/chart" uri="{C3380CC4-5D6E-409C-BE32-E72D297353CC}">
              <c16:uniqueId val="{00000001-6645-4E02-8CD8-DC5FDD33A910}"/>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1-F740-460A-A49F-6279F30388FC}"/>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AC1E-4A27-A29F-A86966CA6FB4}"/>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var'!$E$96</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var'!$D$97:$D$162</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var'!$E$97:$E$162</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0-B7F0-4C81-ADCF-05C3567B9F29}"/>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 SSL, PDO, NPGO), model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81687008360509"/>
          <c:y val="0.17171302555884571"/>
          <c:w val="0.74139949314237519"/>
          <c:h val="0.62271603336105041"/>
        </c:manualLayout>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0-36A6-4E81-B8EC-E7B35C082EC7}"/>
            </c:ext>
          </c:extLst>
        </c:ser>
        <c:ser>
          <c:idx val="1"/>
          <c:order val="1"/>
          <c:tx>
            <c:strRef>
              <c:f>'SR + catch data Murdoch_age var'!$CB$2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var'!$CB$3:$CB$68</c:f>
              <c:numCache>
                <c:formatCode>0.00</c:formatCode>
                <c:ptCount val="66"/>
                <c:pt idx="0">
                  <c:v>1.1778252851223718</c:v>
                </c:pt>
                <c:pt idx="1">
                  <c:v>1.1778252851223718</c:v>
                </c:pt>
                <c:pt idx="2">
                  <c:v>1.1778252851223718</c:v>
                </c:pt>
                <c:pt idx="3">
                  <c:v>1.1778252851223718</c:v>
                </c:pt>
                <c:pt idx="4">
                  <c:v>1.1778252851223718</c:v>
                </c:pt>
                <c:pt idx="5">
                  <c:v>1.1778252851223718</c:v>
                </c:pt>
                <c:pt idx="6">
                  <c:v>1.2096674653867026</c:v>
                </c:pt>
                <c:pt idx="7">
                  <c:v>1.2098892342501393</c:v>
                </c:pt>
                <c:pt idx="8">
                  <c:v>1.211089331518147</c:v>
                </c:pt>
                <c:pt idx="9">
                  <c:v>1.2130271616584694</c:v>
                </c:pt>
                <c:pt idx="10">
                  <c:v>1.183621940600514</c:v>
                </c:pt>
                <c:pt idx="11">
                  <c:v>1.1828130758121973</c:v>
                </c:pt>
                <c:pt idx="12">
                  <c:v>1.1981023827880823</c:v>
                </c:pt>
                <c:pt idx="13">
                  <c:v>1.2058481159896537</c:v>
                </c:pt>
                <c:pt idx="14">
                  <c:v>1.1976358812097847</c:v>
                </c:pt>
                <c:pt idx="15">
                  <c:v>1.204864767738806</c:v>
                </c:pt>
                <c:pt idx="16">
                  <c:v>1.2074259418569138</c:v>
                </c:pt>
                <c:pt idx="17">
                  <c:v>1.2110702574865617</c:v>
                </c:pt>
                <c:pt idx="18">
                  <c:v>1.2127990839201752</c:v>
                </c:pt>
                <c:pt idx="19">
                  <c:v>1.2247356161453271</c:v>
                </c:pt>
                <c:pt idx="20">
                  <c:v>1.2579488826219678</c:v>
                </c:pt>
                <c:pt idx="21">
                  <c:v>1.2622818337413988</c:v>
                </c:pt>
                <c:pt idx="22">
                  <c:v>1.269833185598463</c:v>
                </c:pt>
                <c:pt idx="23">
                  <c:v>1.2727749260119701</c:v>
                </c:pt>
                <c:pt idx="24">
                  <c:v>1.2607672721091507</c:v>
                </c:pt>
                <c:pt idx="25">
                  <c:v>1.2248176995422557</c:v>
                </c:pt>
                <c:pt idx="26">
                  <c:v>1.2012991414102823</c:v>
                </c:pt>
                <c:pt idx="27">
                  <c:v>1.1952374367872269</c:v>
                </c:pt>
                <c:pt idx="28">
                  <c:v>1.1660738343679884</c:v>
                </c:pt>
                <c:pt idx="29">
                  <c:v>1.1475012387052685</c:v>
                </c:pt>
                <c:pt idx="30">
                  <c:v>1.0925733263021011</c:v>
                </c:pt>
                <c:pt idx="31">
                  <c:v>1.0701145024307825</c:v>
                </c:pt>
                <c:pt idx="32">
                  <c:v>1.0611057319903288</c:v>
                </c:pt>
                <c:pt idx="33">
                  <c:v>1.0751905987405241</c:v>
                </c:pt>
                <c:pt idx="34">
                  <c:v>1.1006849722393204</c:v>
                </c:pt>
                <c:pt idx="35">
                  <c:v>1.125203882043579</c:v>
                </c:pt>
                <c:pt idx="36">
                  <c:v>1.1225430764122062</c:v>
                </c:pt>
                <c:pt idx="37">
                  <c:v>1.0928994718223828</c:v>
                </c:pt>
                <c:pt idx="38">
                  <c:v>1.0736372789812709</c:v>
                </c:pt>
                <c:pt idx="39">
                  <c:v>1.0646376406932125</c:v>
                </c:pt>
                <c:pt idx="40">
                  <c:v>1.061907898112763</c:v>
                </c:pt>
                <c:pt idx="41">
                  <c:v>1.0489110812816367</c:v>
                </c:pt>
                <c:pt idx="42">
                  <c:v>1.0297573904020954</c:v>
                </c:pt>
                <c:pt idx="43">
                  <c:v>1.0251270708171254</c:v>
                </c:pt>
                <c:pt idx="44">
                  <c:v>1.0362094520439826</c:v>
                </c:pt>
                <c:pt idx="45">
                  <c:v>1.0371314547109918</c:v>
                </c:pt>
                <c:pt idx="46">
                  <c:v>1.0528839357116662</c:v>
                </c:pt>
                <c:pt idx="47">
                  <c:v>1.0608797501625493</c:v>
                </c:pt>
                <c:pt idx="48">
                  <c:v>1.0767687371781591</c:v>
                </c:pt>
                <c:pt idx="49">
                  <c:v>1.0477591844947851</c:v>
                </c:pt>
                <c:pt idx="50">
                  <c:v>1.0335759379432827</c:v>
                </c:pt>
                <c:pt idx="51">
                  <c:v>1.0291763967701062</c:v>
                </c:pt>
                <c:pt idx="52">
                  <c:v>1.031565473964736</c:v>
                </c:pt>
                <c:pt idx="53">
                  <c:v>0.99793367995051008</c:v>
                </c:pt>
                <c:pt idx="54">
                  <c:v>0.94779169766645288</c:v>
                </c:pt>
                <c:pt idx="55">
                  <c:v>0.90640322224579761</c:v>
                </c:pt>
                <c:pt idx="56">
                  <c:v>0.86589742020111637</c:v>
                </c:pt>
                <c:pt idx="57">
                  <c:v>0.8482114568107082</c:v>
                </c:pt>
                <c:pt idx="58">
                  <c:v>0.79553417699987361</c:v>
                </c:pt>
                <c:pt idx="59">
                  <c:v>0.73312645347126359</c:v>
                </c:pt>
                <c:pt idx="60">
                  <c:v>0.6883113094565263</c:v>
                </c:pt>
                <c:pt idx="61">
                  <c:v>0.63164463982792218</c:v>
                </c:pt>
                <c:pt idx="62">
                  <c:v>0.63164463982792218</c:v>
                </c:pt>
                <c:pt idx="63">
                  <c:v>0.63164463982792218</c:v>
                </c:pt>
                <c:pt idx="64">
                  <c:v>0.63164463982792218</c:v>
                </c:pt>
                <c:pt idx="65">
                  <c:v>0.63164463982792218</c:v>
                </c:pt>
              </c:numCache>
            </c:numRef>
          </c:yVal>
          <c:smooth val="0"/>
          <c:extLst>
            <c:ext xmlns:c16="http://schemas.microsoft.com/office/drawing/2014/chart" uri="{C3380CC4-5D6E-409C-BE32-E72D297353CC}">
              <c16:uniqueId val="{00000001-36A6-4E81-B8EC-E7B35C082EC7}"/>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4539664303939551"/>
          <c:y val="0.5239346471036187"/>
          <c:w val="0.27282199324115119"/>
          <c:h val="0.15625115057274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(Aquac, PDO, NPGO) model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var'!$CD$2</c:f>
              <c:strCache>
                <c:ptCount val="1"/>
                <c:pt idx="0">
                  <c:v>alpha(y) (Aquac,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0-0FAD-417D-BA85-B30A4CA7AC2F}"/>
            </c:ext>
          </c:extLst>
        </c:ser>
        <c:ser>
          <c:idx val="1"/>
          <c:order val="1"/>
          <c:tx>
            <c:strRef>
              <c:f>'SR + catch data Murdoch_age var'!$CE$2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var'!$CE$3:$CE$68</c:f>
              <c:numCache>
                <c:formatCode>0.00</c:formatCode>
                <c:ptCount val="66"/>
                <c:pt idx="0">
                  <c:v>1.2106812608030384</c:v>
                </c:pt>
                <c:pt idx="1">
                  <c:v>1.2106812608030384</c:v>
                </c:pt>
                <c:pt idx="2">
                  <c:v>1.2106812608030384</c:v>
                </c:pt>
                <c:pt idx="3">
                  <c:v>1.2106812608030384</c:v>
                </c:pt>
                <c:pt idx="4">
                  <c:v>1.2106812608030384</c:v>
                </c:pt>
                <c:pt idx="5">
                  <c:v>1.2106812608030384</c:v>
                </c:pt>
                <c:pt idx="6">
                  <c:v>1.2214968913977242</c:v>
                </c:pt>
                <c:pt idx="7">
                  <c:v>1.199187239109065</c:v>
                </c:pt>
                <c:pt idx="8">
                  <c:v>1.1860059748636389</c:v>
                </c:pt>
                <c:pt idx="9">
                  <c:v>1.1802833625162719</c:v>
                </c:pt>
                <c:pt idx="10">
                  <c:v>1.1467344138873898</c:v>
                </c:pt>
                <c:pt idx="11">
                  <c:v>1.1423210594905553</c:v>
                </c:pt>
                <c:pt idx="12">
                  <c:v>1.1534571004752845</c:v>
                </c:pt>
                <c:pt idx="13">
                  <c:v>1.1564954998810435</c:v>
                </c:pt>
                <c:pt idx="14">
                  <c:v>1.1441472125877827</c:v>
                </c:pt>
                <c:pt idx="15">
                  <c:v>1.1480185889457077</c:v>
                </c:pt>
                <c:pt idx="16">
                  <c:v>1.1493559856218309</c:v>
                </c:pt>
                <c:pt idx="17">
                  <c:v>1.1534695758980211</c:v>
                </c:pt>
                <c:pt idx="18">
                  <c:v>1.1559159395186838</c:v>
                </c:pt>
                <c:pt idx="19">
                  <c:v>1.1713602244370791</c:v>
                </c:pt>
                <c:pt idx="20">
                  <c:v>1.2088944851156889</c:v>
                </c:pt>
                <c:pt idx="21">
                  <c:v>1.2179640622095955</c:v>
                </c:pt>
                <c:pt idx="22">
                  <c:v>1.2295463423424304</c:v>
                </c:pt>
                <c:pt idx="23">
                  <c:v>1.2359698831789057</c:v>
                </c:pt>
                <c:pt idx="24">
                  <c:v>1.226270105619975</c:v>
                </c:pt>
                <c:pt idx="25">
                  <c:v>1.1929527145815482</c:v>
                </c:pt>
                <c:pt idx="26">
                  <c:v>1.1725725187626077</c:v>
                </c:pt>
                <c:pt idx="27">
                  <c:v>1.1700447947985488</c:v>
                </c:pt>
                <c:pt idx="28">
                  <c:v>1.1441985911021637</c:v>
                </c:pt>
                <c:pt idx="29">
                  <c:v>1.1283606702842435</c:v>
                </c:pt>
                <c:pt idx="30">
                  <c:v>1.0746431330529607</c:v>
                </c:pt>
                <c:pt idx="31">
                  <c:v>1.0541169694231818</c:v>
                </c:pt>
                <c:pt idx="32">
                  <c:v>1.0459863349516607</c:v>
                </c:pt>
                <c:pt idx="33">
                  <c:v>1.0591118759333014</c:v>
                </c:pt>
                <c:pt idx="34">
                  <c:v>1.0804363323120207</c:v>
                </c:pt>
                <c:pt idx="35">
                  <c:v>1.0899060176352839</c:v>
                </c:pt>
                <c:pt idx="36">
                  <c:v>1.0763659380046608</c:v>
                </c:pt>
                <c:pt idx="37">
                  <c:v>1.0306839727653681</c:v>
                </c:pt>
                <c:pt idx="38">
                  <c:v>0.99838825660234942</c:v>
                </c:pt>
                <c:pt idx="39">
                  <c:v>0.97618373550736826</c:v>
                </c:pt>
                <c:pt idx="40">
                  <c:v>0.96355634374783894</c:v>
                </c:pt>
                <c:pt idx="41">
                  <c:v>0.93505869887549442</c:v>
                </c:pt>
                <c:pt idx="42">
                  <c:v>0.90232792172632126</c:v>
                </c:pt>
                <c:pt idx="43">
                  <c:v>0.88543849621460191</c:v>
                </c:pt>
                <c:pt idx="44">
                  <c:v>0.88961253463799961</c:v>
                </c:pt>
                <c:pt idx="45">
                  <c:v>0.88452264704232009</c:v>
                </c:pt>
                <c:pt idx="46">
                  <c:v>0.88110438599303309</c:v>
                </c:pt>
                <c:pt idx="47">
                  <c:v>0.88968440892703704</c:v>
                </c:pt>
                <c:pt idx="48">
                  <c:v>0.90736712458941982</c:v>
                </c:pt>
                <c:pt idx="49">
                  <c:v>0.87221815092633626</c:v>
                </c:pt>
                <c:pt idx="50">
                  <c:v>0.85008271118747802</c:v>
                </c:pt>
                <c:pt idx="51">
                  <c:v>0.84852485236372266</c:v>
                </c:pt>
                <c:pt idx="52">
                  <c:v>0.85659463647826117</c:v>
                </c:pt>
                <c:pt idx="53">
                  <c:v>0.83748145339678981</c:v>
                </c:pt>
                <c:pt idx="54">
                  <c:v>0.80502549506922494</c:v>
                </c:pt>
                <c:pt idx="55">
                  <c:v>0.78508930737200666</c:v>
                </c:pt>
                <c:pt idx="56">
                  <c:v>0.78123118923476009</c:v>
                </c:pt>
                <c:pt idx="57">
                  <c:v>0.79299617705237457</c:v>
                </c:pt>
                <c:pt idx="58">
                  <c:v>0.78227964510126813</c:v>
                </c:pt>
                <c:pt idx="59">
                  <c:v>0.7473096509331898</c:v>
                </c:pt>
                <c:pt idx="60">
                  <c:v>0.7326310991631183</c:v>
                </c:pt>
                <c:pt idx="61">
                  <c:v>0.70246217276236289</c:v>
                </c:pt>
                <c:pt idx="62">
                  <c:v>0.70246217276236289</c:v>
                </c:pt>
                <c:pt idx="63">
                  <c:v>0.70246217276236289</c:v>
                </c:pt>
                <c:pt idx="64">
                  <c:v>0.70246217276236289</c:v>
                </c:pt>
                <c:pt idx="65">
                  <c:v>0.70246217276236289</c:v>
                </c:pt>
              </c:numCache>
            </c:numRef>
          </c:yVal>
          <c:smooth val="0"/>
          <c:extLst>
            <c:ext xmlns:c16="http://schemas.microsoft.com/office/drawing/2014/chart" uri="{C3380CC4-5D6E-409C-BE32-E72D297353CC}">
              <c16:uniqueId val="{00000001-0FAD-417D-BA85-B30A4CA7AC2F}"/>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Covariate time series</a:t>
            </a:r>
          </a:p>
        </c:rich>
      </c:tx>
      <c:layout>
        <c:manualLayout>
          <c:xMode val="edge"/>
          <c:yMode val="edge"/>
          <c:x val="0.56908643405815573"/>
          <c:y val="3.5487953539655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49191432287352"/>
          <c:y val="0.14743323699403874"/>
          <c:w val="0.79166363265698902"/>
          <c:h val="0.67606303431844805"/>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28C-4B03-B74D-409B01233596}"/>
            </c:ext>
          </c:extLst>
        </c:ser>
        <c:ser>
          <c:idx val="1"/>
          <c:order val="1"/>
          <c:tx>
            <c:strRef>
              <c:f>'SR + catch data Murdoch_age var'!$BA$2</c:f>
              <c:strCache>
                <c:ptCount val="1"/>
                <c:pt idx="0">
                  <c:v>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1-428C-4B03-B74D-409B01233596}"/>
            </c:ext>
          </c:extLst>
        </c:ser>
        <c:ser>
          <c:idx val="2"/>
          <c:order val="2"/>
          <c:tx>
            <c:strRef>
              <c:f>'SR + catch data Murdoch_age var'!$BU$2</c:f>
              <c:strCache>
                <c:ptCount val="1"/>
                <c:pt idx="0">
                  <c:v>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var'!$BU$3:$BU$68</c:f>
              <c:numCache>
                <c:formatCode>0.00</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yVal>
          <c:smooth val="0"/>
          <c:extLst>
            <c:ext xmlns:c16="http://schemas.microsoft.com/office/drawing/2014/chart" uri="{C3380CC4-5D6E-409C-BE32-E72D297353CC}">
              <c16:uniqueId val="{00000002-428C-4B03-B74D-409B01233596}"/>
            </c:ext>
          </c:extLst>
        </c:ser>
        <c:ser>
          <c:idx val="3"/>
          <c:order val="3"/>
          <c:tx>
            <c:strRef>
              <c:f>'SR + catch data Murdoch_age var'!$BS$2</c:f>
              <c:strCache>
                <c:ptCount val="1"/>
                <c:pt idx="0">
                  <c:v>adult.sst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var'!$BS$3:$BS$68</c:f>
              <c:numCache>
                <c:formatCode>0.00</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yVal>
          <c:smooth val="0"/>
          <c:extLst>
            <c:ext xmlns:c16="http://schemas.microsoft.com/office/drawing/2014/chart" uri="{C3380CC4-5D6E-409C-BE32-E72D297353CC}">
              <c16:uniqueId val="{00000003-428C-4B03-B74D-409B01233596}"/>
            </c:ext>
          </c:extLst>
        </c:ser>
        <c:ser>
          <c:idx val="4"/>
          <c:order val="4"/>
          <c:tx>
            <c:strRef>
              <c:f>'SR + catch data Murdoch_age var'!$BT$2</c:f>
              <c:strCache>
                <c:ptCount val="1"/>
                <c:pt idx="0">
                  <c:v>PDO juvenile</c:v>
                </c:pt>
              </c:strCache>
            </c:strRef>
          </c:tx>
          <c:spPr>
            <a:ln w="19050" cap="rnd">
              <a:solidFill>
                <a:srgbClr val="00B050"/>
              </a:solidFill>
              <a:round/>
            </a:ln>
            <a:effectLst/>
          </c:spPr>
          <c:marker>
            <c:symbol val="circle"/>
            <c:size val="5"/>
            <c:spPr>
              <a:solidFill>
                <a:schemeClr val="accent5"/>
              </a:solidFill>
              <a:ln w="9525">
                <a:solidFill>
                  <a:schemeClr val="accent5"/>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var'!$BT$3:$BT$68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6-428C-4B03-B74D-409B01233596}"/>
            </c:ext>
          </c:extLst>
        </c:ser>
        <c:ser>
          <c:idx val="5"/>
          <c:order val="5"/>
          <c:tx>
            <c:strRef>
              <c:f>'SR + catch data Murdoch_age var'!$BV$2</c:f>
              <c:strCache>
                <c:ptCount val="1"/>
                <c:pt idx="0">
                  <c:v>aquaculture.production</c:v>
                </c:pt>
              </c:strCache>
            </c:strRef>
          </c:tx>
          <c:spPr>
            <a:ln w="19050" cap="rnd">
              <a:solidFill>
                <a:srgbClr val="FF0000"/>
              </a:solidFill>
              <a:round/>
            </a:ln>
            <a:effectLst/>
          </c:spPr>
          <c:marker>
            <c:symbol val="circle"/>
            <c:size val="5"/>
            <c:spPr>
              <a:solidFill>
                <a:schemeClr val="accent6"/>
              </a:solidFill>
              <a:ln w="9525">
                <a:solidFill>
                  <a:schemeClr val="accent6"/>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D3FF-40E5-93E5-BEF19E131CE8}"/>
            </c:ext>
          </c:extLst>
        </c:ser>
        <c:dLbls>
          <c:showLegendKey val="0"/>
          <c:showVal val="0"/>
          <c:showCatName val="0"/>
          <c:showSerName val="0"/>
          <c:showPercent val="0"/>
          <c:showBubbleSize val="0"/>
        </c:dLbls>
        <c:axId val="789125344"/>
        <c:axId val="789120768"/>
      </c:scatterChart>
      <c:valAx>
        <c:axId val="789125344"/>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0768"/>
        <c:crossesAt val="-2"/>
        <c:crossBetween val="midCat"/>
      </c:valAx>
      <c:valAx>
        <c:axId val="789120768"/>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5344"/>
        <c:crosses val="autoZero"/>
        <c:crossBetween val="midCat"/>
      </c:valAx>
      <c:spPr>
        <a:noFill/>
        <a:ln>
          <a:noFill/>
        </a:ln>
        <a:effectLst/>
      </c:spPr>
    </c:plotArea>
    <c:legend>
      <c:legendPos val="r"/>
      <c:layout>
        <c:manualLayout>
          <c:xMode val="edge"/>
          <c:yMode val="edge"/>
          <c:x val="0.12724110803686839"/>
          <c:y val="4.002733783297608E-2"/>
          <c:w val="0.32344275939790695"/>
          <c:h val="0.33735664798656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controlled all years,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70256529551713"/>
          <c:y val="0.1556230438545041"/>
          <c:w val="0.7253639839025241"/>
          <c:h val="0.74716119286163118"/>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2"/>
              </a:solidFill>
              <a:round/>
            </a:ln>
            <a:effectLst/>
          </c:spPr>
          <c:marker>
            <c:symbol val="circle"/>
            <c:size val="5"/>
            <c:spPr>
              <a:solidFill>
                <a:srgbClr val="FFC000"/>
              </a:solidFill>
              <a:ln w="9525">
                <a:solidFill>
                  <a:schemeClr val="accent2"/>
                </a:solidFill>
              </a:ln>
              <a:effectLst/>
            </c:spPr>
          </c:marker>
          <c:trendline>
            <c:spPr>
              <a:ln w="38100" cap="rnd">
                <a:solidFill>
                  <a:schemeClr val="accent2">
                    <a:lumMod val="75000"/>
                  </a:schemeClr>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1.1074918342146183</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1.0076640759951572</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1.1813245662105996</c:v>
                </c:pt>
                <c:pt idx="63">
                  <c:v>0.88953846934614955</c:v>
                </c:pt>
                <c:pt idx="64">
                  <c:v>1.0224548728910625</c:v>
                </c:pt>
                <c:pt idx="65">
                  <c:v>0.93779060283895377</c:v>
                </c:pt>
              </c:numCache>
            </c:numRef>
          </c:yVal>
          <c:smooth val="0"/>
          <c:extLst>
            <c:ext xmlns:c16="http://schemas.microsoft.com/office/drawing/2014/chart" uri="{C3380CC4-5D6E-409C-BE32-E72D297353CC}">
              <c16:uniqueId val="{00000001-C0EB-4AFF-BABF-1260AA2A03ED}"/>
            </c:ext>
          </c:extLst>
        </c:ser>
        <c:ser>
          <c:idx val="1"/>
          <c:order val="1"/>
          <c:tx>
            <c:strRef>
              <c:f>'SR + catch data Murdoch_age var'!$CM$2</c:f>
              <c:strCache>
                <c:ptCount val="1"/>
                <c:pt idx="0">
                  <c:v>alpha(y) ( SSL, smolt SST, PDO smolt, PDO adult, NPGO)</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var'!$CM$3:$CM$68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1.2493146700090205</c:v>
                </c:pt>
                <c:pt idx="21">
                  <c:v>1.2922928046229831</c:v>
                </c:pt>
                <c:pt idx="22">
                  <c:v>1.3247023049419031</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1.2904874736483054</c:v>
                </c:pt>
                <c:pt idx="32">
                  <c:v>1.0650776048982746</c:v>
                </c:pt>
                <c:pt idx="33">
                  <c:v>1.0522952790674369</c:v>
                </c:pt>
                <c:pt idx="34">
                  <c:v>0.85440553806761843</c:v>
                </c:pt>
                <c:pt idx="35">
                  <c:v>0.86363593104462899</c:v>
                </c:pt>
                <c:pt idx="36">
                  <c:v>1.1577683430304049</c:v>
                </c:pt>
                <c:pt idx="37">
                  <c:v>1.3560688462332409</c:v>
                </c:pt>
                <c:pt idx="38">
                  <c:v>1.2865761692472459</c:v>
                </c:pt>
                <c:pt idx="39">
                  <c:v>1.1885599058057519</c:v>
                </c:pt>
                <c:pt idx="40">
                  <c:v>1.1525689423123353</c:v>
                </c:pt>
                <c:pt idx="41">
                  <c:v>0.92501089346488052</c:v>
                </c:pt>
                <c:pt idx="42">
                  <c:v>0.93237277448570421</c:v>
                </c:pt>
                <c:pt idx="43">
                  <c:v>0.95475556384029281</c:v>
                </c:pt>
                <c:pt idx="44">
                  <c:v>0.76948621763916047</c:v>
                </c:pt>
                <c:pt idx="45">
                  <c:v>0.84323355308114556</c:v>
                </c:pt>
                <c:pt idx="46">
                  <c:v>0.90034576495095775</c:v>
                </c:pt>
                <c:pt idx="47">
                  <c:v>1.3616191661229819</c:v>
                </c:pt>
                <c:pt idx="48">
                  <c:v>1.3204584401432213</c:v>
                </c:pt>
                <c:pt idx="49">
                  <c:v>1.2082871077352815</c:v>
                </c:pt>
                <c:pt idx="50">
                  <c:v>1.1957469679451336</c:v>
                </c:pt>
                <c:pt idx="51">
                  <c:v>0.84165585932684772</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0.99966341016454185</c:v>
                </c:pt>
                <c:pt idx="60">
                  <c:v>0.96261283681662935</c:v>
                </c:pt>
                <c:pt idx="61">
                  <c:v>0.80614775178678877</c:v>
                </c:pt>
                <c:pt idx="62">
                  <c:v>0.46603376969388977</c:v>
                </c:pt>
                <c:pt idx="63">
                  <c:v>0.13087593777832862</c:v>
                </c:pt>
                <c:pt idx="64">
                  <c:v>0.25837916488662593</c:v>
                </c:pt>
                <c:pt idx="65">
                  <c:v>0.17371489483451719</c:v>
                </c:pt>
              </c:numCache>
            </c:numRef>
          </c:yVal>
          <c:smooth val="0"/>
          <c:extLst>
            <c:ext xmlns:c16="http://schemas.microsoft.com/office/drawing/2014/chart" uri="{C3380CC4-5D6E-409C-BE32-E72D297353CC}">
              <c16:uniqueId val="{00000003-C0EB-4AFF-BABF-1260AA2A03ED}"/>
            </c:ext>
          </c:extLst>
        </c:ser>
        <c:ser>
          <c:idx val="2"/>
          <c:order val="2"/>
          <c:tx>
            <c:strRef>
              <c:f>'SR + catch data Murdoch_age var'!$CX$2</c:f>
              <c:strCache>
                <c:ptCount val="1"/>
                <c:pt idx="0">
                  <c:v>alpha(y)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47625" cap="rnd">
                <a:solidFill>
                  <a:schemeClr val="accent3"/>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var'!$CX$3:$CX$68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0.9257864176339865</c:v>
                </c:pt>
                <c:pt idx="35">
                  <c:v>1.0122326835632187</c:v>
                </c:pt>
                <c:pt idx="36">
                  <c:v>1.189368056569303</c:v>
                </c:pt>
                <c:pt idx="37">
                  <c:v>1.3589182825330446</c:v>
                </c:pt>
                <c:pt idx="38">
                  <c:v>1.2533466924046446</c:v>
                </c:pt>
                <c:pt idx="39">
                  <c:v>1.2366243560989325</c:v>
                </c:pt>
                <c:pt idx="40">
                  <c:v>1.1027778851235017</c:v>
                </c:pt>
                <c:pt idx="41">
                  <c:v>0.85241382000586419</c:v>
                </c:pt>
                <c:pt idx="42">
                  <c:v>0.83609216174613255</c:v>
                </c:pt>
                <c:pt idx="43">
                  <c:v>1.0958122462056246</c:v>
                </c:pt>
                <c:pt idx="44">
                  <c:v>0.99268158642160631</c:v>
                </c:pt>
                <c:pt idx="45">
                  <c:v>0.97217928406420073</c:v>
                </c:pt>
                <c:pt idx="46">
                  <c:v>1.1136487244904085</c:v>
                </c:pt>
                <c:pt idx="47">
                  <c:v>1.457424214285187</c:v>
                </c:pt>
                <c:pt idx="48">
                  <c:v>1.5458980050008502</c:v>
                </c:pt>
                <c:pt idx="49">
                  <c:v>1.4940792945317833</c:v>
                </c:pt>
                <c:pt idx="50">
                  <c:v>1.5238562678918963</c:v>
                </c:pt>
                <c:pt idx="51">
                  <c:v>1.2205283118223933</c:v>
                </c:pt>
                <c:pt idx="52">
                  <c:v>1.2393093314607555</c:v>
                </c:pt>
                <c:pt idx="53">
                  <c:v>1.0000600306849741</c:v>
                </c:pt>
                <c:pt idx="54">
                  <c:v>1.0726127211443941</c:v>
                </c:pt>
                <c:pt idx="55">
                  <c:v>1.2027606944497706</c:v>
                </c:pt>
                <c:pt idx="56">
                  <c:v>1.4210758562759467</c:v>
                </c:pt>
                <c:pt idx="57">
                  <c:v>1.4092413242662603</c:v>
                </c:pt>
                <c:pt idx="58">
                  <c:v>1.3854285948153029</c:v>
                </c:pt>
                <c:pt idx="59">
                  <c:v>1.4091599759271132</c:v>
                </c:pt>
                <c:pt idx="60">
                  <c:v>1.4599211579872677</c:v>
                </c:pt>
                <c:pt idx="61">
                  <c:v>1.4107058344558925</c:v>
                </c:pt>
                <c:pt idx="62">
                  <c:v>1.1357841773230035</c:v>
                </c:pt>
                <c:pt idx="63">
                  <c:v>0.86459265657635598</c:v>
                </c:pt>
                <c:pt idx="64">
                  <c:v>1.0774630631594619</c:v>
                </c:pt>
                <c:pt idx="65">
                  <c:v>1.0117819357668021</c:v>
                </c:pt>
              </c:numCache>
            </c:numRef>
          </c:yVal>
          <c:smooth val="0"/>
          <c:extLst>
            <c:ext xmlns:c16="http://schemas.microsoft.com/office/drawing/2014/chart" uri="{C3380CC4-5D6E-409C-BE32-E72D297353CC}">
              <c16:uniqueId val="{00000003-8CDE-4F14-8248-A7AFC908E684}"/>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r>
                  <a:rPr lang="en-US" baseline="0"/>
                  <a:t> by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majorUnit val="0.5"/>
      </c:valAx>
      <c:spPr>
        <a:noFill/>
        <a:ln>
          <a:noFill/>
        </a:ln>
        <a:effectLst/>
      </c:spPr>
    </c:plotArea>
    <c:legend>
      <c:legendPos val="r"/>
      <c:layout>
        <c:manualLayout>
          <c:xMode val="edge"/>
          <c:yMode val="edge"/>
          <c:x val="0.16593773689977903"/>
          <c:y val="0.61366436748962927"/>
          <c:w val="0.49707338279411506"/>
          <c:h val="0.28523094025874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Alternative</a:t>
            </a:r>
            <a:r>
              <a:rPr lang="en-US" baseline="0"/>
              <a:t> historical trends in SSL abundance,  SST for smolts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44195653728721"/>
          <c:y val="0.14181963574046424"/>
          <c:w val="0.73727895172119229"/>
          <c:h val="0.6883971117198863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D55-4575-93CD-C116712EFD87}"/>
            </c:ext>
          </c:extLst>
        </c:ser>
        <c:ser>
          <c:idx val="1"/>
          <c:order val="1"/>
          <c:tx>
            <c:strRef>
              <c:f>'SR + catch data Murdoch_age var'!$BX$2</c:f>
              <c:strCache>
                <c:ptCount val="1"/>
                <c:pt idx="0">
                  <c:v>SSLs controlled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var'!$BX$3:$BX$68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-0.76945436806962253</c:v>
                </c:pt>
                <c:pt idx="21">
                  <c:v>-0.76945436806962253</c:v>
                </c:pt>
                <c:pt idx="22">
                  <c:v>-0.76945436806962253</c:v>
                </c:pt>
                <c:pt idx="23">
                  <c:v>-0.76945436806962253</c:v>
                </c:pt>
                <c:pt idx="24">
                  <c:v>-0.76945436806962253</c:v>
                </c:pt>
                <c:pt idx="25">
                  <c:v>-0.76945436806962253</c:v>
                </c:pt>
                <c:pt idx="26">
                  <c:v>-0.76945436806962253</c:v>
                </c:pt>
                <c:pt idx="27">
                  <c:v>-0.76945436806962253</c:v>
                </c:pt>
                <c:pt idx="28">
                  <c:v>-0.76945436806962253</c:v>
                </c:pt>
                <c:pt idx="29">
                  <c:v>-0.76945436806962253</c:v>
                </c:pt>
                <c:pt idx="30">
                  <c:v>-0.76945436806962253</c:v>
                </c:pt>
                <c:pt idx="31">
                  <c:v>-0.76945436806962253</c:v>
                </c:pt>
                <c:pt idx="32">
                  <c:v>-0.76945436806962253</c:v>
                </c:pt>
                <c:pt idx="33">
                  <c:v>-0.76945436806962253</c:v>
                </c:pt>
                <c:pt idx="34">
                  <c:v>-0.76945436806962253</c:v>
                </c:pt>
                <c:pt idx="35">
                  <c:v>-0.76945436806962253</c:v>
                </c:pt>
                <c:pt idx="36">
                  <c:v>-0.76945436806962253</c:v>
                </c:pt>
                <c:pt idx="37">
                  <c:v>-0.76945436806962253</c:v>
                </c:pt>
                <c:pt idx="38">
                  <c:v>-0.76945436806962253</c:v>
                </c:pt>
                <c:pt idx="39">
                  <c:v>-0.76945436806962253</c:v>
                </c:pt>
                <c:pt idx="40">
                  <c:v>-0.76945436806962253</c:v>
                </c:pt>
                <c:pt idx="41">
                  <c:v>-0.76945436806962253</c:v>
                </c:pt>
                <c:pt idx="42">
                  <c:v>-0.76945436806962253</c:v>
                </c:pt>
                <c:pt idx="43">
                  <c:v>-0.76945436806962253</c:v>
                </c:pt>
                <c:pt idx="44">
                  <c:v>-0.76945436806962253</c:v>
                </c:pt>
                <c:pt idx="45">
                  <c:v>-0.76945436806962253</c:v>
                </c:pt>
                <c:pt idx="46">
                  <c:v>-0.76945436806962253</c:v>
                </c:pt>
                <c:pt idx="47">
                  <c:v>-0.76945436806962253</c:v>
                </c:pt>
                <c:pt idx="48">
                  <c:v>-0.76945436806962253</c:v>
                </c:pt>
                <c:pt idx="49">
                  <c:v>-0.76945436806962253</c:v>
                </c:pt>
                <c:pt idx="50">
                  <c:v>-0.76945436806962253</c:v>
                </c:pt>
                <c:pt idx="51">
                  <c:v>-0.76945436806962253</c:v>
                </c:pt>
                <c:pt idx="52">
                  <c:v>-0.76945436806962253</c:v>
                </c:pt>
                <c:pt idx="53">
                  <c:v>-0.76945436806962253</c:v>
                </c:pt>
                <c:pt idx="54">
                  <c:v>-0.76945436806962253</c:v>
                </c:pt>
                <c:pt idx="55">
                  <c:v>-0.76945436806962253</c:v>
                </c:pt>
                <c:pt idx="56">
                  <c:v>-0.76945436806962253</c:v>
                </c:pt>
                <c:pt idx="57">
                  <c:v>-0.76945436806962253</c:v>
                </c:pt>
                <c:pt idx="58">
                  <c:v>-0.76945436806962253</c:v>
                </c:pt>
                <c:pt idx="59">
                  <c:v>-0.76945436806962253</c:v>
                </c:pt>
                <c:pt idx="60">
                  <c:v>-0.76945436806962253</c:v>
                </c:pt>
                <c:pt idx="61">
                  <c:v>-0.76945436806962253</c:v>
                </c:pt>
                <c:pt idx="62">
                  <c:v>-0.76945436806962253</c:v>
                </c:pt>
                <c:pt idx="63">
                  <c:v>-0.76945436806962253</c:v>
                </c:pt>
                <c:pt idx="64">
                  <c:v>-0.76945436806962253</c:v>
                </c:pt>
                <c:pt idx="65">
                  <c:v>-0.76945436806962253</c:v>
                </c:pt>
              </c:numCache>
            </c:numRef>
          </c:yVal>
          <c:smooth val="0"/>
          <c:extLst>
            <c:ext xmlns:c16="http://schemas.microsoft.com/office/drawing/2014/chart" uri="{C3380CC4-5D6E-409C-BE32-E72D297353CC}">
              <c16:uniqueId val="{00000001-4D55-4575-93CD-C116712EFD87}"/>
            </c:ext>
          </c:extLst>
        </c:ser>
        <c:ser>
          <c:idx val="2"/>
          <c:order val="2"/>
          <c:tx>
            <c:strRef>
              <c:f>'SR + catch data Murdoch_age var'!$BA$2</c:f>
              <c:strCache>
                <c:ptCount val="1"/>
                <c:pt idx="0">
                  <c:v>Year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4-4D55-4575-93CD-C116712EFD87}"/>
            </c:ext>
          </c:extLst>
        </c:ser>
        <c:dLbls>
          <c:showLegendKey val="0"/>
          <c:showVal val="0"/>
          <c:showCatName val="0"/>
          <c:showSerName val="0"/>
          <c:showPercent val="0"/>
          <c:showBubbleSize val="0"/>
        </c:dLbls>
        <c:axId val="841016432"/>
        <c:axId val="841008944"/>
      </c:scatterChart>
      <c:valAx>
        <c:axId val="841016432"/>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08944"/>
        <c:crossesAt val="-2"/>
        <c:crossBetween val="midCat"/>
      </c:valAx>
      <c:valAx>
        <c:axId val="841008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16432"/>
        <c:crosses val="autoZero"/>
        <c:crossBetween val="midCat"/>
      </c:valAx>
      <c:spPr>
        <a:noFill/>
        <a:ln>
          <a:noFill/>
        </a:ln>
        <a:effectLst/>
      </c:spPr>
    </c:plotArea>
    <c:legend>
      <c:legendPos val="r"/>
      <c:layout>
        <c:manualLayout>
          <c:xMode val="edge"/>
          <c:yMode val="edge"/>
          <c:x val="0.19822164109868609"/>
          <c:y val="0.2941718052774368"/>
          <c:w val="0.27682463013582781"/>
          <c:h val="0.19357426018908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Aquaculture (model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6F5-4D16-9565-281323F84AB9}"/>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D6F5-4D16-9565-281323F84AB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Spawners, smolt SST, SSL, NPGO, adult SST, </a:t>
            </a:r>
            <a:r>
              <a:rPr lang="en-US"/>
              <a:t>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var'!$DR$35</c:f>
              <c:strCache>
                <c:ptCount val="1"/>
                <c:pt idx="0">
                  <c:v>-1.27</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346146106736658"/>
                  <c:y val="-0.289175780110819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var'!$DQ$36:$DQ$99</c:f>
              <c:numCache>
                <c:formatCode>0.00</c:formatCode>
                <c:ptCount val="64"/>
                <c:pt idx="0">
                  <c:v>-1.2731466522913766</c:v>
                </c:pt>
                <c:pt idx="1">
                  <c:v>-0.66535852973021192</c:v>
                </c:pt>
                <c:pt idx="2">
                  <c:v>1.7000845439671852</c:v>
                </c:pt>
                <c:pt idx="3">
                  <c:v>0.75394156540648938</c:v>
                </c:pt>
                <c:pt idx="4">
                  <c:v>3.1410975555990603</c:v>
                </c:pt>
                <c:pt idx="5">
                  <c:v>0.4147850898921332</c:v>
                </c:pt>
                <c:pt idx="6">
                  <c:v>0.10585648883326097</c:v>
                </c:pt>
                <c:pt idx="7">
                  <c:v>-0.76096517639862082</c:v>
                </c:pt>
                <c:pt idx="8">
                  <c:v>-0.82910158363280106</c:v>
                </c:pt>
                <c:pt idx="9">
                  <c:v>-1.1812480848807687</c:v>
                </c:pt>
                <c:pt idx="10">
                  <c:v>-4.3230023397072014E-2</c:v>
                </c:pt>
                <c:pt idx="11">
                  <c:v>-0.78561905350715755</c:v>
                </c:pt>
                <c:pt idx="12">
                  <c:v>0.77404268082389915</c:v>
                </c:pt>
                <c:pt idx="13">
                  <c:v>1.3009890129034247</c:v>
                </c:pt>
                <c:pt idx="14">
                  <c:v>-0.86786118740539819</c:v>
                </c:pt>
                <c:pt idx="15">
                  <c:v>-0.30103191462273354</c:v>
                </c:pt>
                <c:pt idx="16">
                  <c:v>-0.41107605926733037</c:v>
                </c:pt>
                <c:pt idx="17">
                  <c:v>1.312160118389732</c:v>
                </c:pt>
                <c:pt idx="18">
                  <c:v>-0.49699166468743394</c:v>
                </c:pt>
                <c:pt idx="19">
                  <c:v>-1.207292250914717</c:v>
                </c:pt>
                <c:pt idx="20">
                  <c:v>-0.49835531669835087</c:v>
                </c:pt>
                <c:pt idx="21">
                  <c:v>-7.7764087596381426E-2</c:v>
                </c:pt>
                <c:pt idx="22">
                  <c:v>-0.13650857079742537</c:v>
                </c:pt>
                <c:pt idx="23">
                  <c:v>-1.0806710839089326</c:v>
                </c:pt>
                <c:pt idx="24">
                  <c:v>-0.48436433160713716</c:v>
                </c:pt>
                <c:pt idx="25">
                  <c:v>-2.3290956929896423</c:v>
                </c:pt>
                <c:pt idx="26">
                  <c:v>-0.89833650446701452</c:v>
                </c:pt>
                <c:pt idx="27">
                  <c:v>-0.34384177202393917</c:v>
                </c:pt>
                <c:pt idx="28">
                  <c:v>0.11720045825244996</c:v>
                </c:pt>
                <c:pt idx="29">
                  <c:v>1.0637533420906118</c:v>
                </c:pt>
                <c:pt idx="30">
                  <c:v>1.2615073161596455</c:v>
                </c:pt>
                <c:pt idx="31">
                  <c:v>-0.49001005174558643</c:v>
                </c:pt>
                <c:pt idx="32">
                  <c:v>-0.57838331674070409</c:v>
                </c:pt>
                <c:pt idx="33" formatCode="General">
                  <c:v>-0.94648717584404463</c:v>
                </c:pt>
                <c:pt idx="34" formatCode="General">
                  <c:v>-0.14674519692136462</c:v>
                </c:pt>
                <c:pt idx="35" formatCode="General">
                  <c:v>1.025920773765499</c:v>
                </c:pt>
                <c:pt idx="36" formatCode="General">
                  <c:v>3.4508875208086827E-2</c:v>
                </c:pt>
                <c:pt idx="37" formatCode="General">
                  <c:v>-0.21431536248070809</c:v>
                </c:pt>
                <c:pt idx="38" formatCode="General">
                  <c:v>0.26873970994772306</c:v>
                </c:pt>
                <c:pt idx="39" formatCode="General">
                  <c:v>-6.4451486510470335E-2</c:v>
                </c:pt>
                <c:pt idx="40" formatCode="General">
                  <c:v>-0.18327934530093332</c:v>
                </c:pt>
                <c:pt idx="41" formatCode="General">
                  <c:v>0.35737188419825489</c:v>
                </c:pt>
                <c:pt idx="42" formatCode="General">
                  <c:v>1.42323162843857</c:v>
                </c:pt>
                <c:pt idx="43" formatCode="General">
                  <c:v>1.202050052209731</c:v>
                </c:pt>
                <c:pt idx="44" formatCode="General">
                  <c:v>-0.20753488994261113</c:v>
                </c:pt>
                <c:pt idx="45" formatCode="General">
                  <c:v>1.4968845241779114</c:v>
                </c:pt>
                <c:pt idx="46" formatCode="General">
                  <c:v>0.5102853937383105</c:v>
                </c:pt>
                <c:pt idx="47" formatCode="General">
                  <c:v>0.51016553653029173</c:v>
                </c:pt>
                <c:pt idx="48" formatCode="General">
                  <c:v>0.68795458494299799</c:v>
                </c:pt>
                <c:pt idx="49" formatCode="General">
                  <c:v>-0.35654146460705766</c:v>
                </c:pt>
                <c:pt idx="50" formatCode="General">
                  <c:v>1.1120396384556648</c:v>
                </c:pt>
                <c:pt idx="51" formatCode="General">
                  <c:v>-0.74049174989228017</c:v>
                </c:pt>
                <c:pt idx="52" formatCode="General">
                  <c:v>-0.23904701850820412</c:v>
                </c:pt>
                <c:pt idx="53" formatCode="General">
                  <c:v>-1.309041379960314</c:v>
                </c:pt>
                <c:pt idx="54" formatCode="General">
                  <c:v>-2.1651170081401148</c:v>
                </c:pt>
                <c:pt idx="55" formatCode="General">
                  <c:v>0.35116546261152048</c:v>
                </c:pt>
                <c:pt idx="56" formatCode="General">
                  <c:v>-0.29427629294301688</c:v>
                </c:pt>
                <c:pt idx="57" formatCode="General">
                  <c:v>1.4548500935849404</c:v>
                </c:pt>
                <c:pt idx="58" formatCode="General">
                  <c:v>1.0417371283837797</c:v>
                </c:pt>
                <c:pt idx="59" formatCode="General">
                  <c:v>-0.55679410503619675</c:v>
                </c:pt>
                <c:pt idx="60" formatCode="General">
                  <c:v>1.7824058523750317</c:v>
                </c:pt>
                <c:pt idx="61" formatCode="General">
                  <c:v>-0.4807019710569852</c:v>
                </c:pt>
                <c:pt idx="62" formatCode="General">
                  <c:v>0.58468297706802175</c:v>
                </c:pt>
                <c:pt idx="63" formatCode="General">
                  <c:v>-1.6918679726218255</c:v>
                </c:pt>
              </c:numCache>
            </c:numRef>
          </c:xVal>
          <c:yVal>
            <c:numRef>
              <c:f>'SR + catch data Murdoch_age var'!$DR$36:$DR$99</c:f>
              <c:numCache>
                <c:formatCode>0.00</c:formatCode>
                <c:ptCount val="64"/>
                <c:pt idx="0">
                  <c:v>-0.66535852973021192</c:v>
                </c:pt>
                <c:pt idx="1">
                  <c:v>1.7000845439671852</c:v>
                </c:pt>
                <c:pt idx="2">
                  <c:v>0.75394156540648938</c:v>
                </c:pt>
                <c:pt idx="3">
                  <c:v>3.1410975555990603</c:v>
                </c:pt>
                <c:pt idx="4">
                  <c:v>0.4147850898921332</c:v>
                </c:pt>
                <c:pt idx="5">
                  <c:v>0.10585648883326097</c:v>
                </c:pt>
                <c:pt idx="6">
                  <c:v>-0.76096517639862082</c:v>
                </c:pt>
                <c:pt idx="7">
                  <c:v>-0.82910158363280106</c:v>
                </c:pt>
                <c:pt idx="8">
                  <c:v>-1.1812480848807687</c:v>
                </c:pt>
                <c:pt idx="9">
                  <c:v>-4.3230023397072014E-2</c:v>
                </c:pt>
                <c:pt idx="10">
                  <c:v>-0.78561905350715755</c:v>
                </c:pt>
                <c:pt idx="11">
                  <c:v>0.77404268082389915</c:v>
                </c:pt>
                <c:pt idx="12">
                  <c:v>1.3009890129034247</c:v>
                </c:pt>
                <c:pt idx="13">
                  <c:v>-0.86786118740539819</c:v>
                </c:pt>
                <c:pt idx="14">
                  <c:v>-0.30103191462273354</c:v>
                </c:pt>
                <c:pt idx="15">
                  <c:v>-0.41107605926733037</c:v>
                </c:pt>
                <c:pt idx="16">
                  <c:v>1.312160118389732</c:v>
                </c:pt>
                <c:pt idx="17">
                  <c:v>-0.49699166468743394</c:v>
                </c:pt>
                <c:pt idx="18">
                  <c:v>-1.207292250914717</c:v>
                </c:pt>
                <c:pt idx="19">
                  <c:v>-0.49835531669835087</c:v>
                </c:pt>
                <c:pt idx="20">
                  <c:v>-7.7764087596381426E-2</c:v>
                </c:pt>
                <c:pt idx="21">
                  <c:v>-0.13650857079742537</c:v>
                </c:pt>
                <c:pt idx="22">
                  <c:v>-1.0806710839089326</c:v>
                </c:pt>
                <c:pt idx="23">
                  <c:v>-0.48436433160713716</c:v>
                </c:pt>
                <c:pt idx="24">
                  <c:v>-2.3290956929896423</c:v>
                </c:pt>
                <c:pt idx="25">
                  <c:v>-0.89833650446701452</c:v>
                </c:pt>
                <c:pt idx="26">
                  <c:v>-0.34384177202393917</c:v>
                </c:pt>
                <c:pt idx="27">
                  <c:v>0.11720045825244996</c:v>
                </c:pt>
                <c:pt idx="28">
                  <c:v>1.0637533420906118</c:v>
                </c:pt>
                <c:pt idx="29">
                  <c:v>1.2615073161596455</c:v>
                </c:pt>
                <c:pt idx="30">
                  <c:v>-0.49001005174558643</c:v>
                </c:pt>
                <c:pt idx="31">
                  <c:v>-0.57838331674070409</c:v>
                </c:pt>
                <c:pt idx="32">
                  <c:v>-0.94648717584404463</c:v>
                </c:pt>
                <c:pt idx="33" formatCode="General">
                  <c:v>-0.14674519692136462</c:v>
                </c:pt>
                <c:pt idx="34" formatCode="General">
                  <c:v>1.025920773765499</c:v>
                </c:pt>
                <c:pt idx="35" formatCode="General">
                  <c:v>3.4508875208086827E-2</c:v>
                </c:pt>
                <c:pt idx="36" formatCode="General">
                  <c:v>-0.21431536248070809</c:v>
                </c:pt>
                <c:pt idx="37" formatCode="General">
                  <c:v>0.26873970994772306</c:v>
                </c:pt>
                <c:pt idx="38" formatCode="General">
                  <c:v>-6.4451486510470335E-2</c:v>
                </c:pt>
                <c:pt idx="39" formatCode="General">
                  <c:v>-0.18327934530093332</c:v>
                </c:pt>
                <c:pt idx="40" formatCode="General">
                  <c:v>0.35737188419825489</c:v>
                </c:pt>
                <c:pt idx="41" formatCode="General">
                  <c:v>1.42323162843857</c:v>
                </c:pt>
                <c:pt idx="42" formatCode="General">
                  <c:v>1.202050052209731</c:v>
                </c:pt>
                <c:pt idx="43" formatCode="General">
                  <c:v>-0.20753488994261113</c:v>
                </c:pt>
                <c:pt idx="44" formatCode="General">
                  <c:v>1.4968845241779114</c:v>
                </c:pt>
                <c:pt idx="45" formatCode="General">
                  <c:v>0.5102853937383105</c:v>
                </c:pt>
                <c:pt idx="46" formatCode="General">
                  <c:v>0.51016553653029173</c:v>
                </c:pt>
                <c:pt idx="47" formatCode="General">
                  <c:v>0.68795458494299799</c:v>
                </c:pt>
                <c:pt idx="48" formatCode="General">
                  <c:v>-0.35654146460705766</c:v>
                </c:pt>
                <c:pt idx="49" formatCode="General">
                  <c:v>1.1120396384556648</c:v>
                </c:pt>
                <c:pt idx="50" formatCode="General">
                  <c:v>-0.74049174989228017</c:v>
                </c:pt>
                <c:pt idx="51" formatCode="General">
                  <c:v>-0.23904701850820412</c:v>
                </c:pt>
                <c:pt idx="52" formatCode="General">
                  <c:v>-1.309041379960314</c:v>
                </c:pt>
                <c:pt idx="53" formatCode="General">
                  <c:v>-2.1651170081401148</c:v>
                </c:pt>
                <c:pt idx="54" formatCode="General">
                  <c:v>0.35116546261152048</c:v>
                </c:pt>
                <c:pt idx="55" formatCode="General">
                  <c:v>-0.29427629294301688</c:v>
                </c:pt>
                <c:pt idx="56" formatCode="General">
                  <c:v>1.4548500935849404</c:v>
                </c:pt>
                <c:pt idx="57" formatCode="General">
                  <c:v>1.0417371283837797</c:v>
                </c:pt>
                <c:pt idx="58" formatCode="General">
                  <c:v>-0.55679410503619675</c:v>
                </c:pt>
                <c:pt idx="59" formatCode="General">
                  <c:v>1.7824058523750317</c:v>
                </c:pt>
                <c:pt idx="60" formatCode="General">
                  <c:v>-0.4807019710569852</c:v>
                </c:pt>
                <c:pt idx="61" formatCode="General">
                  <c:v>0.58468297706802175</c:v>
                </c:pt>
                <c:pt idx="62" formatCode="General">
                  <c:v>-1.6918679726218255</c:v>
                </c:pt>
                <c:pt idx="63" formatCode="General">
                  <c:v>-0.59339396599484151</c:v>
                </c:pt>
              </c:numCache>
            </c:numRef>
          </c:yVal>
          <c:smooth val="0"/>
          <c:extLst>
            <c:ext xmlns:c16="http://schemas.microsoft.com/office/drawing/2014/chart" uri="{C3380CC4-5D6E-409C-BE32-E72D297353CC}">
              <c16:uniqueId val="{00000000-CB47-4F50-B825-7C2A8C1D58B4}"/>
            </c:ext>
          </c:extLst>
        </c:ser>
        <c:dLbls>
          <c:showLegendKey val="0"/>
          <c:showVal val="0"/>
          <c:showCatName val="0"/>
          <c:showSerName val="0"/>
          <c:showPercent val="0"/>
          <c:showBubbleSize val="0"/>
        </c:dLbls>
        <c:axId val="1423598864"/>
        <c:axId val="1423600528"/>
      </c:scatterChart>
      <c:valAx>
        <c:axId val="14235988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600528"/>
        <c:crosses val="autoZero"/>
        <c:crossBetween val="midCat"/>
      </c:valAx>
      <c:valAx>
        <c:axId val="14236005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598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Spawners, smolt SST, SSL, 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var'!$ED$33</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9675940507436569"/>
                  <c:y val="-0.178364683581219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var'!$EC$34:$EC$98</c:f>
              <c:numCache>
                <c:formatCode>0.00</c:formatCode>
                <c:ptCount val="65"/>
                <c:pt idx="0">
                  <c:v>-0.27582663755616532</c:v>
                </c:pt>
                <c:pt idx="1">
                  <c:v>-1.6442911776181806</c:v>
                </c:pt>
                <c:pt idx="2">
                  <c:v>-0.88586269327045597</c:v>
                </c:pt>
                <c:pt idx="3">
                  <c:v>1.5742071441672323</c:v>
                </c:pt>
                <c:pt idx="4">
                  <c:v>0.75700105924620875</c:v>
                </c:pt>
                <c:pt idx="5">
                  <c:v>3.0689028049173395</c:v>
                </c:pt>
                <c:pt idx="6">
                  <c:v>0.44062291958049682</c:v>
                </c:pt>
                <c:pt idx="7">
                  <c:v>0.15246308131004671</c:v>
                </c:pt>
                <c:pt idx="8">
                  <c:v>-0.69835338003164915</c:v>
                </c:pt>
                <c:pt idx="9">
                  <c:v>-0.76464111023918568</c:v>
                </c:pt>
                <c:pt idx="10">
                  <c:v>-1.0565990906696516</c:v>
                </c:pt>
                <c:pt idx="11">
                  <c:v>4.7472643808918642E-2</c:v>
                </c:pt>
                <c:pt idx="12">
                  <c:v>-0.68198996469234163</c:v>
                </c:pt>
                <c:pt idx="13">
                  <c:v>0.84262294218836353</c:v>
                </c:pt>
                <c:pt idx="14">
                  <c:v>1.3717586772317563</c:v>
                </c:pt>
                <c:pt idx="15">
                  <c:v>-0.72331461841971978</c:v>
                </c:pt>
                <c:pt idx="16">
                  <c:v>-0.1655198067406452</c:v>
                </c:pt>
                <c:pt idx="17">
                  <c:v>-0.30487703454120357</c:v>
                </c:pt>
                <c:pt idx="18">
                  <c:v>1.3594557829345335</c:v>
                </c:pt>
                <c:pt idx="19">
                  <c:v>-0.38766269542764703</c:v>
                </c:pt>
                <c:pt idx="20">
                  <c:v>-1.076065997566755</c:v>
                </c:pt>
                <c:pt idx="21">
                  <c:v>-0.43347775206544809</c:v>
                </c:pt>
                <c:pt idx="22">
                  <c:v>-3.0097668554963996E-2</c:v>
                </c:pt>
                <c:pt idx="23">
                  <c:v>-0.12007871219134718</c:v>
                </c:pt>
                <c:pt idx="24">
                  <c:v>-1.0115038728797261</c:v>
                </c:pt>
                <c:pt idx="25">
                  <c:v>-0.46125432998003707</c:v>
                </c:pt>
                <c:pt idx="26">
                  <c:v>-2.2426526408236107</c:v>
                </c:pt>
                <c:pt idx="27">
                  <c:v>-0.81253603784821515</c:v>
                </c:pt>
                <c:pt idx="28">
                  <c:v>-0.27034802468319585</c:v>
                </c:pt>
                <c:pt idx="29">
                  <c:v>0.13669998437422637</c:v>
                </c:pt>
                <c:pt idx="30">
                  <c:v>1.0076472347401799</c:v>
                </c:pt>
                <c:pt idx="31">
                  <c:v>1.1814513924041432</c:v>
                </c:pt>
                <c:pt idx="32">
                  <c:v>-0.51199123560930837</c:v>
                </c:pt>
                <c:pt idx="33">
                  <c:v>-0.62745807426349476</c:v>
                </c:pt>
                <c:pt idx="34">
                  <c:v>-1.0530106067129716</c:v>
                </c:pt>
                <c:pt idx="35" formatCode="General">
                  <c:v>-0.26052686964187494</c:v>
                </c:pt>
                <c:pt idx="36" formatCode="General">
                  <c:v>0.97474101015000525</c:v>
                </c:pt>
                <c:pt idx="37" formatCode="General">
                  <c:v>8.1199005129780982E-2</c:v>
                </c:pt>
                <c:pt idx="38" formatCode="General">
                  <c:v>-0.10992526684897885</c:v>
                </c:pt>
                <c:pt idx="39" formatCode="General">
                  <c:v>0.55672052065018962</c:v>
                </c:pt>
                <c:pt idx="40" formatCode="General">
                  <c:v>9.4716149598860946E-2</c:v>
                </c:pt>
                <c:pt idx="41" formatCode="General">
                  <c:v>7.7661864983068929E-2</c:v>
                </c:pt>
                <c:pt idx="42" formatCode="General">
                  <c:v>0.52014189505410136</c:v>
                </c:pt>
                <c:pt idx="43" formatCode="General">
                  <c:v>1.4515469552950657</c:v>
                </c:pt>
                <c:pt idx="44" formatCode="General">
                  <c:v>1.1968153220469115</c:v>
                </c:pt>
                <c:pt idx="45" formatCode="General">
                  <c:v>9.5240904127082242E-3</c:v>
                </c:pt>
                <c:pt idx="46" formatCode="General">
                  <c:v>1.6509498272944376</c:v>
                </c:pt>
                <c:pt idx="47" formatCode="General">
                  <c:v>0.45135878432862619</c:v>
                </c:pt>
                <c:pt idx="48" formatCode="General">
                  <c:v>0.47083032612094283</c:v>
                </c:pt>
                <c:pt idx="49" formatCode="General">
                  <c:v>1.1130992027501851</c:v>
                </c:pt>
                <c:pt idx="50" formatCode="General">
                  <c:v>4.7341276551524326E-3</c:v>
                </c:pt>
                <c:pt idx="51" formatCode="General">
                  <c:v>1.1521198425692916</c:v>
                </c:pt>
                <c:pt idx="52" formatCode="General">
                  <c:v>-0.63138162713170487</c:v>
                </c:pt>
                <c:pt idx="53" formatCode="General">
                  <c:v>-0.12503295780397095</c:v>
                </c:pt>
                <c:pt idx="54" formatCode="General">
                  <c:v>-0.98961789203367478</c:v>
                </c:pt>
                <c:pt idx="55" formatCode="General">
                  <c:v>-2.0209505522380651</c:v>
                </c:pt>
                <c:pt idx="56" formatCode="General">
                  <c:v>0.4251460093234935</c:v>
                </c:pt>
                <c:pt idx="57" formatCode="General">
                  <c:v>-0.33860640702886324</c:v>
                </c:pt>
                <c:pt idx="58" formatCode="General">
                  <c:v>1.2744387683276837</c:v>
                </c:pt>
                <c:pt idx="59" formatCode="General">
                  <c:v>0.97696543662262214</c:v>
                </c:pt>
                <c:pt idx="60" formatCode="General">
                  <c:v>-0.76843262575861482</c:v>
                </c:pt>
                <c:pt idx="61" formatCode="General">
                  <c:v>1.2369619769682796</c:v>
                </c:pt>
                <c:pt idx="62" formatCode="General">
                  <c:v>-1.2933719880687025</c:v>
                </c:pt>
                <c:pt idx="63" formatCode="General">
                  <c:v>0.22731671947642862</c:v>
                </c:pt>
                <c:pt idx="64" formatCode="General">
                  <c:v>-1.9922780789887586</c:v>
                </c:pt>
              </c:numCache>
            </c:numRef>
          </c:xVal>
          <c:yVal>
            <c:numRef>
              <c:f>'SR + catch data Murdoch_age var'!$ED$34:$ED$98</c:f>
              <c:numCache>
                <c:formatCode>0.00</c:formatCode>
                <c:ptCount val="65"/>
                <c:pt idx="0">
                  <c:v>-1.6442911776181806</c:v>
                </c:pt>
                <c:pt idx="1">
                  <c:v>-0.88586269327045597</c:v>
                </c:pt>
                <c:pt idx="2">
                  <c:v>1.5742071441672323</c:v>
                </c:pt>
                <c:pt idx="3">
                  <c:v>0.75700105924620875</c:v>
                </c:pt>
                <c:pt idx="4">
                  <c:v>3.0689028049173395</c:v>
                </c:pt>
                <c:pt idx="5">
                  <c:v>0.44062291958049682</c:v>
                </c:pt>
                <c:pt idx="6">
                  <c:v>0.15246308131004671</c:v>
                </c:pt>
                <c:pt idx="7">
                  <c:v>-0.69835338003164915</c:v>
                </c:pt>
                <c:pt idx="8">
                  <c:v>-0.76464111023918568</c:v>
                </c:pt>
                <c:pt idx="9">
                  <c:v>-1.0565990906696516</c:v>
                </c:pt>
                <c:pt idx="10">
                  <c:v>4.7472643808918642E-2</c:v>
                </c:pt>
                <c:pt idx="11">
                  <c:v>-0.68198996469234163</c:v>
                </c:pt>
                <c:pt idx="12">
                  <c:v>0.84262294218836353</c:v>
                </c:pt>
                <c:pt idx="13">
                  <c:v>1.3717586772317563</c:v>
                </c:pt>
                <c:pt idx="14">
                  <c:v>-0.72331461841971978</c:v>
                </c:pt>
                <c:pt idx="15">
                  <c:v>-0.1655198067406452</c:v>
                </c:pt>
                <c:pt idx="16">
                  <c:v>-0.30487703454120357</c:v>
                </c:pt>
                <c:pt idx="17">
                  <c:v>1.3594557829345335</c:v>
                </c:pt>
                <c:pt idx="18">
                  <c:v>-0.38766269542764703</c:v>
                </c:pt>
                <c:pt idx="19">
                  <c:v>-1.076065997566755</c:v>
                </c:pt>
                <c:pt idx="20">
                  <c:v>-0.43347775206544809</c:v>
                </c:pt>
                <c:pt idx="21">
                  <c:v>-3.0097668554963996E-2</c:v>
                </c:pt>
                <c:pt idx="22">
                  <c:v>-0.12007871219134718</c:v>
                </c:pt>
                <c:pt idx="23">
                  <c:v>-1.0115038728797261</c:v>
                </c:pt>
                <c:pt idx="24">
                  <c:v>-0.46125432998003707</c:v>
                </c:pt>
                <c:pt idx="25">
                  <c:v>-2.2426526408236107</c:v>
                </c:pt>
                <c:pt idx="26">
                  <c:v>-0.81253603784821515</c:v>
                </c:pt>
                <c:pt idx="27">
                  <c:v>-0.27034802468319585</c:v>
                </c:pt>
                <c:pt idx="28">
                  <c:v>0.13669998437422637</c:v>
                </c:pt>
                <c:pt idx="29">
                  <c:v>1.0076472347401799</c:v>
                </c:pt>
                <c:pt idx="30">
                  <c:v>1.1814513924041432</c:v>
                </c:pt>
                <c:pt idx="31">
                  <c:v>-0.51199123560930837</c:v>
                </c:pt>
                <c:pt idx="32">
                  <c:v>-0.62745807426349476</c:v>
                </c:pt>
                <c:pt idx="33">
                  <c:v>-1.0530106067129716</c:v>
                </c:pt>
                <c:pt idx="34">
                  <c:v>-0.26052686964187494</c:v>
                </c:pt>
                <c:pt idx="35" formatCode="General">
                  <c:v>0.97474101015000525</c:v>
                </c:pt>
                <c:pt idx="36" formatCode="General">
                  <c:v>8.1199005129780982E-2</c:v>
                </c:pt>
                <c:pt idx="37" formatCode="General">
                  <c:v>-0.10992526684897885</c:v>
                </c:pt>
                <c:pt idx="38" formatCode="General">
                  <c:v>0.55672052065018962</c:v>
                </c:pt>
                <c:pt idx="39" formatCode="General">
                  <c:v>9.4716149598860946E-2</c:v>
                </c:pt>
                <c:pt idx="40" formatCode="General">
                  <c:v>7.7661864983068929E-2</c:v>
                </c:pt>
                <c:pt idx="41" formatCode="General">
                  <c:v>0.52014189505410136</c:v>
                </c:pt>
                <c:pt idx="42" formatCode="General">
                  <c:v>1.4515469552950657</c:v>
                </c:pt>
                <c:pt idx="43" formatCode="General">
                  <c:v>1.1968153220469115</c:v>
                </c:pt>
                <c:pt idx="44" formatCode="General">
                  <c:v>9.5240904127082242E-3</c:v>
                </c:pt>
                <c:pt idx="45" formatCode="General">
                  <c:v>1.6509498272944376</c:v>
                </c:pt>
                <c:pt idx="46" formatCode="General">
                  <c:v>0.45135878432862619</c:v>
                </c:pt>
                <c:pt idx="47" formatCode="General">
                  <c:v>0.47083032612094283</c:v>
                </c:pt>
                <c:pt idx="48" formatCode="General">
                  <c:v>1.1130992027501851</c:v>
                </c:pt>
                <c:pt idx="49" formatCode="General">
                  <c:v>4.7341276551524326E-3</c:v>
                </c:pt>
                <c:pt idx="50" formatCode="General">
                  <c:v>1.1521198425692916</c:v>
                </c:pt>
                <c:pt idx="51" formatCode="General">
                  <c:v>-0.63138162713170487</c:v>
                </c:pt>
                <c:pt idx="52" formatCode="General">
                  <c:v>-0.12503295780397095</c:v>
                </c:pt>
                <c:pt idx="53" formatCode="General">
                  <c:v>-0.98961789203367478</c:v>
                </c:pt>
                <c:pt idx="54" formatCode="General">
                  <c:v>-2.0209505522380651</c:v>
                </c:pt>
                <c:pt idx="55" formatCode="General">
                  <c:v>0.4251460093234935</c:v>
                </c:pt>
                <c:pt idx="56" formatCode="General">
                  <c:v>-0.33860640702886324</c:v>
                </c:pt>
                <c:pt idx="57" formatCode="General">
                  <c:v>1.2744387683276837</c:v>
                </c:pt>
                <c:pt idx="58" formatCode="General">
                  <c:v>0.97696543662262214</c:v>
                </c:pt>
                <c:pt idx="59" formatCode="General">
                  <c:v>-0.76843262575861482</c:v>
                </c:pt>
                <c:pt idx="60" formatCode="General">
                  <c:v>1.2369619769682796</c:v>
                </c:pt>
                <c:pt idx="61" formatCode="General">
                  <c:v>-1.2933719880687025</c:v>
                </c:pt>
                <c:pt idx="62" formatCode="General">
                  <c:v>0.22731671947642862</c:v>
                </c:pt>
                <c:pt idx="63" formatCode="General">
                  <c:v>-1.9922780789887586</c:v>
                </c:pt>
                <c:pt idx="64" formatCode="General">
                  <c:v>-1.1177560737321341</c:v>
                </c:pt>
              </c:numCache>
            </c:numRef>
          </c:yVal>
          <c:smooth val="0"/>
          <c:extLst>
            <c:ext xmlns:c16="http://schemas.microsoft.com/office/drawing/2014/chart" uri="{C3380CC4-5D6E-409C-BE32-E72D297353CC}">
              <c16:uniqueId val="{00000000-4B1C-4CB2-B8B3-4C7191232371}"/>
            </c:ext>
          </c:extLst>
        </c:ser>
        <c:dLbls>
          <c:showLegendKey val="0"/>
          <c:showVal val="0"/>
          <c:showCatName val="0"/>
          <c:showSerName val="0"/>
          <c:showPercent val="0"/>
          <c:showBubbleSize val="0"/>
        </c:dLbls>
        <c:axId val="1263997984"/>
        <c:axId val="1263998400"/>
      </c:scatterChart>
      <c:valAx>
        <c:axId val="126399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8400"/>
        <c:crosses val="autoZero"/>
        <c:crossBetween val="midCat"/>
      </c:valAx>
      <c:valAx>
        <c:axId val="1263998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7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4b)</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C35C-4286-B6FB-038D08CC3BBB}"/>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C35C-4286-B6FB-038D08CC3BBB}"/>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smolt SST and SSLs (model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AD6D-4116-86D8-170B590E2CD9}"/>
            </c:ext>
          </c:extLst>
        </c:ser>
        <c:ser>
          <c:idx val="1"/>
          <c:order val="1"/>
          <c:tx>
            <c:strRef>
              <c:f>'SR + catch data Murdoch_age var'!$CC$2</c:f>
              <c:strCache>
                <c:ptCount val="1"/>
                <c:pt idx="0">
                  <c:v>Recruits(SP,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var'!$CC$3:$CC$68</c:f>
              <c:numCache>
                <c:formatCode>0.00</c:formatCode>
                <c:ptCount val="66"/>
                <c:pt idx="0">
                  <c:v>430578.30629531323</c:v>
                </c:pt>
                <c:pt idx="1">
                  <c:v>511658.07116614899</c:v>
                </c:pt>
                <c:pt idx="2">
                  <c:v>449428.65889163793</c:v>
                </c:pt>
                <c:pt idx="3">
                  <c:v>265485.86587810115</c:v>
                </c:pt>
                <c:pt idx="4">
                  <c:v>441196.28400056262</c:v>
                </c:pt>
                <c:pt idx="5">
                  <c:v>106152.78048863566</c:v>
                </c:pt>
                <c:pt idx="6">
                  <c:v>224825.89755731836</c:v>
                </c:pt>
                <c:pt idx="7">
                  <c:v>250381.45765119619</c:v>
                </c:pt>
                <c:pt idx="8">
                  <c:v>460832.48030060664</c:v>
                </c:pt>
                <c:pt idx="9">
                  <c:v>485138.67570035002</c:v>
                </c:pt>
                <c:pt idx="10">
                  <c:v>370966.96953690291</c:v>
                </c:pt>
                <c:pt idx="11">
                  <c:v>388318.28185190196</c:v>
                </c:pt>
                <c:pt idx="12">
                  <c:v>617793.91348135634</c:v>
                </c:pt>
                <c:pt idx="13">
                  <c:v>712081.47987701802</c:v>
                </c:pt>
                <c:pt idx="14">
                  <c:v>381475.30697073165</c:v>
                </c:pt>
                <c:pt idx="15">
                  <c:v>974292.90306979895</c:v>
                </c:pt>
                <c:pt idx="16">
                  <c:v>619325.80828103097</c:v>
                </c:pt>
                <c:pt idx="17">
                  <c:v>1505132.1598567124</c:v>
                </c:pt>
                <c:pt idx="18">
                  <c:v>795121.46767875878</c:v>
                </c:pt>
                <c:pt idx="19">
                  <c:v>953077.80011157587</c:v>
                </c:pt>
                <c:pt idx="20">
                  <c:v>965602.17181380244</c:v>
                </c:pt>
                <c:pt idx="21">
                  <c:v>1125017.6510193266</c:v>
                </c:pt>
                <c:pt idx="22">
                  <c:v>840312.74664007709</c:v>
                </c:pt>
                <c:pt idx="23">
                  <c:v>1080133.3424510788</c:v>
                </c:pt>
                <c:pt idx="24">
                  <c:v>761623.15596651554</c:v>
                </c:pt>
                <c:pt idx="25">
                  <c:v>970276.05538971571</c:v>
                </c:pt>
                <c:pt idx="26">
                  <c:v>1535418.2027819888</c:v>
                </c:pt>
                <c:pt idx="27">
                  <c:v>974117.12908003817</c:v>
                </c:pt>
                <c:pt idx="28">
                  <c:v>599227.93280725146</c:v>
                </c:pt>
                <c:pt idx="29">
                  <c:v>723778.1326503912</c:v>
                </c:pt>
                <c:pt idx="30">
                  <c:v>1066058.1209079698</c:v>
                </c:pt>
                <c:pt idx="31">
                  <c:v>858236.76344685769</c:v>
                </c:pt>
                <c:pt idx="32">
                  <c:v>828055.74623149424</c:v>
                </c:pt>
                <c:pt idx="33">
                  <c:v>1256861.4508964152</c:v>
                </c:pt>
                <c:pt idx="34">
                  <c:v>1722797.1654777396</c:v>
                </c:pt>
                <c:pt idx="35">
                  <c:v>1619978.3287657092</c:v>
                </c:pt>
                <c:pt idx="36">
                  <c:v>960991.32589805091</c:v>
                </c:pt>
                <c:pt idx="37">
                  <c:v>1513222.5033566596</c:v>
                </c:pt>
                <c:pt idx="38">
                  <c:v>1744719.4619672506</c:v>
                </c:pt>
                <c:pt idx="39">
                  <c:v>1915918.1973299657</c:v>
                </c:pt>
                <c:pt idx="40">
                  <c:v>1863346.4856871795</c:v>
                </c:pt>
                <c:pt idx="41">
                  <c:v>1406304.5499314687</c:v>
                </c:pt>
                <c:pt idx="42">
                  <c:v>1320830.8640362935</c:v>
                </c:pt>
                <c:pt idx="43">
                  <c:v>1983335.8431159467</c:v>
                </c:pt>
                <c:pt idx="44">
                  <c:v>1739791.0840436181</c:v>
                </c:pt>
                <c:pt idx="45">
                  <c:v>1535468.4021360893</c:v>
                </c:pt>
                <c:pt idx="46">
                  <c:v>1607245.6690771233</c:v>
                </c:pt>
                <c:pt idx="47">
                  <c:v>2049861.5212392421</c:v>
                </c:pt>
                <c:pt idx="48">
                  <c:v>2480945.2086798567</c:v>
                </c:pt>
                <c:pt idx="49">
                  <c:v>1706537.0024936094</c:v>
                </c:pt>
                <c:pt idx="50">
                  <c:v>2172618.4448007671</c:v>
                </c:pt>
                <c:pt idx="51">
                  <c:v>1766442.1819664354</c:v>
                </c:pt>
                <c:pt idx="52">
                  <c:v>1807704.2093101675</c:v>
                </c:pt>
                <c:pt idx="53">
                  <c:v>1410409.0058531961</c:v>
                </c:pt>
                <c:pt idx="54">
                  <c:v>1437825.583682531</c:v>
                </c:pt>
                <c:pt idx="55">
                  <c:v>1631405.5822212677</c:v>
                </c:pt>
                <c:pt idx="56">
                  <c:v>1654355.9936395069</c:v>
                </c:pt>
                <c:pt idx="57">
                  <c:v>1519278.4441122152</c:v>
                </c:pt>
                <c:pt idx="58">
                  <c:v>867956.25380240101</c:v>
                </c:pt>
                <c:pt idx="59">
                  <c:v>1028163.8379420763</c:v>
                </c:pt>
                <c:pt idx="60">
                  <c:v>1438914.8136401081</c:v>
                </c:pt>
                <c:pt idx="61">
                  <c:v>1425237.8523417586</c:v>
                </c:pt>
                <c:pt idx="62">
                  <c:v>986563.66879449773</c:v>
                </c:pt>
                <c:pt idx="63">
                  <c:v>719273.25702457759</c:v>
                </c:pt>
                <c:pt idx="64">
                  <c:v>797615.42530851322</c:v>
                </c:pt>
                <c:pt idx="65">
                  <c:v>925651.31583413843</c:v>
                </c:pt>
              </c:numCache>
            </c:numRef>
          </c:yVal>
          <c:smooth val="0"/>
          <c:extLst>
            <c:ext xmlns:c16="http://schemas.microsoft.com/office/drawing/2014/chart" uri="{C3380CC4-5D6E-409C-BE32-E72D297353CC}">
              <c16:uniqueId val="{00000001-AD6D-4116-86D8-170B590E2CD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var'!$BV$2</c:f>
              <c:strCache>
                <c:ptCount val="1"/>
                <c:pt idx="0">
                  <c:v>aquaculture.production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0555555555555"/>
                  <c:y val="-6.71252551764362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0-454D-4FEA-B96F-96C8AC704EE6}"/>
            </c:ext>
          </c:extLst>
        </c:ser>
        <c:dLbls>
          <c:showLegendKey val="0"/>
          <c:showVal val="0"/>
          <c:showCatName val="0"/>
          <c:showSerName val="0"/>
          <c:showPercent val="0"/>
          <c:showBubbleSize val="0"/>
        </c:dLbls>
        <c:axId val="2023222271"/>
        <c:axId val="2023233919"/>
      </c:scatterChart>
      <c:valAx>
        <c:axId val="20232222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33919"/>
        <c:crossesAt val="-1"/>
        <c:crossBetween val="midCat"/>
      </c:valAx>
      <c:valAx>
        <c:axId val="20232339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At val="-1"/>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SSLs and BC Aquaculture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44225721784778"/>
          <c:y val="0.17171296296296296"/>
          <c:w val="0.77202909011373566"/>
          <c:h val="0.6884488918051909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8DEA-4BDC-84E5-A68B2CCF9B8D}"/>
            </c:ext>
          </c:extLst>
        </c:ser>
        <c:ser>
          <c:idx val="1"/>
          <c:order val="1"/>
          <c:tx>
            <c:strRef>
              <c:f>'SR + catch data Murdoch_age var'!$BV$2</c:f>
              <c:strCache>
                <c:ptCount val="1"/>
                <c:pt idx="0">
                  <c:v>aquaculture.production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8DEA-4BDC-84E5-A68B2CCF9B8D}"/>
            </c:ext>
          </c:extLst>
        </c:ser>
        <c:dLbls>
          <c:showLegendKey val="0"/>
          <c:showVal val="0"/>
          <c:showCatName val="0"/>
          <c:showSerName val="0"/>
          <c:showPercent val="0"/>
          <c:showBubbleSize val="0"/>
        </c:dLbls>
        <c:axId val="38171407"/>
        <c:axId val="38163087"/>
      </c:scatterChart>
      <c:valAx>
        <c:axId val="381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3087"/>
        <c:crossesAt val="-1"/>
        <c:crossBetween val="midCat"/>
      </c:valAx>
      <c:valAx>
        <c:axId val="3816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SSLs or 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1407"/>
        <c:crosses val="autoZero"/>
        <c:crossBetween val="midCat"/>
      </c:valAx>
      <c:spPr>
        <a:noFill/>
        <a:ln>
          <a:noFill/>
        </a:ln>
        <a:effectLst/>
      </c:spPr>
    </c:plotArea>
    <c:legend>
      <c:legendPos val="r"/>
      <c:layout>
        <c:manualLayout>
          <c:xMode val="edge"/>
          <c:yMode val="edge"/>
          <c:x val="0.30069356955380577"/>
          <c:y val="0.25136446485855934"/>
          <c:w val="0.32430643044619423"/>
          <c:h val="0.25797035040628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FE28-4ECA-949F-C3ADC60084FD}"/>
            </c:ext>
          </c:extLst>
        </c:ser>
        <c:ser>
          <c:idx val="1"/>
          <c:order val="1"/>
          <c:tx>
            <c:strRef>
              <c:f>'SR + catch data Murdoch_age var'!$CO$2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375290.11420925206</c:v>
                </c:pt>
                <c:pt idx="12">
                  <c:v>597577.96356843982</c:v>
                </c:pt>
                <c:pt idx="13">
                  <c:v>688710.82946739777</c:v>
                </c:pt>
                <c:pt idx="14">
                  <c:v>409897.51263470727</c:v>
                </c:pt>
                <c:pt idx="15">
                  <c:v>877470.30618128169</c:v>
                </c:pt>
                <c:pt idx="16">
                  <c:v>528684.37479130179</c:v>
                </c:pt>
                <c:pt idx="17">
                  <c:v>1435164.4962522683</c:v>
                </c:pt>
                <c:pt idx="18">
                  <c:v>722444.12930311391</c:v>
                </c:pt>
                <c:pt idx="19">
                  <c:v>894511.65166737803</c:v>
                </c:pt>
                <c:pt idx="20">
                  <c:v>876533.58602234058</c:v>
                </c:pt>
                <c:pt idx="21">
                  <c:v>1249831.4072148199</c:v>
                </c:pt>
                <c:pt idx="22">
                  <c:v>880077.04498614115</c:v>
                </c:pt>
                <c:pt idx="23">
                  <c:v>1040012.0741296161</c:v>
                </c:pt>
                <c:pt idx="24">
                  <c:v>781688.13396926981</c:v>
                </c:pt>
                <c:pt idx="25">
                  <c:v>1058617.3550431777</c:v>
                </c:pt>
                <c:pt idx="26">
                  <c:v>1595345.2273684794</c:v>
                </c:pt>
                <c:pt idx="27">
                  <c:v>1059073.4859972654</c:v>
                </c:pt>
                <c:pt idx="28">
                  <c:v>704800.78795005241</c:v>
                </c:pt>
                <c:pt idx="29">
                  <c:v>789966.20559319551</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1564161.9742768079</c:v>
                </c:pt>
                <c:pt idx="42">
                  <c:v>1536947.9036582084</c:v>
                </c:pt>
                <c:pt idx="43">
                  <c:v>1897034.3462291346</c:v>
                </c:pt>
                <c:pt idx="44">
                  <c:v>1569599.6203628709</c:v>
                </c:pt>
                <c:pt idx="45">
                  <c:v>1532117.0223869774</c:v>
                </c:pt>
                <c:pt idx="46">
                  <c:v>1533144.635906117</c:v>
                </c:pt>
                <c:pt idx="47">
                  <c:v>2383261.2946447632</c:v>
                </c:pt>
                <c:pt idx="48">
                  <c:v>2549032.3935874631</c:v>
                </c:pt>
                <c:pt idx="49">
                  <c:v>1656975.7855916503</c:v>
                </c:pt>
                <c:pt idx="50">
                  <c:v>2188316.5241035349</c:v>
                </c:pt>
                <c:pt idx="51">
                  <c:v>1708497.7497893837</c:v>
                </c:pt>
                <c:pt idx="52">
                  <c:v>1632918.8765634715</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1043884.596815276</c:v>
                </c:pt>
                <c:pt idx="63">
                  <c:v>746002.30451873061</c:v>
                </c:pt>
                <c:pt idx="64">
                  <c:v>768886.35584255366</c:v>
                </c:pt>
                <c:pt idx="65">
                  <c:v>883726.86945157847</c:v>
                </c:pt>
              </c:numCache>
            </c:numRef>
          </c:yVal>
          <c:smooth val="0"/>
          <c:extLst>
            <c:ext xmlns:c16="http://schemas.microsoft.com/office/drawing/2014/chart" uri="{C3380CC4-5D6E-409C-BE32-E72D297353CC}">
              <c16:uniqueId val="{00000001-FE28-4ECA-949F-C3ADC60084FD}"/>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PDO, NPGO) model</a:t>
            </a:r>
            <a:r>
              <a:rPr lang="en-US" baseline="0"/>
              <a:t> 3c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var'!$CQ$2</c:f>
              <c:strCache>
                <c:ptCount val="1"/>
                <c:pt idx="0">
                  <c:v>alpha(y) SSL, adult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var'!$CQ$3:$CQ$68</c:f>
              <c:numCache>
                <c:formatCode>0.00</c:formatCode>
                <c:ptCount val="66"/>
                <c:pt idx="0">
                  <c:v>0.64822554839236957</c:v>
                </c:pt>
                <c:pt idx="1">
                  <c:v>0.96800832253111202</c:v>
                </c:pt>
                <c:pt idx="2">
                  <c:v>1.267083420875873</c:v>
                </c:pt>
                <c:pt idx="3">
                  <c:v>1.243560641850626</c:v>
                </c:pt>
                <c:pt idx="4">
                  <c:v>1.2619482440892908</c:v>
                </c:pt>
                <c:pt idx="5">
                  <c:v>1.0795137911386754</c:v>
                </c:pt>
                <c:pt idx="6">
                  <c:v>1.0428118836200408</c:v>
                </c:pt>
                <c:pt idx="7">
                  <c:v>1.1382257027662446</c:v>
                </c:pt>
                <c:pt idx="8">
                  <c:v>1.2719572153415144</c:v>
                </c:pt>
                <c:pt idx="9">
                  <c:v>1.2886065705087504</c:v>
                </c:pt>
                <c:pt idx="10">
                  <c:v>1.1695956933287945</c:v>
                </c:pt>
                <c:pt idx="11">
                  <c:v>1.123572026676279</c:v>
                </c:pt>
                <c:pt idx="12">
                  <c:v>1.2453545231330101</c:v>
                </c:pt>
                <c:pt idx="13">
                  <c:v>1.0950958773802915</c:v>
                </c:pt>
                <c:pt idx="14">
                  <c:v>1.2066184612048065</c:v>
                </c:pt>
                <c:pt idx="15">
                  <c:v>1.02624384125324</c:v>
                </c:pt>
                <c:pt idx="16">
                  <c:v>0.99185569240198623</c:v>
                </c:pt>
                <c:pt idx="17">
                  <c:v>1.0267372761978162</c:v>
                </c:pt>
                <c:pt idx="18">
                  <c:v>1.1232425165732693</c:v>
                </c:pt>
                <c:pt idx="19">
                  <c:v>1.1670246918890568</c:v>
                </c:pt>
                <c:pt idx="20">
                  <c:v>1.0699940423754122</c:v>
                </c:pt>
                <c:pt idx="21">
                  <c:v>1.2739389510463035</c:v>
                </c:pt>
                <c:pt idx="22">
                  <c:v>1.2205129311928691</c:v>
                </c:pt>
                <c:pt idx="23">
                  <c:v>1.2445350403674298</c:v>
                </c:pt>
                <c:pt idx="24">
                  <c:v>1.3860588427763134</c:v>
                </c:pt>
                <c:pt idx="25">
                  <c:v>1.4674908150063763</c:v>
                </c:pt>
                <c:pt idx="26">
                  <c:v>1.3472485104264007</c:v>
                </c:pt>
                <c:pt idx="27">
                  <c:v>1.2194449666133627</c:v>
                </c:pt>
                <c:pt idx="28">
                  <c:v>1.2072553836952844</c:v>
                </c:pt>
                <c:pt idx="29">
                  <c:v>1.2036589672861959</c:v>
                </c:pt>
                <c:pt idx="30">
                  <c:v>1.2630305105832804</c:v>
                </c:pt>
                <c:pt idx="31">
                  <c:v>1.3835989998146783</c:v>
                </c:pt>
                <c:pt idx="32">
                  <c:v>1.2487741307004516</c:v>
                </c:pt>
                <c:pt idx="33">
                  <c:v>1.1149367085481956</c:v>
                </c:pt>
                <c:pt idx="34">
                  <c:v>0.94979516530388985</c:v>
                </c:pt>
                <c:pt idx="35">
                  <c:v>1.0464155693855111</c:v>
                </c:pt>
                <c:pt idx="36">
                  <c:v>1.2527725461400829</c:v>
                </c:pt>
                <c:pt idx="37">
                  <c:v>1.2961066374803369</c:v>
                </c:pt>
                <c:pt idx="38">
                  <c:v>1.2299759451669949</c:v>
                </c:pt>
                <c:pt idx="39">
                  <c:v>1.0244637989529404</c:v>
                </c:pt>
                <c:pt idx="40">
                  <c:v>1.1941026291993955</c:v>
                </c:pt>
                <c:pt idx="41">
                  <c:v>0.9782354062592018</c:v>
                </c:pt>
                <c:pt idx="42">
                  <c:v>1.0265245881478897</c:v>
                </c:pt>
                <c:pt idx="43">
                  <c:v>0.8676799069426685</c:v>
                </c:pt>
                <c:pt idx="44">
                  <c:v>0.85568005748475573</c:v>
                </c:pt>
                <c:pt idx="45">
                  <c:v>0.89372311863165432</c:v>
                </c:pt>
                <c:pt idx="46">
                  <c:v>1.06697018569364</c:v>
                </c:pt>
                <c:pt idx="47">
                  <c:v>1.2937301471814726</c:v>
                </c:pt>
                <c:pt idx="48">
                  <c:v>1.176386565737733</c:v>
                </c:pt>
                <c:pt idx="49">
                  <c:v>1.2293159341414512</c:v>
                </c:pt>
                <c:pt idx="50">
                  <c:v>1.1135060496900553</c:v>
                </c:pt>
                <c:pt idx="51">
                  <c:v>1.018719332486659</c:v>
                </c:pt>
                <c:pt idx="52">
                  <c:v>0.81642407716994647</c:v>
                </c:pt>
                <c:pt idx="53">
                  <c:v>0.59861877121921125</c:v>
                </c:pt>
                <c:pt idx="54">
                  <c:v>0.71641103349375479</c:v>
                </c:pt>
                <c:pt idx="55">
                  <c:v>0.62274904786361052</c:v>
                </c:pt>
                <c:pt idx="56">
                  <c:v>0.67879248538607051</c:v>
                </c:pt>
                <c:pt idx="57">
                  <c:v>0.67355946112670551</c:v>
                </c:pt>
                <c:pt idx="58">
                  <c:v>0.84920080791631003</c:v>
                </c:pt>
                <c:pt idx="59">
                  <c:v>0.88084788113507262</c:v>
                </c:pt>
                <c:pt idx="60">
                  <c:v>0.79751095639065461</c:v>
                </c:pt>
                <c:pt idx="61">
                  <c:v>0.73423306407337618</c:v>
                </c:pt>
                <c:pt idx="62">
                  <c:v>0.45372538137000074</c:v>
                </c:pt>
                <c:pt idx="63">
                  <c:v>0.34547602266110133</c:v>
                </c:pt>
                <c:pt idx="64">
                  <c:v>0.39727830657113983</c:v>
                </c:pt>
                <c:pt idx="65">
                  <c:v>0.25113116312908879</c:v>
                </c:pt>
              </c:numCache>
            </c:numRef>
          </c:yVal>
          <c:smooth val="0"/>
          <c:extLst>
            <c:ext xmlns:c16="http://schemas.microsoft.com/office/drawing/2014/chart" uri="{C3380CC4-5D6E-409C-BE32-E72D297353CC}">
              <c16:uniqueId val="{00000000-3D28-4EB6-899D-AC68E242500E}"/>
            </c:ext>
          </c:extLst>
        </c:ser>
        <c:ser>
          <c:idx val="1"/>
          <c:order val="1"/>
          <c:tx>
            <c:strRef>
              <c:f>'SR + catch data Murdoch_age var'!$CR$2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var'!$CR$3:$CR$68</c:f>
              <c:numCache>
                <c:formatCode>0.00</c:formatCode>
                <c:ptCount val="66"/>
                <c:pt idx="0">
                  <c:v>1.1209941341114498</c:v>
                </c:pt>
                <c:pt idx="1">
                  <c:v>1.1209941341114498</c:v>
                </c:pt>
                <c:pt idx="2">
                  <c:v>1.1209941341114498</c:v>
                </c:pt>
                <c:pt idx="3">
                  <c:v>1.1209941341114498</c:v>
                </c:pt>
                <c:pt idx="4">
                  <c:v>1.1209941341114498</c:v>
                </c:pt>
                <c:pt idx="5">
                  <c:v>1.1209941341114498</c:v>
                </c:pt>
                <c:pt idx="6">
                  <c:v>1.1731311486050922</c:v>
                </c:pt>
                <c:pt idx="7">
                  <c:v>1.1886875190196089</c:v>
                </c:pt>
                <c:pt idx="8">
                  <c:v>1.1865146292453226</c:v>
                </c:pt>
                <c:pt idx="9">
                  <c:v>1.1716681527982888</c:v>
                </c:pt>
                <c:pt idx="10">
                  <c:v>1.1661351745098407</c:v>
                </c:pt>
                <c:pt idx="11">
                  <c:v>1.1608081795212972</c:v>
                </c:pt>
                <c:pt idx="12">
                  <c:v>1.1557125603994918</c:v>
                </c:pt>
                <c:pt idx="13">
                  <c:v>1.1445637177426489</c:v>
                </c:pt>
                <c:pt idx="14">
                  <c:v>1.1296922478658242</c:v>
                </c:pt>
                <c:pt idx="15">
                  <c:v>1.1175340600038548</c:v>
                </c:pt>
                <c:pt idx="16">
                  <c:v>1.1075738949085168</c:v>
                </c:pt>
                <c:pt idx="17">
                  <c:v>1.1226105873455192</c:v>
                </c:pt>
                <c:pt idx="18">
                  <c:v>1.1201264281515053</c:v>
                </c:pt>
                <c:pt idx="19">
                  <c:v>1.135070344450219</c:v>
                </c:pt>
                <c:pt idx="20">
                  <c:v>1.1530143826073695</c:v>
                </c:pt>
                <c:pt idx="21">
                  <c:v>1.1971390799826831</c:v>
                </c:pt>
                <c:pt idx="22">
                  <c:v>1.2326783617851247</c:v>
                </c:pt>
                <c:pt idx="23">
                  <c:v>1.2519491308266795</c:v>
                </c:pt>
                <c:pt idx="24">
                  <c:v>1.2603504175388807</c:v>
                </c:pt>
                <c:pt idx="25">
                  <c:v>1.2640138450785947</c:v>
                </c:pt>
                <c:pt idx="26">
                  <c:v>1.2833174918993815</c:v>
                </c:pt>
                <c:pt idx="27">
                  <c:v>1.2942834967762189</c:v>
                </c:pt>
                <c:pt idx="28">
                  <c:v>1.2971096167269773</c:v>
                </c:pt>
                <c:pt idx="29">
                  <c:v>1.2841497835450542</c:v>
                </c:pt>
                <c:pt idx="30">
                  <c:v>1.2405234157978116</c:v>
                </c:pt>
                <c:pt idx="31">
                  <c:v>1.198415891235725</c:v>
                </c:pt>
                <c:pt idx="32">
                  <c:v>1.1889682948070932</c:v>
                </c:pt>
                <c:pt idx="33">
                  <c:v>1.1966344618937907</c:v>
                </c:pt>
                <c:pt idx="34">
                  <c:v>1.1989065180409617</c:v>
                </c:pt>
                <c:pt idx="35">
                  <c:v>1.1809870012076362</c:v>
                </c:pt>
                <c:pt idx="36">
                  <c:v>1.1740942130692475</c:v>
                </c:pt>
                <c:pt idx="37">
                  <c:v>1.1335578537136999</c:v>
                </c:pt>
                <c:pt idx="38">
                  <c:v>1.1113328994584439</c:v>
                </c:pt>
                <c:pt idx="39">
                  <c:v>1.0866072192978913</c:v>
                </c:pt>
                <c:pt idx="40">
                  <c:v>1.0771957085159778</c:v>
                </c:pt>
                <c:pt idx="41">
                  <c:v>1.0619264634405923</c:v>
                </c:pt>
                <c:pt idx="42">
                  <c:v>1.0433462273959475</c:v>
                </c:pt>
                <c:pt idx="43">
                  <c:v>1.0431085783660614</c:v>
                </c:pt>
                <c:pt idx="44">
                  <c:v>1.0377496404231352</c:v>
                </c:pt>
                <c:pt idx="45">
                  <c:v>1.0582348539419864</c:v>
                </c:pt>
                <c:pt idx="46">
                  <c:v>1.0501751959910524</c:v>
                </c:pt>
                <c:pt idx="47">
                  <c:v>1.0542235886137981</c:v>
                </c:pt>
                <c:pt idx="48">
                  <c:v>1.0332135375160036</c:v>
                </c:pt>
                <c:pt idx="49">
                  <c:v>1.006307423943658</c:v>
                </c:pt>
                <c:pt idx="50">
                  <c:v>0.9923805215445578</c:v>
                </c:pt>
                <c:pt idx="51">
                  <c:v>0.9652831144677535</c:v>
                </c:pt>
                <c:pt idx="52">
                  <c:v>0.92646534443699635</c:v>
                </c:pt>
                <c:pt idx="53">
                  <c:v>0.86444827583151973</c:v>
                </c:pt>
                <c:pt idx="54">
                  <c:v>0.83172970004937741</c:v>
                </c:pt>
                <c:pt idx="55">
                  <c:v>0.79688289474873963</c:v>
                </c:pt>
                <c:pt idx="56">
                  <c:v>0.76528338541879948</c:v>
                </c:pt>
                <c:pt idx="57">
                  <c:v>0.73683475857747127</c:v>
                </c:pt>
                <c:pt idx="58">
                  <c:v>0.70056488899747671</c:v>
                </c:pt>
                <c:pt idx="59">
                  <c:v>0.67525061414166576</c:v>
                </c:pt>
                <c:pt idx="60">
                  <c:v>0.64333734144940424</c:v>
                </c:pt>
                <c:pt idx="61">
                  <c:v>0.60617555297595205</c:v>
                </c:pt>
                <c:pt idx="62">
                  <c:v>0.60617555297595205</c:v>
                </c:pt>
                <c:pt idx="63">
                  <c:v>0.60617555297595205</c:v>
                </c:pt>
                <c:pt idx="64">
                  <c:v>0.60617555297595205</c:v>
                </c:pt>
                <c:pt idx="65">
                  <c:v>0.60617555297595205</c:v>
                </c:pt>
              </c:numCache>
            </c:numRef>
          </c:yVal>
          <c:smooth val="0"/>
          <c:extLst>
            <c:ext xmlns:c16="http://schemas.microsoft.com/office/drawing/2014/chart" uri="{C3380CC4-5D6E-409C-BE32-E72D297353CC}">
              <c16:uniqueId val="{00000001-3D28-4EB6-899D-AC68E242500E}"/>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NPGO, PDO smolts, PDO adults) model 4b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75400465092529"/>
          <c:y val="0.17171290036712586"/>
          <c:w val="0.69438695456130806"/>
          <c:h val="0.62271630842945891"/>
        </c:manualLayout>
      </c:layout>
      <c:scatterChart>
        <c:scatterStyle val="lineMarker"/>
        <c:varyColors val="0"/>
        <c:ser>
          <c:idx val="0"/>
          <c:order val="0"/>
          <c:tx>
            <c:strRef>
              <c:f>'SR + catch data Murdoch_age var'!$CJ$2</c:f>
              <c:strCache>
                <c:ptCount val="1"/>
                <c:pt idx="0">
                  <c:v>alpha(y) (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var'!$CJ$3:$CJ$68</c:f>
              <c:numCache>
                <c:formatCode>0.00</c:formatCode>
                <c:ptCount val="66"/>
                <c:pt idx="0">
                  <c:v>0.98303796692088685</c:v>
                </c:pt>
                <c:pt idx="1">
                  <c:v>1.1560895099852719</c:v>
                </c:pt>
                <c:pt idx="2">
                  <c:v>1.2463510786220224</c:v>
                </c:pt>
                <c:pt idx="3">
                  <c:v>1.1380619417031206</c:v>
                </c:pt>
                <c:pt idx="4">
                  <c:v>1.4466748911401246</c:v>
                </c:pt>
                <c:pt idx="5">
                  <c:v>1.1858579955335622</c:v>
                </c:pt>
                <c:pt idx="6">
                  <c:v>1.0333435055404276</c:v>
                </c:pt>
                <c:pt idx="7">
                  <c:v>1.0688554502511265</c:v>
                </c:pt>
                <c:pt idx="8">
                  <c:v>1.1780447521326678</c:v>
                </c:pt>
                <c:pt idx="9">
                  <c:v>1.3042727014622257</c:v>
                </c:pt>
                <c:pt idx="10">
                  <c:v>1.3396664730519101</c:v>
                </c:pt>
                <c:pt idx="11">
                  <c:v>1.1756776387683625</c:v>
                </c:pt>
                <c:pt idx="12">
                  <c:v>1.2667038738348004</c:v>
                </c:pt>
                <c:pt idx="13">
                  <c:v>1.1846260954950474</c:v>
                </c:pt>
                <c:pt idx="14">
                  <c:v>1.1362054921055926</c:v>
                </c:pt>
                <c:pt idx="15">
                  <c:v>1.1846629514661258</c:v>
                </c:pt>
                <c:pt idx="16">
                  <c:v>1.1799326466236013</c:v>
                </c:pt>
                <c:pt idx="17">
                  <c:v>1.1493754416350452</c:v>
                </c:pt>
                <c:pt idx="18">
                  <c:v>1.0753385758039995</c:v>
                </c:pt>
                <c:pt idx="19">
                  <c:v>1.3521729962255247</c:v>
                </c:pt>
                <c:pt idx="20">
                  <c:v>1.3487727552027031</c:v>
                </c:pt>
                <c:pt idx="21">
                  <c:v>1.1781091760372877</c:v>
                </c:pt>
                <c:pt idx="22">
                  <c:v>1.2798300594838248</c:v>
                </c:pt>
                <c:pt idx="23">
                  <c:v>1.2837064295132423</c:v>
                </c:pt>
                <c:pt idx="24">
                  <c:v>1.4807593449910221</c:v>
                </c:pt>
                <c:pt idx="25">
                  <c:v>1.1986157990208277</c:v>
                </c:pt>
                <c:pt idx="26">
                  <c:v>1.2717884748075854</c:v>
                </c:pt>
                <c:pt idx="27">
                  <c:v>1.1747979020441641</c:v>
                </c:pt>
                <c:pt idx="28">
                  <c:v>0.97609039383670027</c:v>
                </c:pt>
                <c:pt idx="29">
                  <c:v>0.98763698572154945</c:v>
                </c:pt>
                <c:pt idx="30">
                  <c:v>1.1148830185806715</c:v>
                </c:pt>
                <c:pt idx="31">
                  <c:v>1.1669575543625652</c:v>
                </c:pt>
                <c:pt idx="32">
                  <c:v>0.99373718090740037</c:v>
                </c:pt>
                <c:pt idx="33">
                  <c:v>1.1220457127405594</c:v>
                </c:pt>
                <c:pt idx="34">
                  <c:v>0.9095106665597823</c:v>
                </c:pt>
                <c:pt idx="35">
                  <c:v>1.0053462546324972</c:v>
                </c:pt>
                <c:pt idx="36">
                  <c:v>1.1811041659303481</c:v>
                </c:pt>
                <c:pt idx="37">
                  <c:v>1.3584056401225142</c:v>
                </c:pt>
                <c:pt idx="38">
                  <c:v>1.2831838314466883</c:v>
                </c:pt>
                <c:pt idx="39">
                  <c:v>1.282911673313327</c:v>
                </c:pt>
                <c:pt idx="40">
                  <c:v>1.1361550626665291</c:v>
                </c:pt>
                <c:pt idx="41">
                  <c:v>0.86081092007864046</c:v>
                </c:pt>
                <c:pt idx="42">
                  <c:v>0.80466824088830669</c:v>
                </c:pt>
                <c:pt idx="43">
                  <c:v>1.0700186068480706</c:v>
                </c:pt>
                <c:pt idx="44">
                  <c:v>0.92956537571519404</c:v>
                </c:pt>
                <c:pt idx="45">
                  <c:v>0.89743123538130365</c:v>
                </c:pt>
                <c:pt idx="46">
                  <c:v>0.99147038256795272</c:v>
                </c:pt>
                <c:pt idx="47">
                  <c:v>1.2855003733225858</c:v>
                </c:pt>
                <c:pt idx="48">
                  <c:v>1.3835220396073002</c:v>
                </c:pt>
                <c:pt idx="49">
                  <c:v>1.262585545549064</c:v>
                </c:pt>
                <c:pt idx="50">
                  <c:v>1.2722166671099975</c:v>
                </c:pt>
                <c:pt idx="51">
                  <c:v>0.92064360726407446</c:v>
                </c:pt>
                <c:pt idx="52">
                  <c:v>0.97965547789958574</c:v>
                </c:pt>
                <c:pt idx="53">
                  <c:v>0.76143332546825737</c:v>
                </c:pt>
                <c:pt idx="54">
                  <c:v>0.76505792503254066</c:v>
                </c:pt>
                <c:pt idx="55">
                  <c:v>0.81841799300581641</c:v>
                </c:pt>
                <c:pt idx="56">
                  <c:v>0.97503800085010772</c:v>
                </c:pt>
                <c:pt idx="57">
                  <c:v>0.95379664109318218</c:v>
                </c:pt>
                <c:pt idx="58">
                  <c:v>0.85166693394271653</c:v>
                </c:pt>
                <c:pt idx="59">
                  <c:v>0.83254633748313434</c:v>
                </c:pt>
                <c:pt idx="60">
                  <c:v>0.83878870380473158</c:v>
                </c:pt>
                <c:pt idx="61">
                  <c:v>0.77657199957947998</c:v>
                </c:pt>
                <c:pt idx="62">
                  <c:v>0.43191935714785878</c:v>
                </c:pt>
                <c:pt idx="63">
                  <c:v>0.12392393251183198</c:v>
                </c:pt>
                <c:pt idx="64">
                  <c:v>0.34878771871014513</c:v>
                </c:pt>
                <c:pt idx="65">
                  <c:v>0.27654137345157226</c:v>
                </c:pt>
              </c:numCache>
            </c:numRef>
          </c:yVal>
          <c:smooth val="0"/>
          <c:extLst>
            <c:ext xmlns:c16="http://schemas.microsoft.com/office/drawing/2014/chart" uri="{C3380CC4-5D6E-409C-BE32-E72D297353CC}">
              <c16:uniqueId val="{00000000-1CBE-4247-A85D-C187260B9DC8}"/>
            </c:ext>
          </c:extLst>
        </c:ser>
        <c:ser>
          <c:idx val="1"/>
          <c:order val="1"/>
          <c:tx>
            <c:strRef>
              <c:f>'SR + catch data Murdoch_age var'!$CK$2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var'!$CK$3:$CK$68</c:f>
              <c:numCache>
                <c:formatCode>0.00</c:formatCode>
                <c:ptCount val="66"/>
                <c:pt idx="0">
                  <c:v>1.1740589793291436</c:v>
                </c:pt>
                <c:pt idx="1">
                  <c:v>1.1740589793291436</c:v>
                </c:pt>
                <c:pt idx="2">
                  <c:v>1.1740589793291436</c:v>
                </c:pt>
                <c:pt idx="3">
                  <c:v>1.1740589793291436</c:v>
                </c:pt>
                <c:pt idx="4">
                  <c:v>1.1740589793291436</c:v>
                </c:pt>
                <c:pt idx="5">
                  <c:v>1.1740589793291436</c:v>
                </c:pt>
                <c:pt idx="6">
                  <c:v>1.2097218299422459</c:v>
                </c:pt>
                <c:pt idx="7">
                  <c:v>1.2116806428205549</c:v>
                </c:pt>
                <c:pt idx="8">
                  <c:v>1.2137159223418328</c:v>
                </c:pt>
                <c:pt idx="9">
                  <c:v>1.2183723377210254</c:v>
                </c:pt>
                <c:pt idx="10">
                  <c:v>1.1873253978175724</c:v>
                </c:pt>
                <c:pt idx="11">
                  <c:v>1.1872058934108285</c:v>
                </c:pt>
                <c:pt idx="12">
                  <c:v>1.201864807519146</c:v>
                </c:pt>
                <c:pt idx="13">
                  <c:v>1.2099168066575379</c:v>
                </c:pt>
                <c:pt idx="14">
                  <c:v>1.199646189024671</c:v>
                </c:pt>
                <c:pt idx="15">
                  <c:v>1.2044362185010011</c:v>
                </c:pt>
                <c:pt idx="16">
                  <c:v>1.2053468467160804</c:v>
                </c:pt>
                <c:pt idx="17">
                  <c:v>1.2055900004429727</c:v>
                </c:pt>
                <c:pt idx="18">
                  <c:v>1.2069026190078751</c:v>
                </c:pt>
                <c:pt idx="19">
                  <c:v>1.2168106524096944</c:v>
                </c:pt>
                <c:pt idx="20">
                  <c:v>1.2512660376982374</c:v>
                </c:pt>
                <c:pt idx="21">
                  <c:v>1.252661322453708</c:v>
                </c:pt>
                <c:pt idx="22">
                  <c:v>1.2618469052721064</c:v>
                </c:pt>
                <c:pt idx="23">
                  <c:v>1.2643891513130181</c:v>
                </c:pt>
                <c:pt idx="24">
                  <c:v>1.2544643331162884</c:v>
                </c:pt>
                <c:pt idx="25">
                  <c:v>1.2180107320658906</c:v>
                </c:pt>
                <c:pt idx="26">
                  <c:v>1.1946217584036876</c:v>
                </c:pt>
                <c:pt idx="27">
                  <c:v>1.1935065962362152</c:v>
                </c:pt>
                <c:pt idx="28">
                  <c:v>1.1648973083785727</c:v>
                </c:pt>
                <c:pt idx="29">
                  <c:v>1.1487312367013047</c:v>
                </c:pt>
                <c:pt idx="30">
                  <c:v>1.0916063688581805</c:v>
                </c:pt>
                <c:pt idx="31">
                  <c:v>1.0722794144193477</c:v>
                </c:pt>
                <c:pt idx="32">
                  <c:v>1.0632109835316239</c:v>
                </c:pt>
                <c:pt idx="33">
                  <c:v>1.081571757339459</c:v>
                </c:pt>
                <c:pt idx="34">
                  <c:v>1.1122811011004576</c:v>
                </c:pt>
                <c:pt idx="35">
                  <c:v>1.1418085698596356</c:v>
                </c:pt>
                <c:pt idx="36">
                  <c:v>1.1439357742682212</c:v>
                </c:pt>
                <c:pt idx="37">
                  <c:v>1.1133211108398284</c:v>
                </c:pt>
                <c:pt idx="38">
                  <c:v>1.0944142168379192</c:v>
                </c:pt>
                <c:pt idx="39">
                  <c:v>1.0892115062486702</c:v>
                </c:pt>
                <c:pt idx="40">
                  <c:v>1.0912169771642115</c:v>
                </c:pt>
                <c:pt idx="41">
                  <c:v>1.0804254752390923</c:v>
                </c:pt>
                <c:pt idx="42">
                  <c:v>1.0614620969028525</c:v>
                </c:pt>
                <c:pt idx="43">
                  <c:v>1.0541715702228598</c:v>
                </c:pt>
                <c:pt idx="44">
                  <c:v>1.0642053910389211</c:v>
                </c:pt>
                <c:pt idx="45">
                  <c:v>1.0621727782624948</c:v>
                </c:pt>
                <c:pt idx="46">
                  <c:v>1.0757789387068415</c:v>
                </c:pt>
                <c:pt idx="47">
                  <c:v>1.081762207425385</c:v>
                </c:pt>
                <c:pt idx="48">
                  <c:v>1.0992609311265127</c:v>
                </c:pt>
                <c:pt idx="49">
                  <c:v>1.0684024029885315</c:v>
                </c:pt>
                <c:pt idx="50">
                  <c:v>1.0519516579202661</c:v>
                </c:pt>
                <c:pt idx="51">
                  <c:v>1.0440503336827174</c:v>
                </c:pt>
                <c:pt idx="52">
                  <c:v>1.0424070955109328</c:v>
                </c:pt>
                <c:pt idx="53">
                  <c:v>1.0092367222879925</c:v>
                </c:pt>
                <c:pt idx="54">
                  <c:v>0.95605121172153429</c:v>
                </c:pt>
                <c:pt idx="55">
                  <c:v>0.9130472909149413</c:v>
                </c:pt>
                <c:pt idx="56">
                  <c:v>0.86970449458441479</c:v>
                </c:pt>
                <c:pt idx="57">
                  <c:v>0.8552973338159553</c:v>
                </c:pt>
                <c:pt idx="58">
                  <c:v>0.80052372174078257</c:v>
                </c:pt>
                <c:pt idx="59">
                  <c:v>0.73677278244514011</c:v>
                </c:pt>
                <c:pt idx="60">
                  <c:v>0.69514576181290055</c:v>
                </c:pt>
                <c:pt idx="61">
                  <c:v>0.64095809985747609</c:v>
                </c:pt>
                <c:pt idx="62">
                  <c:v>0.64095809985747609</c:v>
                </c:pt>
                <c:pt idx="63">
                  <c:v>0.64095809985747609</c:v>
                </c:pt>
                <c:pt idx="64">
                  <c:v>0.64095809985747609</c:v>
                </c:pt>
                <c:pt idx="65">
                  <c:v>0.64095809985747609</c:v>
                </c:pt>
              </c:numCache>
            </c:numRef>
          </c:yVal>
          <c:smooth val="0"/>
          <c:extLst>
            <c:ext xmlns:c16="http://schemas.microsoft.com/office/drawing/2014/chart" uri="{C3380CC4-5D6E-409C-BE32-E72D297353CC}">
              <c16:uniqueId val="{00000001-1CBE-4247-A85D-C187260B9DC8}"/>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var'!$DE$31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397178477690291"/>
                  <c:y val="-0.193670530766987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857E-453A-9526-23FAD215B323}"/>
            </c:ext>
          </c:extLst>
        </c:ser>
        <c:dLbls>
          <c:showLegendKey val="0"/>
          <c:showVal val="0"/>
          <c:showCatName val="0"/>
          <c:showSerName val="0"/>
          <c:showPercent val="0"/>
          <c:showBubbleSize val="0"/>
        </c:dLbls>
        <c:axId val="38216335"/>
        <c:axId val="38232975"/>
      </c:scatterChart>
      <c:valAx>
        <c:axId val="382163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75"/>
        <c:crosses val="autoZero"/>
        <c:crossBetween val="midCat"/>
      </c:valAx>
      <c:valAx>
        <c:axId val="382329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3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var'!$EN$31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641754155730534"/>
                  <c:y val="-0.202973899095946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var'!$EM$32:$EM$97</c:f>
              <c:numCache>
                <c:formatCode>0.00</c:formatCode>
                <c:ptCount val="66"/>
                <c:pt idx="0">
                  <c:v>0.53382909631903785</c:v>
                </c:pt>
                <c:pt idx="1">
                  <c:v>-1.0883031133902876</c:v>
                </c:pt>
                <c:pt idx="2">
                  <c:v>-0.56973637565327639</c:v>
                </c:pt>
                <c:pt idx="3">
                  <c:v>1.5744987385491451</c:v>
                </c:pt>
                <c:pt idx="4">
                  <c:v>1.33782242054053</c:v>
                </c:pt>
                <c:pt idx="5">
                  <c:v>3.4112436693284383</c:v>
                </c:pt>
                <c:pt idx="6">
                  <c:v>8.801511718548613E-2</c:v>
                </c:pt>
                <c:pt idx="7">
                  <c:v>-0.14778549155306339</c:v>
                </c:pt>
                <c:pt idx="8">
                  <c:v>-1.05957049083235</c:v>
                </c:pt>
                <c:pt idx="9">
                  <c:v>-0.96131877240637553</c:v>
                </c:pt>
                <c:pt idx="10">
                  <c:v>-0.86596437067778598</c:v>
                </c:pt>
                <c:pt idx="11">
                  <c:v>-5.6852269611535541E-2</c:v>
                </c:pt>
                <c:pt idx="12">
                  <c:v>-0.86269070408206172</c:v>
                </c:pt>
                <c:pt idx="13">
                  <c:v>0.83306425998520217</c:v>
                </c:pt>
                <c:pt idx="14">
                  <c:v>1.3100672951746279</c:v>
                </c:pt>
                <c:pt idx="15">
                  <c:v>-0.71058108797687103</c:v>
                </c:pt>
                <c:pt idx="16">
                  <c:v>-0.19050560588855628</c:v>
                </c:pt>
                <c:pt idx="17">
                  <c:v>-0.24325156108992729</c:v>
                </c:pt>
                <c:pt idx="18">
                  <c:v>1.0301339469702169</c:v>
                </c:pt>
                <c:pt idx="19">
                  <c:v>-0.16786130067700106</c:v>
                </c:pt>
                <c:pt idx="20">
                  <c:v>-0.67060481390517035</c:v>
                </c:pt>
                <c:pt idx="21">
                  <c:v>-0.32100063925475891</c:v>
                </c:pt>
                <c:pt idx="22">
                  <c:v>0.1979928022574495</c:v>
                </c:pt>
                <c:pt idx="23">
                  <c:v>-8.1880187246320874E-2</c:v>
                </c:pt>
                <c:pt idx="24">
                  <c:v>-0.80323448536743391</c:v>
                </c:pt>
                <c:pt idx="25">
                  <c:v>-0.85599708434842314</c:v>
                </c:pt>
                <c:pt idx="26">
                  <c:v>-2.4326979811143956</c:v>
                </c:pt>
                <c:pt idx="27">
                  <c:v>-0.73046371786949771</c:v>
                </c:pt>
                <c:pt idx="28">
                  <c:v>-0.49907983095118535</c:v>
                </c:pt>
                <c:pt idx="29">
                  <c:v>-0.18584560276531975</c:v>
                </c:pt>
                <c:pt idx="30">
                  <c:v>0.95383387981069778</c:v>
                </c:pt>
                <c:pt idx="31">
                  <c:v>1.0291908498708564</c:v>
                </c:pt>
                <c:pt idx="32">
                  <c:v>-0.85657298603829202</c:v>
                </c:pt>
                <c:pt idx="33">
                  <c:v>-0.66355071642862995</c:v>
                </c:pt>
                <c:pt idx="34">
                  <c:v>-1.2307143415825148</c:v>
                </c:pt>
                <c:pt idx="35">
                  <c:v>-0.65546374782672501</c:v>
                </c:pt>
                <c:pt idx="36">
                  <c:v>0.75237428682119056</c:v>
                </c:pt>
                <c:pt idx="37" formatCode="General">
                  <c:v>0.13638358058117728</c:v>
                </c:pt>
                <c:pt idx="38" formatCode="General">
                  <c:v>-0.14213239183953327</c:v>
                </c:pt>
                <c:pt idx="39" formatCode="General">
                  <c:v>0.57468005529723798</c:v>
                </c:pt>
                <c:pt idx="40" formatCode="General">
                  <c:v>-0.18449164971004808</c:v>
                </c:pt>
                <c:pt idx="41" formatCode="General">
                  <c:v>-0.36261665628020556</c:v>
                </c:pt>
                <c:pt idx="42" formatCode="General">
                  <c:v>9.8711978677720174E-3</c:v>
                </c:pt>
                <c:pt idx="43" formatCode="General">
                  <c:v>1.5431912021684318</c:v>
                </c:pt>
                <c:pt idx="44" formatCode="General">
                  <c:v>0.99403149903719135</c:v>
                </c:pt>
                <c:pt idx="45" formatCode="General">
                  <c:v>-0.3419644664836895</c:v>
                </c:pt>
                <c:pt idx="46" formatCode="General">
                  <c:v>1.0892941685484274</c:v>
                </c:pt>
                <c:pt idx="47" formatCode="General">
                  <c:v>0.64261595100125679</c:v>
                </c:pt>
                <c:pt idx="48" formatCode="General">
                  <c:v>0.82044816453929803</c:v>
                </c:pt>
                <c:pt idx="49" formatCode="General">
                  <c:v>0.57295025058168003</c:v>
                </c:pt>
                <c:pt idx="50" formatCode="General">
                  <c:v>-0.22433463005099818</c:v>
                </c:pt>
                <c:pt idx="51" formatCode="General">
                  <c:v>0.69607665507954963</c:v>
                </c:pt>
                <c:pt idx="52" formatCode="General">
                  <c:v>-0.62185397053919056</c:v>
                </c:pt>
                <c:pt idx="53" formatCode="General">
                  <c:v>-0.1410666461082915</c:v>
                </c:pt>
                <c:pt idx="54" formatCode="General">
                  <c:v>-1.2065681722218167</c:v>
                </c:pt>
                <c:pt idx="55" formatCode="General">
                  <c:v>-1.9321948961458808</c:v>
                </c:pt>
                <c:pt idx="56" formatCode="General">
                  <c:v>0.69919180431708905</c:v>
                </c:pt>
                <c:pt idx="57" formatCode="General">
                  <c:v>0.20098178780940987</c:v>
                </c:pt>
                <c:pt idx="58" formatCode="General">
                  <c:v>1.3646329889161073</c:v>
                </c:pt>
                <c:pt idx="59" formatCode="General">
                  <c:v>1.2319928176518935</c:v>
                </c:pt>
                <c:pt idx="60" formatCode="General">
                  <c:v>-0.20972135303183992</c:v>
                </c:pt>
                <c:pt idx="61" formatCode="General">
                  <c:v>1.8693827503816252</c:v>
                </c:pt>
                <c:pt idx="62" formatCode="General">
                  <c:v>-0.3881583148032598</c:v>
                </c:pt>
                <c:pt idx="63" formatCode="General">
                  <c:v>5.164924492371082E-2</c:v>
                </c:pt>
                <c:pt idx="64" formatCode="General">
                  <c:v>-2.0547646577437289</c:v>
                </c:pt>
                <c:pt idx="65" formatCode="General">
                  <c:v>-0.82804539801850174</c:v>
                </c:pt>
              </c:numCache>
            </c:numRef>
          </c:xVal>
          <c:yVal>
            <c:numRef>
              <c:f>'SR + catch data Murdoch_age var'!$EN$32:$EN$97</c:f>
              <c:numCache>
                <c:formatCode>0.00</c:formatCode>
                <c:ptCount val="66"/>
                <c:pt idx="0">
                  <c:v>-1.0883031133902876</c:v>
                </c:pt>
                <c:pt idx="1">
                  <c:v>-0.56973637565327639</c:v>
                </c:pt>
                <c:pt idx="2">
                  <c:v>1.5744987385491451</c:v>
                </c:pt>
                <c:pt idx="3">
                  <c:v>1.33782242054053</c:v>
                </c:pt>
                <c:pt idx="4">
                  <c:v>3.4112436693284383</c:v>
                </c:pt>
                <c:pt idx="5">
                  <c:v>8.801511718548613E-2</c:v>
                </c:pt>
                <c:pt idx="6">
                  <c:v>-0.14778549155306339</c:v>
                </c:pt>
                <c:pt idx="7">
                  <c:v>-1.05957049083235</c:v>
                </c:pt>
                <c:pt idx="8">
                  <c:v>-0.96131877240637553</c:v>
                </c:pt>
                <c:pt idx="9">
                  <c:v>-0.86596437067778598</c:v>
                </c:pt>
                <c:pt idx="10">
                  <c:v>-5.6852269611535541E-2</c:v>
                </c:pt>
                <c:pt idx="11">
                  <c:v>-0.86269070408206172</c:v>
                </c:pt>
                <c:pt idx="12">
                  <c:v>0.83306425998520217</c:v>
                </c:pt>
                <c:pt idx="13">
                  <c:v>1.3100672951746279</c:v>
                </c:pt>
                <c:pt idx="14">
                  <c:v>-0.71058108797687103</c:v>
                </c:pt>
                <c:pt idx="15">
                  <c:v>-0.19050560588855628</c:v>
                </c:pt>
                <c:pt idx="16">
                  <c:v>-0.24325156108992729</c:v>
                </c:pt>
                <c:pt idx="17">
                  <c:v>1.0301339469702169</c:v>
                </c:pt>
                <c:pt idx="18">
                  <c:v>-0.16786130067700106</c:v>
                </c:pt>
                <c:pt idx="19">
                  <c:v>-0.67060481390517035</c:v>
                </c:pt>
                <c:pt idx="20">
                  <c:v>-0.32100063925475891</c:v>
                </c:pt>
                <c:pt idx="21">
                  <c:v>0.1979928022574495</c:v>
                </c:pt>
                <c:pt idx="22">
                  <c:v>-8.1880187246320874E-2</c:v>
                </c:pt>
                <c:pt idx="23">
                  <c:v>-0.80323448536743391</c:v>
                </c:pt>
                <c:pt idx="24">
                  <c:v>-0.85599708434842314</c:v>
                </c:pt>
                <c:pt idx="25">
                  <c:v>-2.4326979811143956</c:v>
                </c:pt>
                <c:pt idx="26">
                  <c:v>-0.73046371786949771</c:v>
                </c:pt>
                <c:pt idx="27">
                  <c:v>-0.49907983095118535</c:v>
                </c:pt>
                <c:pt idx="28">
                  <c:v>-0.18584560276531975</c:v>
                </c:pt>
                <c:pt idx="29">
                  <c:v>0.95383387981069778</c:v>
                </c:pt>
                <c:pt idx="30">
                  <c:v>1.0291908498708564</c:v>
                </c:pt>
                <c:pt idx="31">
                  <c:v>-0.85657298603829202</c:v>
                </c:pt>
                <c:pt idx="32">
                  <c:v>-0.66355071642862995</c:v>
                </c:pt>
                <c:pt idx="33">
                  <c:v>-1.2307143415825148</c:v>
                </c:pt>
                <c:pt idx="34">
                  <c:v>-0.65546374782672501</c:v>
                </c:pt>
                <c:pt idx="35">
                  <c:v>0.75237428682119056</c:v>
                </c:pt>
                <c:pt idx="36">
                  <c:v>0.13638358058117728</c:v>
                </c:pt>
                <c:pt idx="37" formatCode="General">
                  <c:v>-0.14213239183953327</c:v>
                </c:pt>
                <c:pt idx="38" formatCode="General">
                  <c:v>0.57468005529723798</c:v>
                </c:pt>
                <c:pt idx="39" formatCode="General">
                  <c:v>-0.18449164971004808</c:v>
                </c:pt>
                <c:pt idx="40" formatCode="General">
                  <c:v>-0.36261665628020556</c:v>
                </c:pt>
                <c:pt idx="41" formatCode="General">
                  <c:v>9.8711978677720174E-3</c:v>
                </c:pt>
                <c:pt idx="42" formatCode="General">
                  <c:v>1.5431912021684318</c:v>
                </c:pt>
                <c:pt idx="43" formatCode="General">
                  <c:v>0.99403149903719135</c:v>
                </c:pt>
                <c:pt idx="44" formatCode="General">
                  <c:v>-0.3419644664836895</c:v>
                </c:pt>
                <c:pt idx="45" formatCode="General">
                  <c:v>1.0892941685484274</c:v>
                </c:pt>
                <c:pt idx="46" formatCode="General">
                  <c:v>0.64261595100125679</c:v>
                </c:pt>
                <c:pt idx="47" formatCode="General">
                  <c:v>0.82044816453929803</c:v>
                </c:pt>
                <c:pt idx="48" formatCode="General">
                  <c:v>0.57295025058168003</c:v>
                </c:pt>
                <c:pt idx="49" formatCode="General">
                  <c:v>-0.22433463005099818</c:v>
                </c:pt>
                <c:pt idx="50" formatCode="General">
                  <c:v>0.69607665507954963</c:v>
                </c:pt>
                <c:pt idx="51" formatCode="General">
                  <c:v>-0.62185397053919056</c:v>
                </c:pt>
                <c:pt idx="52" formatCode="General">
                  <c:v>-0.1410666461082915</c:v>
                </c:pt>
                <c:pt idx="53" formatCode="General">
                  <c:v>-1.2065681722218167</c:v>
                </c:pt>
                <c:pt idx="54" formatCode="General">
                  <c:v>-1.9321948961458808</c:v>
                </c:pt>
                <c:pt idx="55" formatCode="General">
                  <c:v>0.69919180431708905</c:v>
                </c:pt>
                <c:pt idx="56" formatCode="General">
                  <c:v>0.20098178780940987</c:v>
                </c:pt>
                <c:pt idx="57" formatCode="General">
                  <c:v>1.3646329889161073</c:v>
                </c:pt>
                <c:pt idx="58" formatCode="General">
                  <c:v>1.2319928176518935</c:v>
                </c:pt>
                <c:pt idx="59" formatCode="General">
                  <c:v>-0.20972135303183992</c:v>
                </c:pt>
                <c:pt idx="60" formatCode="General">
                  <c:v>1.8693827503816252</c:v>
                </c:pt>
                <c:pt idx="61" formatCode="General">
                  <c:v>-0.3881583148032598</c:v>
                </c:pt>
                <c:pt idx="62" formatCode="General">
                  <c:v>5.164924492371082E-2</c:v>
                </c:pt>
                <c:pt idx="63" formatCode="General">
                  <c:v>-2.0547646577437289</c:v>
                </c:pt>
                <c:pt idx="64" formatCode="General">
                  <c:v>-0.82804539801850174</c:v>
                </c:pt>
                <c:pt idx="65" formatCode="General">
                  <c:v>-1.3006837636027255</c:v>
                </c:pt>
              </c:numCache>
            </c:numRef>
          </c:yVal>
          <c:smooth val="0"/>
          <c:extLst>
            <c:ext xmlns:c16="http://schemas.microsoft.com/office/drawing/2014/chart" uri="{C3380CC4-5D6E-409C-BE32-E72D297353CC}">
              <c16:uniqueId val="{00000000-C591-4856-A897-3D7741EEAB32}"/>
            </c:ext>
          </c:extLst>
        </c:ser>
        <c:dLbls>
          <c:showLegendKey val="0"/>
          <c:showVal val="0"/>
          <c:showCatName val="0"/>
          <c:showSerName val="0"/>
          <c:showPercent val="0"/>
          <c:showBubbleSize val="0"/>
        </c:dLbls>
        <c:axId val="38137295"/>
        <c:axId val="38138127"/>
      </c:scatterChart>
      <c:valAx>
        <c:axId val="381372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8127"/>
        <c:crosses val="autoZero"/>
        <c:crossBetween val="midCat"/>
      </c:valAx>
      <c:valAx>
        <c:axId val="38138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7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var'!$EY$31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310367454068241"/>
                  <c:y val="-0.23421114027413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var'!$EX$32:$EX$96</c:f>
              <c:numCache>
                <c:formatCode>0.00</c:formatCode>
                <c:ptCount val="65"/>
                <c:pt idx="0">
                  <c:v>0.16225636146064756</c:v>
                </c:pt>
                <c:pt idx="1">
                  <c:v>-1.2028240712518741</c:v>
                </c:pt>
                <c:pt idx="2">
                  <c:v>-0.62831406092838915</c:v>
                </c:pt>
                <c:pt idx="3">
                  <c:v>1.4786066330219467</c:v>
                </c:pt>
                <c:pt idx="4">
                  <c:v>1.1245171494386925</c:v>
                </c:pt>
                <c:pt idx="5">
                  <c:v>3.2797615499945452</c:v>
                </c:pt>
                <c:pt idx="6">
                  <c:v>0.31733687520019721</c:v>
                </c:pt>
                <c:pt idx="7">
                  <c:v>-5.6735525988337164E-2</c:v>
                </c:pt>
                <c:pt idx="8">
                  <c:v>-0.94527841952918923</c:v>
                </c:pt>
                <c:pt idx="9">
                  <c:v>-0.79693462306040408</c:v>
                </c:pt>
                <c:pt idx="10">
                  <c:v>-0.91198988430957539</c:v>
                </c:pt>
                <c:pt idx="11">
                  <c:v>5.161925667352011E-2</c:v>
                </c:pt>
                <c:pt idx="12">
                  <c:v>-0.80275695065613462</c:v>
                </c:pt>
                <c:pt idx="13">
                  <c:v>0.80420199475503074</c:v>
                </c:pt>
                <c:pt idx="14">
                  <c:v>1.2185056279091446</c:v>
                </c:pt>
                <c:pt idx="15">
                  <c:v>-0.78441808569402116</c:v>
                </c:pt>
                <c:pt idx="16">
                  <c:v>-0.25336457823950148</c:v>
                </c:pt>
                <c:pt idx="17">
                  <c:v>-0.37428458741105258</c:v>
                </c:pt>
                <c:pt idx="18">
                  <c:v>0.90584507085085952</c:v>
                </c:pt>
                <c:pt idx="19">
                  <c:v>-0.3593181339201153</c:v>
                </c:pt>
                <c:pt idx="20">
                  <c:v>-0.96662074959812894</c:v>
                </c:pt>
                <c:pt idx="21">
                  <c:v>-0.57985666958513571</c:v>
                </c:pt>
                <c:pt idx="22">
                  <c:v>4.087473720721109E-2</c:v>
                </c:pt>
                <c:pt idx="23">
                  <c:v>-0.27239269778767172</c:v>
                </c:pt>
                <c:pt idx="24">
                  <c:v>-0.88986205052688228</c:v>
                </c:pt>
                <c:pt idx="25">
                  <c:v>-0.86804525159067447</c:v>
                </c:pt>
                <c:pt idx="26">
                  <c:v>-2.2671709087605176</c:v>
                </c:pt>
                <c:pt idx="27">
                  <c:v>-0.88211988290179721</c:v>
                </c:pt>
                <c:pt idx="28">
                  <c:v>-0.47454686073550234</c:v>
                </c:pt>
                <c:pt idx="29">
                  <c:v>-0.12988480591202897</c:v>
                </c:pt>
                <c:pt idx="30">
                  <c:v>0.9576605567693327</c:v>
                </c:pt>
                <c:pt idx="31">
                  <c:v>1.3020928357793387</c:v>
                </c:pt>
                <c:pt idx="32">
                  <c:v>-0.74485956767055994</c:v>
                </c:pt>
                <c:pt idx="33">
                  <c:v>-0.68208462483643495</c:v>
                </c:pt>
                <c:pt idx="34">
                  <c:v>-1.2766364747796475</c:v>
                </c:pt>
                <c:pt idx="35">
                  <c:v>-0.42704787599872801</c:v>
                </c:pt>
                <c:pt idx="36">
                  <c:v>0.98749721991984996</c:v>
                </c:pt>
                <c:pt idx="37" formatCode="General">
                  <c:v>0.31229627726240161</c:v>
                </c:pt>
                <c:pt idx="38" formatCode="General">
                  <c:v>0.11725935253931632</c:v>
                </c:pt>
                <c:pt idx="39" formatCode="General">
                  <c:v>0.70426797640036098</c:v>
                </c:pt>
                <c:pt idx="40" formatCode="General">
                  <c:v>0.11266320752409491</c:v>
                </c:pt>
                <c:pt idx="41" formatCode="General">
                  <c:v>-0.16126705206708325</c:v>
                </c:pt>
                <c:pt idx="42" formatCode="General">
                  <c:v>0.20741044674033327</c:v>
                </c:pt>
                <c:pt idx="43" formatCode="General">
                  <c:v>1.6657348157873224</c:v>
                </c:pt>
                <c:pt idx="44" formatCode="General">
                  <c:v>1.1149199198796291</c:v>
                </c:pt>
                <c:pt idx="45" formatCode="General">
                  <c:v>-0.15711363780940407</c:v>
                </c:pt>
                <c:pt idx="46" formatCode="General">
                  <c:v>1.312119664539416</c:v>
                </c:pt>
                <c:pt idx="47" formatCode="General">
                  <c:v>0.45946139791204932</c:v>
                </c:pt>
                <c:pt idx="48" formatCode="General">
                  <c:v>0.75328208364663729</c:v>
                </c:pt>
                <c:pt idx="49" formatCode="General">
                  <c:v>0.67308030889333315</c:v>
                </c:pt>
                <c:pt idx="50" formatCode="General">
                  <c:v>-0.25482108668369374</c:v>
                </c:pt>
                <c:pt idx="51" formatCode="General">
                  <c:v>0.71411834676713515</c:v>
                </c:pt>
                <c:pt idx="52" formatCode="General">
                  <c:v>-0.66864644490993841</c:v>
                </c:pt>
                <c:pt idx="53" formatCode="General">
                  <c:v>-0.24589692446741712</c:v>
                </c:pt>
                <c:pt idx="54" formatCode="General">
                  <c:v>-1.3139782751016347</c:v>
                </c:pt>
                <c:pt idx="55" formatCode="General">
                  <c:v>-2.193321574674318</c:v>
                </c:pt>
                <c:pt idx="56" formatCode="General">
                  <c:v>0.32831623802530413</c:v>
                </c:pt>
                <c:pt idx="57" formatCode="General">
                  <c:v>-5.4440913157341099E-2</c:v>
                </c:pt>
                <c:pt idx="58" formatCode="General">
                  <c:v>1.3881438734586917</c:v>
                </c:pt>
                <c:pt idx="59" formatCode="General">
                  <c:v>1.1461179447553971</c:v>
                </c:pt>
                <c:pt idx="60" formatCode="General">
                  <c:v>-0.3754606180024988</c:v>
                </c:pt>
                <c:pt idx="61" formatCode="General">
                  <c:v>1.9996066216677331</c:v>
                </c:pt>
                <c:pt idx="62" formatCode="General">
                  <c:v>-0.50999221163910102</c:v>
                </c:pt>
                <c:pt idx="63" formatCode="General">
                  <c:v>0.24858373123986482</c:v>
                </c:pt>
                <c:pt idx="64" formatCode="General">
                  <c:v>-1.6884693111557048</c:v>
                </c:pt>
              </c:numCache>
            </c:numRef>
          </c:xVal>
          <c:yVal>
            <c:numRef>
              <c:f>'SR + catch data Murdoch_age var'!$EY$32:$EY$96</c:f>
              <c:numCache>
                <c:formatCode>0.00</c:formatCode>
                <c:ptCount val="65"/>
                <c:pt idx="0">
                  <c:v>-1.2028240712518741</c:v>
                </c:pt>
                <c:pt idx="1">
                  <c:v>-0.62831406092838915</c:v>
                </c:pt>
                <c:pt idx="2">
                  <c:v>1.4786066330219467</c:v>
                </c:pt>
                <c:pt idx="3">
                  <c:v>1.1245171494386925</c:v>
                </c:pt>
                <c:pt idx="4">
                  <c:v>3.2797615499945452</c:v>
                </c:pt>
                <c:pt idx="5">
                  <c:v>0.31733687520019721</c:v>
                </c:pt>
                <c:pt idx="6">
                  <c:v>-5.6735525988337164E-2</c:v>
                </c:pt>
                <c:pt idx="7">
                  <c:v>-0.94527841952918923</c:v>
                </c:pt>
                <c:pt idx="8">
                  <c:v>-0.79693462306040408</c:v>
                </c:pt>
                <c:pt idx="9">
                  <c:v>-0.91198988430957539</c:v>
                </c:pt>
                <c:pt idx="10">
                  <c:v>5.161925667352011E-2</c:v>
                </c:pt>
                <c:pt idx="11">
                  <c:v>-0.80275695065613462</c:v>
                </c:pt>
                <c:pt idx="12">
                  <c:v>0.80420199475503074</c:v>
                </c:pt>
                <c:pt idx="13">
                  <c:v>1.2185056279091446</c:v>
                </c:pt>
                <c:pt idx="14">
                  <c:v>-0.78441808569402116</c:v>
                </c:pt>
                <c:pt idx="15">
                  <c:v>-0.25336457823950148</c:v>
                </c:pt>
                <c:pt idx="16">
                  <c:v>-0.37428458741105258</c:v>
                </c:pt>
                <c:pt idx="17">
                  <c:v>0.90584507085085952</c:v>
                </c:pt>
                <c:pt idx="18">
                  <c:v>-0.3593181339201153</c:v>
                </c:pt>
                <c:pt idx="19">
                  <c:v>-0.96662074959812894</c:v>
                </c:pt>
                <c:pt idx="20">
                  <c:v>-0.57985666958513571</c:v>
                </c:pt>
                <c:pt idx="21">
                  <c:v>4.087473720721109E-2</c:v>
                </c:pt>
                <c:pt idx="22">
                  <c:v>-0.27239269778767172</c:v>
                </c:pt>
                <c:pt idx="23">
                  <c:v>-0.88986205052688228</c:v>
                </c:pt>
                <c:pt idx="24">
                  <c:v>-0.86804525159067447</c:v>
                </c:pt>
                <c:pt idx="25">
                  <c:v>-2.2671709087605176</c:v>
                </c:pt>
                <c:pt idx="26">
                  <c:v>-0.88211988290179721</c:v>
                </c:pt>
                <c:pt idx="27">
                  <c:v>-0.47454686073550234</c:v>
                </c:pt>
                <c:pt idx="28">
                  <c:v>-0.12988480591202897</c:v>
                </c:pt>
                <c:pt idx="29">
                  <c:v>0.9576605567693327</c:v>
                </c:pt>
                <c:pt idx="30">
                  <c:v>1.3020928357793387</c:v>
                </c:pt>
                <c:pt idx="31">
                  <c:v>-0.74485956767055994</c:v>
                </c:pt>
                <c:pt idx="32">
                  <c:v>-0.68208462483643495</c:v>
                </c:pt>
                <c:pt idx="33">
                  <c:v>-1.2766364747796475</c:v>
                </c:pt>
                <c:pt idx="34">
                  <c:v>-0.42704787599872801</c:v>
                </c:pt>
                <c:pt idx="35">
                  <c:v>0.98749721991984996</c:v>
                </c:pt>
                <c:pt idx="36">
                  <c:v>0.31229627726240161</c:v>
                </c:pt>
                <c:pt idx="37" formatCode="General">
                  <c:v>0.11725935253931632</c:v>
                </c:pt>
                <c:pt idx="38" formatCode="General">
                  <c:v>0.70426797640036098</c:v>
                </c:pt>
                <c:pt idx="39" formatCode="General">
                  <c:v>0.11266320752409491</c:v>
                </c:pt>
                <c:pt idx="40" formatCode="General">
                  <c:v>-0.16126705206708325</c:v>
                </c:pt>
                <c:pt idx="41" formatCode="General">
                  <c:v>0.20741044674033327</c:v>
                </c:pt>
                <c:pt idx="42" formatCode="General">
                  <c:v>1.6657348157873224</c:v>
                </c:pt>
                <c:pt idx="43" formatCode="General">
                  <c:v>1.1149199198796291</c:v>
                </c:pt>
                <c:pt idx="44" formatCode="General">
                  <c:v>-0.15711363780940407</c:v>
                </c:pt>
                <c:pt idx="45" formatCode="General">
                  <c:v>1.312119664539416</c:v>
                </c:pt>
                <c:pt idx="46" formatCode="General">
                  <c:v>0.45946139791204932</c:v>
                </c:pt>
                <c:pt idx="47" formatCode="General">
                  <c:v>0.75328208364663729</c:v>
                </c:pt>
                <c:pt idx="48" formatCode="General">
                  <c:v>0.67308030889333315</c:v>
                </c:pt>
                <c:pt idx="49" formatCode="General">
                  <c:v>-0.25482108668369374</c:v>
                </c:pt>
                <c:pt idx="50" formatCode="General">
                  <c:v>0.71411834676713515</c:v>
                </c:pt>
                <c:pt idx="51" formatCode="General">
                  <c:v>-0.66864644490993841</c:v>
                </c:pt>
                <c:pt idx="52" formatCode="General">
                  <c:v>-0.24589692446741712</c:v>
                </c:pt>
                <c:pt idx="53" formatCode="General">
                  <c:v>-1.3139782751016347</c:v>
                </c:pt>
                <c:pt idx="54" formatCode="General">
                  <c:v>-2.193321574674318</c:v>
                </c:pt>
                <c:pt idx="55" formatCode="General">
                  <c:v>0.32831623802530413</c:v>
                </c:pt>
                <c:pt idx="56" formatCode="General">
                  <c:v>-5.4440913157341099E-2</c:v>
                </c:pt>
                <c:pt idx="57" formatCode="General">
                  <c:v>1.3881438734586917</c:v>
                </c:pt>
                <c:pt idx="58" formatCode="General">
                  <c:v>1.1461179447553971</c:v>
                </c:pt>
                <c:pt idx="59" formatCode="General">
                  <c:v>-0.3754606180024988</c:v>
                </c:pt>
                <c:pt idx="60" formatCode="General">
                  <c:v>1.9996066216677331</c:v>
                </c:pt>
                <c:pt idx="61" formatCode="General">
                  <c:v>-0.50999221163910102</c:v>
                </c:pt>
                <c:pt idx="62" formatCode="General">
                  <c:v>0.24858373123986482</c:v>
                </c:pt>
                <c:pt idx="63" formatCode="General">
                  <c:v>-1.6884693111557048</c:v>
                </c:pt>
                <c:pt idx="64" formatCode="General">
                  <c:v>-0.68740268467890897</c:v>
                </c:pt>
              </c:numCache>
            </c:numRef>
          </c:yVal>
          <c:smooth val="0"/>
          <c:extLst>
            <c:ext xmlns:c16="http://schemas.microsoft.com/office/drawing/2014/chart" uri="{C3380CC4-5D6E-409C-BE32-E72D297353CC}">
              <c16:uniqueId val="{00000000-8713-4E22-98F1-079884BC2F33}"/>
            </c:ext>
          </c:extLst>
        </c:ser>
        <c:dLbls>
          <c:showLegendKey val="0"/>
          <c:showVal val="0"/>
          <c:showCatName val="0"/>
          <c:showSerName val="0"/>
          <c:showPercent val="0"/>
          <c:showBubbleSize val="0"/>
        </c:dLbls>
        <c:axId val="2021563823"/>
        <c:axId val="2021569231"/>
      </c:scatterChart>
      <c:valAx>
        <c:axId val="2021563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9231"/>
        <c:crosses val="autoZero"/>
        <c:crossBetween val="midCat"/>
      </c:valAx>
      <c:valAx>
        <c:axId val="202156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3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var'!$FJ$32</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var'!$FI$33:$FI$97</c:f>
              <c:numCache>
                <c:formatCode>0.00</c:formatCode>
                <c:ptCount val="65"/>
                <c:pt idx="0">
                  <c:v>0.20243357965533673</c:v>
                </c:pt>
                <c:pt idx="1">
                  <c:v>-1.2700404919002106</c:v>
                </c:pt>
                <c:pt idx="2">
                  <c:v>-0.64458769190371612</c:v>
                </c:pt>
                <c:pt idx="3">
                  <c:v>1.7723745090647742</c:v>
                </c:pt>
                <c:pt idx="4">
                  <c:v>0.74400530821446187</c:v>
                </c:pt>
                <c:pt idx="5">
                  <c:v>3.1466626853574442</c:v>
                </c:pt>
                <c:pt idx="6">
                  <c:v>0.38584888177915355</c:v>
                </c:pt>
                <c:pt idx="7">
                  <c:v>0.12423112869913064</c:v>
                </c:pt>
                <c:pt idx="8">
                  <c:v>-0.74095524040550809</c:v>
                </c:pt>
                <c:pt idx="9">
                  <c:v>-0.87575903255657539</c:v>
                </c:pt>
                <c:pt idx="10">
                  <c:v>-1.2127116920458252</c:v>
                </c:pt>
                <c:pt idx="11">
                  <c:v>-8.1182730345182363E-2</c:v>
                </c:pt>
                <c:pt idx="12">
                  <c:v>-0.78358817852835871</c:v>
                </c:pt>
                <c:pt idx="13">
                  <c:v>0.78452605660212515</c:v>
                </c:pt>
                <c:pt idx="14">
                  <c:v>1.3307725403704198</c:v>
                </c:pt>
                <c:pt idx="15">
                  <c:v>-0.8751403164790692</c:v>
                </c:pt>
                <c:pt idx="16">
                  <c:v>-0.31295303472859437</c:v>
                </c:pt>
                <c:pt idx="17">
                  <c:v>-0.38831435169494904</c:v>
                </c:pt>
                <c:pt idx="18">
                  <c:v>1.3858901268824224</c:v>
                </c:pt>
                <c:pt idx="19">
                  <c:v>-0.48273066401118858</c:v>
                </c:pt>
                <c:pt idx="20">
                  <c:v>-1.1958291634076217</c:v>
                </c:pt>
                <c:pt idx="21">
                  <c:v>-0.45007145319551473</c:v>
                </c:pt>
                <c:pt idx="22">
                  <c:v>-6.3735439244203634E-2</c:v>
                </c:pt>
                <c:pt idx="23">
                  <c:v>-7.6601714811632013E-2</c:v>
                </c:pt>
                <c:pt idx="24">
                  <c:v>-1.0809903365489639</c:v>
                </c:pt>
                <c:pt idx="25">
                  <c:v>-0.4221908637466012</c:v>
                </c:pt>
                <c:pt idx="26">
                  <c:v>-2.3733890356146059</c:v>
                </c:pt>
                <c:pt idx="27">
                  <c:v>-0.87298889921505152</c:v>
                </c:pt>
                <c:pt idx="28">
                  <c:v>-0.32191729904198046</c:v>
                </c:pt>
                <c:pt idx="29">
                  <c:v>0.14452431039490185</c:v>
                </c:pt>
                <c:pt idx="30">
                  <c:v>1.0770876668200657</c:v>
                </c:pt>
                <c:pt idx="31">
                  <c:v>1.1921228328483313</c:v>
                </c:pt>
                <c:pt idx="32">
                  <c:v>-0.48727385076822083</c:v>
                </c:pt>
                <c:pt idx="33">
                  <c:v>-0.57185200675878467</c:v>
                </c:pt>
                <c:pt idx="34">
                  <c:v>-0.86990642502567672</c:v>
                </c:pt>
                <c:pt idx="35">
                  <c:v>-0.14479973257752829</c:v>
                </c:pt>
                <c:pt idx="36" formatCode="General">
                  <c:v>0.98093369977858746</c:v>
                </c:pt>
                <c:pt idx="37" formatCode="General">
                  <c:v>-3.708805218239225E-2</c:v>
                </c:pt>
                <c:pt idx="38" formatCode="General">
                  <c:v>-0.30570335101251872</c:v>
                </c:pt>
                <c:pt idx="39" formatCode="General">
                  <c:v>0.18898508935593311</c:v>
                </c:pt>
                <c:pt idx="40" formatCode="General">
                  <c:v>-0.15151592899138833</c:v>
                </c:pt>
                <c:pt idx="41" formatCode="General">
                  <c:v>-0.21613560835833853</c:v>
                </c:pt>
                <c:pt idx="42" formatCode="General">
                  <c:v>0.36514956949180755</c:v>
                </c:pt>
                <c:pt idx="43" formatCode="General">
                  <c:v>1.3648898670753944</c:v>
                </c:pt>
                <c:pt idx="44" formatCode="General">
                  <c:v>1.1733854494309339</c:v>
                </c:pt>
                <c:pt idx="45" formatCode="General">
                  <c:v>-0.25393206410043273</c:v>
                </c:pt>
                <c:pt idx="46" formatCode="General">
                  <c:v>1.4619540361351802</c:v>
                </c:pt>
                <c:pt idx="47" formatCode="General">
                  <c:v>0.56506948327445672</c:v>
                </c:pt>
                <c:pt idx="48" formatCode="General">
                  <c:v>0.49089918088464907</c:v>
                </c:pt>
                <c:pt idx="49" formatCode="General">
                  <c:v>0.6751397878693095</c:v>
                </c:pt>
                <c:pt idx="50" formatCode="General">
                  <c:v>-0.35053550710350362</c:v>
                </c:pt>
                <c:pt idx="51" formatCode="General">
                  <c:v>1.1542198921301565</c:v>
                </c:pt>
                <c:pt idx="52" formatCode="General">
                  <c:v>-0.7611663761677635</c:v>
                </c:pt>
                <c:pt idx="53" formatCode="General">
                  <c:v>-0.23316807996471667</c:v>
                </c:pt>
                <c:pt idx="54" formatCode="General">
                  <c:v>-1.2922794083370692</c:v>
                </c:pt>
                <c:pt idx="55" formatCode="General">
                  <c:v>-2.1139337103501572</c:v>
                </c:pt>
                <c:pt idx="56" formatCode="General">
                  <c:v>0.41099324867602505</c:v>
                </c:pt>
                <c:pt idx="57" formatCode="General">
                  <c:v>-0.30466364494918324</c:v>
                </c:pt>
                <c:pt idx="58" formatCode="General">
                  <c:v>1.4562313868060301</c:v>
                </c:pt>
                <c:pt idx="59" formatCode="General">
                  <c:v>1.0655696686562677</c:v>
                </c:pt>
                <c:pt idx="60" formatCode="General">
                  <c:v>-0.52684437920282323</c:v>
                </c:pt>
                <c:pt idx="61" formatCode="General">
                  <c:v>1.7283742787360297</c:v>
                </c:pt>
                <c:pt idx="62" formatCode="General">
                  <c:v>-0.45831156042299326</c:v>
                </c:pt>
                <c:pt idx="63" formatCode="General">
                  <c:v>0.59082820633245059</c:v>
                </c:pt>
                <c:pt idx="64" formatCode="General">
                  <c:v>-1.7588146813398144</c:v>
                </c:pt>
              </c:numCache>
            </c:numRef>
          </c:xVal>
          <c:yVal>
            <c:numRef>
              <c:f>'SR + catch data Murdoch_age var'!$FJ$33:$FJ$97</c:f>
              <c:numCache>
                <c:formatCode>0.00</c:formatCode>
                <c:ptCount val="65"/>
                <c:pt idx="0">
                  <c:v>-1.2700404919002106</c:v>
                </c:pt>
                <c:pt idx="1">
                  <c:v>-0.64458769190371612</c:v>
                </c:pt>
                <c:pt idx="2">
                  <c:v>1.7723745090647742</c:v>
                </c:pt>
                <c:pt idx="3">
                  <c:v>0.74400530821446187</c:v>
                </c:pt>
                <c:pt idx="4">
                  <c:v>3.1466626853574442</c:v>
                </c:pt>
                <c:pt idx="5">
                  <c:v>0.38584888177915355</c:v>
                </c:pt>
                <c:pt idx="6">
                  <c:v>0.12423112869913064</c:v>
                </c:pt>
                <c:pt idx="7">
                  <c:v>-0.74095524040550809</c:v>
                </c:pt>
                <c:pt idx="8">
                  <c:v>-0.87575903255657539</c:v>
                </c:pt>
                <c:pt idx="9">
                  <c:v>-1.2127116920458252</c:v>
                </c:pt>
                <c:pt idx="10">
                  <c:v>-8.1182730345182363E-2</c:v>
                </c:pt>
                <c:pt idx="11">
                  <c:v>-0.78358817852835871</c:v>
                </c:pt>
                <c:pt idx="12">
                  <c:v>0.78452605660212515</c:v>
                </c:pt>
                <c:pt idx="13">
                  <c:v>1.3307725403704198</c:v>
                </c:pt>
                <c:pt idx="14">
                  <c:v>-0.8751403164790692</c:v>
                </c:pt>
                <c:pt idx="15">
                  <c:v>-0.31295303472859437</c:v>
                </c:pt>
                <c:pt idx="16">
                  <c:v>-0.38831435169494904</c:v>
                </c:pt>
                <c:pt idx="17">
                  <c:v>1.3858901268824224</c:v>
                </c:pt>
                <c:pt idx="18">
                  <c:v>-0.48273066401118858</c:v>
                </c:pt>
                <c:pt idx="19">
                  <c:v>-1.1958291634076217</c:v>
                </c:pt>
                <c:pt idx="20">
                  <c:v>-0.45007145319551473</c:v>
                </c:pt>
                <c:pt idx="21">
                  <c:v>-6.3735439244203634E-2</c:v>
                </c:pt>
                <c:pt idx="22">
                  <c:v>-7.6601714811632013E-2</c:v>
                </c:pt>
                <c:pt idx="23">
                  <c:v>-1.0809903365489639</c:v>
                </c:pt>
                <c:pt idx="24">
                  <c:v>-0.4221908637466012</c:v>
                </c:pt>
                <c:pt idx="25">
                  <c:v>-2.3733890356146059</c:v>
                </c:pt>
                <c:pt idx="26">
                  <c:v>-0.87298889921505152</c:v>
                </c:pt>
                <c:pt idx="27">
                  <c:v>-0.32191729904198046</c:v>
                </c:pt>
                <c:pt idx="28">
                  <c:v>0.14452431039490185</c:v>
                </c:pt>
                <c:pt idx="29">
                  <c:v>1.0770876668200657</c:v>
                </c:pt>
                <c:pt idx="30">
                  <c:v>1.1921228328483313</c:v>
                </c:pt>
                <c:pt idx="31">
                  <c:v>-0.48727385076822083</c:v>
                </c:pt>
                <c:pt idx="32">
                  <c:v>-0.57185200675878467</c:v>
                </c:pt>
                <c:pt idx="33">
                  <c:v>-0.86990642502567672</c:v>
                </c:pt>
                <c:pt idx="34">
                  <c:v>-0.14479973257752829</c:v>
                </c:pt>
                <c:pt idx="35">
                  <c:v>0.98093369977858746</c:v>
                </c:pt>
                <c:pt idx="36" formatCode="General">
                  <c:v>-3.708805218239225E-2</c:v>
                </c:pt>
                <c:pt idx="37" formatCode="General">
                  <c:v>-0.30570335101251872</c:v>
                </c:pt>
                <c:pt idx="38" formatCode="General">
                  <c:v>0.18898508935593311</c:v>
                </c:pt>
                <c:pt idx="39" formatCode="General">
                  <c:v>-0.15151592899138833</c:v>
                </c:pt>
                <c:pt idx="40" formatCode="General">
                  <c:v>-0.21613560835833853</c:v>
                </c:pt>
                <c:pt idx="41" formatCode="General">
                  <c:v>0.36514956949180755</c:v>
                </c:pt>
                <c:pt idx="42" formatCode="General">
                  <c:v>1.3648898670753944</c:v>
                </c:pt>
                <c:pt idx="43" formatCode="General">
                  <c:v>1.1733854494309339</c:v>
                </c:pt>
                <c:pt idx="44" formatCode="General">
                  <c:v>-0.25393206410043273</c:v>
                </c:pt>
                <c:pt idx="45" formatCode="General">
                  <c:v>1.4619540361351802</c:v>
                </c:pt>
                <c:pt idx="46" formatCode="General">
                  <c:v>0.56506948327445672</c:v>
                </c:pt>
                <c:pt idx="47" formatCode="General">
                  <c:v>0.49089918088464907</c:v>
                </c:pt>
                <c:pt idx="48" formatCode="General">
                  <c:v>0.6751397878693095</c:v>
                </c:pt>
                <c:pt idx="49" formatCode="General">
                  <c:v>-0.35053550710350362</c:v>
                </c:pt>
                <c:pt idx="50" formatCode="General">
                  <c:v>1.1542198921301565</c:v>
                </c:pt>
                <c:pt idx="51" formatCode="General">
                  <c:v>-0.7611663761677635</c:v>
                </c:pt>
                <c:pt idx="52" formatCode="General">
                  <c:v>-0.23316807996471667</c:v>
                </c:pt>
                <c:pt idx="53" formatCode="General">
                  <c:v>-1.2922794083370692</c:v>
                </c:pt>
                <c:pt idx="54" formatCode="General">
                  <c:v>-2.1139337103501572</c:v>
                </c:pt>
                <c:pt idx="55" formatCode="General">
                  <c:v>0.41099324867602505</c:v>
                </c:pt>
                <c:pt idx="56" formatCode="General">
                  <c:v>-0.30466364494918324</c:v>
                </c:pt>
                <c:pt idx="57" formatCode="General">
                  <c:v>1.4562313868060301</c:v>
                </c:pt>
                <c:pt idx="58" formatCode="General">
                  <c:v>1.0655696686562677</c:v>
                </c:pt>
                <c:pt idx="59" formatCode="General">
                  <c:v>-0.52684437920282323</c:v>
                </c:pt>
                <c:pt idx="60" formatCode="General">
                  <c:v>1.7283742787360297</c:v>
                </c:pt>
                <c:pt idx="61" formatCode="General">
                  <c:v>-0.45831156042299326</c:v>
                </c:pt>
                <c:pt idx="62" formatCode="General">
                  <c:v>0.59082820633245059</c:v>
                </c:pt>
                <c:pt idx="63" formatCode="General">
                  <c:v>-1.7588146813398144</c:v>
                </c:pt>
                <c:pt idx="64" formatCode="General">
                  <c:v>-0.5995004742831419</c:v>
                </c:pt>
              </c:numCache>
            </c:numRef>
          </c:yVal>
          <c:smooth val="0"/>
          <c:extLst>
            <c:ext xmlns:c16="http://schemas.microsoft.com/office/drawing/2014/chart" uri="{C3380CC4-5D6E-409C-BE32-E72D297353CC}">
              <c16:uniqueId val="{00000000-6409-4378-B01F-699F1077B3AA}"/>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fitted to spawners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2B52-4DF3-865A-AFA0ED4D0EF8}"/>
            </c:ext>
          </c:extLst>
        </c:ser>
        <c:ser>
          <c:idx val="1"/>
          <c:order val="1"/>
          <c:tx>
            <c:strRef>
              <c:f>'SR + catch data Murdoch_age var'!$CT$2</c:f>
              <c:strCache>
                <c:ptCount val="1"/>
                <c:pt idx="0">
                  <c:v>Recruits from SSL only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var'!$CT$3:$CT$68</c:f>
              <c:numCache>
                <c:formatCode>0.00</c:formatCode>
                <c:ptCount val="66"/>
                <c:pt idx="0">
                  <c:v>482450.99732116441</c:v>
                </c:pt>
                <c:pt idx="1">
                  <c:v>493773.34673134005</c:v>
                </c:pt>
                <c:pt idx="2">
                  <c:v>394929.53260257619</c:v>
                </c:pt>
                <c:pt idx="3">
                  <c:v>255882.87428762313</c:v>
                </c:pt>
                <c:pt idx="4">
                  <c:v>322481.49903567368</c:v>
                </c:pt>
                <c:pt idx="5">
                  <c:v>100908.19292370199</c:v>
                </c:pt>
                <c:pt idx="6">
                  <c:v>251055.62244969318</c:v>
                </c:pt>
                <c:pt idx="7">
                  <c:v>264346.9594941503</c:v>
                </c:pt>
                <c:pt idx="8">
                  <c:v>433073.71751069766</c:v>
                </c:pt>
                <c:pt idx="9">
                  <c:v>413623.67147255508</c:v>
                </c:pt>
                <c:pt idx="10">
                  <c:v>304521.11700155376</c:v>
                </c:pt>
                <c:pt idx="11">
                  <c:v>375766.49833789963</c:v>
                </c:pt>
                <c:pt idx="12">
                  <c:v>533257.51806853781</c:v>
                </c:pt>
                <c:pt idx="13">
                  <c:v>661631.80331721168</c:v>
                </c:pt>
                <c:pt idx="14">
                  <c:v>373386.22561077343</c:v>
                </c:pt>
                <c:pt idx="15">
                  <c:v>901300.72521198739</c:v>
                </c:pt>
                <c:pt idx="16">
                  <c:v>585330.46470923792</c:v>
                </c:pt>
                <c:pt idx="17">
                  <c:v>1381492.8173370401</c:v>
                </c:pt>
                <c:pt idx="18">
                  <c:v>797593.06197826832</c:v>
                </c:pt>
                <c:pt idx="19">
                  <c:v>744651.27944798546</c:v>
                </c:pt>
                <c:pt idx="20">
                  <c:v>757272.40065332095</c:v>
                </c:pt>
                <c:pt idx="21">
                  <c:v>1017109.3181441393</c:v>
                </c:pt>
                <c:pt idx="22">
                  <c:v>707176.00551757717</c:v>
                </c:pt>
                <c:pt idx="23">
                  <c:v>880809.89112580288</c:v>
                </c:pt>
                <c:pt idx="24">
                  <c:v>531241.37129451975</c:v>
                </c:pt>
                <c:pt idx="25">
                  <c:v>861403.12391299813</c:v>
                </c:pt>
                <c:pt idx="26">
                  <c:v>1290899.9397595827</c:v>
                </c:pt>
                <c:pt idx="27">
                  <c:v>897769.13583808939</c:v>
                </c:pt>
                <c:pt idx="28">
                  <c:v>681700.64735755487</c:v>
                </c:pt>
                <c:pt idx="29">
                  <c:v>807543.08463427005</c:v>
                </c:pt>
                <c:pt idx="30">
                  <c:v>1041137.8525718608</c:v>
                </c:pt>
                <c:pt idx="31">
                  <c:v>833045.88685336953</c:v>
                </c:pt>
                <c:pt idx="32">
                  <c:v>922375.40023171389</c:v>
                </c:pt>
                <c:pt idx="33">
                  <c:v>1208968.3882833014</c:v>
                </c:pt>
                <c:pt idx="34">
                  <c:v>1830583.9808122965</c:v>
                </c:pt>
                <c:pt idx="35">
                  <c:v>1677456.8253472701</c:v>
                </c:pt>
                <c:pt idx="36">
                  <c:v>906833.85443632212</c:v>
                </c:pt>
                <c:pt idx="37">
                  <c:v>1189496.8374681824</c:v>
                </c:pt>
                <c:pt idx="38">
                  <c:v>1460086.5279103669</c:v>
                </c:pt>
                <c:pt idx="39">
                  <c:v>1577013.1009133018</c:v>
                </c:pt>
                <c:pt idx="40">
                  <c:v>1738937.3683638875</c:v>
                </c:pt>
                <c:pt idx="41">
                  <c:v>1701044.8123510806</c:v>
                </c:pt>
                <c:pt idx="42">
                  <c:v>1669777.3987738776</c:v>
                </c:pt>
                <c:pt idx="43">
                  <c:v>1849407.8547280994</c:v>
                </c:pt>
                <c:pt idx="44">
                  <c:v>1850402.5267631859</c:v>
                </c:pt>
                <c:pt idx="45">
                  <c:v>1774183.161256178</c:v>
                </c:pt>
                <c:pt idx="46">
                  <c:v>1706802.0017370405</c:v>
                </c:pt>
                <c:pt idx="47">
                  <c:v>1217639.6742494828</c:v>
                </c:pt>
                <c:pt idx="48">
                  <c:v>1459023.8687605157</c:v>
                </c:pt>
                <c:pt idx="49">
                  <c:v>1416260.9791453425</c:v>
                </c:pt>
                <c:pt idx="50">
                  <c:v>1389730.8365474488</c:v>
                </c:pt>
                <c:pt idx="51">
                  <c:v>1721097.9369979426</c:v>
                </c:pt>
                <c:pt idx="52">
                  <c:v>1845597.5709311464</c:v>
                </c:pt>
                <c:pt idx="53">
                  <c:v>1569835.2405449802</c:v>
                </c:pt>
                <c:pt idx="54">
                  <c:v>1819553.4049550169</c:v>
                </c:pt>
                <c:pt idx="55">
                  <c:v>1810311.0705401364</c:v>
                </c:pt>
                <c:pt idx="56">
                  <c:v>1713245.9579135256</c:v>
                </c:pt>
                <c:pt idx="57">
                  <c:v>1667494.1953187161</c:v>
                </c:pt>
                <c:pt idx="58">
                  <c:v>1104531.2881987432</c:v>
                </c:pt>
                <c:pt idx="59">
                  <c:v>1303479.3569047826</c:v>
                </c:pt>
                <c:pt idx="60">
                  <c:v>1725055.512929101</c:v>
                </c:pt>
                <c:pt idx="61">
                  <c:v>1830073.395894184</c:v>
                </c:pt>
                <c:pt idx="62">
                  <c:v>1766772.0958272002</c:v>
                </c:pt>
                <c:pt idx="63">
                  <c:v>1765831.5907861548</c:v>
                </c:pt>
                <c:pt idx="64">
                  <c:v>1646157.4642085521</c:v>
                </c:pt>
                <c:pt idx="65">
                  <c:v>1809323.1402919195</c:v>
                </c:pt>
              </c:numCache>
            </c:numRef>
          </c:yVal>
          <c:smooth val="0"/>
          <c:extLst>
            <c:ext xmlns:c16="http://schemas.microsoft.com/office/drawing/2014/chart" uri="{C3380CC4-5D6E-409C-BE32-E72D297353CC}">
              <c16:uniqueId val="{00000001-2B52-4DF3-865A-AFA0ED4D0EF8}"/>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SST-control</a:t>
            </a:r>
            <a:r>
              <a:rPr lang="en-US" baseline="0"/>
              <a:t>s not stopped</a:t>
            </a:r>
            <a:r>
              <a:rPr lang="en-US"/>
              <a:t>, NPGO, PDO)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1.1074918342146183</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1.0076640759951572</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1.1813245662105996</c:v>
                </c:pt>
                <c:pt idx="63">
                  <c:v>0.88953846934614955</c:v>
                </c:pt>
                <c:pt idx="64">
                  <c:v>1.0224548728910625</c:v>
                </c:pt>
                <c:pt idx="65">
                  <c:v>0.93779060283895377</c:v>
                </c:pt>
              </c:numCache>
            </c:numRef>
          </c:yVal>
          <c:smooth val="0"/>
          <c:extLst>
            <c:ext xmlns:c16="http://schemas.microsoft.com/office/drawing/2014/chart" uri="{C3380CC4-5D6E-409C-BE32-E72D297353CC}">
              <c16:uniqueId val="{00000000-8EA5-41D3-B0A2-9B2A153D406A}"/>
            </c:ext>
          </c:extLst>
        </c:ser>
        <c:ser>
          <c:idx val="1"/>
          <c:order val="1"/>
          <c:tx>
            <c:strRef>
              <c:f>'SR + catch data Murdoch_age var'!$CV$2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var'!$CV$3:$CV$68</c:f>
              <c:numCache>
                <c:formatCode>0.00</c:formatCode>
                <c:ptCount val="66"/>
                <c:pt idx="0">
                  <c:v>1.1484773547398874</c:v>
                </c:pt>
                <c:pt idx="1">
                  <c:v>1.1484773547398874</c:v>
                </c:pt>
                <c:pt idx="2">
                  <c:v>1.1484773547398874</c:v>
                </c:pt>
                <c:pt idx="3">
                  <c:v>1.1484773547398874</c:v>
                </c:pt>
                <c:pt idx="4">
                  <c:v>1.1484773547398874</c:v>
                </c:pt>
                <c:pt idx="5">
                  <c:v>1.1484773547398874</c:v>
                </c:pt>
                <c:pt idx="6">
                  <c:v>1.1977178280463978</c:v>
                </c:pt>
                <c:pt idx="7">
                  <c:v>1.2083570526090581</c:v>
                </c:pt>
                <c:pt idx="8">
                  <c:v>1.1995522318349086</c:v>
                </c:pt>
                <c:pt idx="9">
                  <c:v>1.1904007003975914</c:v>
                </c:pt>
                <c:pt idx="10">
                  <c:v>1.1614086213588162</c:v>
                </c:pt>
                <c:pt idx="11">
                  <c:v>1.1455631551056922</c:v>
                </c:pt>
                <c:pt idx="12">
                  <c:v>1.1532512588382569</c:v>
                </c:pt>
                <c:pt idx="13">
                  <c:v>1.15641323775975</c:v>
                </c:pt>
                <c:pt idx="14">
                  <c:v>1.1394370730390513</c:v>
                </c:pt>
                <c:pt idx="15">
                  <c:v>1.1462630213962723</c:v>
                </c:pt>
                <c:pt idx="16">
                  <c:v>1.1432726651885095</c:v>
                </c:pt>
                <c:pt idx="17">
                  <c:v>1.1617202202450552</c:v>
                </c:pt>
                <c:pt idx="18">
                  <c:v>1.1733388226255481</c:v>
                </c:pt>
                <c:pt idx="19">
                  <c:v>1.186761681119566</c:v>
                </c:pt>
                <c:pt idx="20">
                  <c:v>1.2172310888351932</c:v>
                </c:pt>
                <c:pt idx="21">
                  <c:v>1.2425705130063607</c:v>
                </c:pt>
                <c:pt idx="22">
                  <c:v>1.2707925623259428</c:v>
                </c:pt>
                <c:pt idx="23">
                  <c:v>1.2892513752443981</c:v>
                </c:pt>
                <c:pt idx="24">
                  <c:v>1.3056488885715116</c:v>
                </c:pt>
                <c:pt idx="25">
                  <c:v>1.2876814338815057</c:v>
                </c:pt>
                <c:pt idx="26">
                  <c:v>1.2876758589465647</c:v>
                </c:pt>
                <c:pt idx="27">
                  <c:v>1.2901841248200445</c:v>
                </c:pt>
                <c:pt idx="28">
                  <c:v>1.2670169425872708</c:v>
                </c:pt>
                <c:pt idx="29">
                  <c:v>1.249165264622961</c:v>
                </c:pt>
                <c:pt idx="30">
                  <c:v>1.1880447590294518</c:v>
                </c:pt>
                <c:pt idx="31">
                  <c:v>1.1483864715864101</c:v>
                </c:pt>
                <c:pt idx="32">
                  <c:v>1.141887001157099</c:v>
                </c:pt>
                <c:pt idx="33">
                  <c:v>1.1571690145231683</c:v>
                </c:pt>
                <c:pt idx="34">
                  <c:v>1.1755453113166463</c:v>
                </c:pt>
                <c:pt idx="35">
                  <c:v>1.1889237832523798</c:v>
                </c:pt>
                <c:pt idx="36">
                  <c:v>1.1850234377115203</c:v>
                </c:pt>
                <c:pt idx="37">
                  <c:v>1.1526373194846491</c:v>
                </c:pt>
                <c:pt idx="38">
                  <c:v>1.144695036794352</c:v>
                </c:pt>
                <c:pt idx="39">
                  <c:v>1.1420348264523068</c:v>
                </c:pt>
                <c:pt idx="40">
                  <c:v>1.141952796444901</c:v>
                </c:pt>
                <c:pt idx="41">
                  <c:v>1.1497041348065964</c:v>
                </c:pt>
                <c:pt idx="42">
                  <c:v>1.1348019163744236</c:v>
                </c:pt>
                <c:pt idx="43">
                  <c:v>1.1483471371577783</c:v>
                </c:pt>
                <c:pt idx="44">
                  <c:v>1.1673438591423086</c:v>
                </c:pt>
                <c:pt idx="45">
                  <c:v>1.1894086354269604</c:v>
                </c:pt>
                <c:pt idx="46">
                  <c:v>1.2163608685926151</c:v>
                </c:pt>
                <c:pt idx="47">
                  <c:v>1.2314481811984959</c:v>
                </c:pt>
                <c:pt idx="48">
                  <c:v>1.241808728088085</c:v>
                </c:pt>
                <c:pt idx="49">
                  <c:v>1.225901245676756</c:v>
                </c:pt>
                <c:pt idx="50">
                  <c:v>1.2429176743607699</c:v>
                </c:pt>
                <c:pt idx="51">
                  <c:v>1.2514087529871352</c:v>
                </c:pt>
                <c:pt idx="52">
                  <c:v>1.2671073216284632</c:v>
                </c:pt>
                <c:pt idx="53">
                  <c:v>1.2414750506255348</c:v>
                </c:pt>
                <c:pt idx="54">
                  <c:v>1.2240352533215764</c:v>
                </c:pt>
                <c:pt idx="55">
                  <c:v>1.2358482920126743</c:v>
                </c:pt>
                <c:pt idx="56">
                  <c:v>1.2457537764713491</c:v>
                </c:pt>
                <c:pt idx="57">
                  <c:v>1.2772878515785522</c:v>
                </c:pt>
                <c:pt idx="58">
                  <c:v>1.281620454050115</c:v>
                </c:pt>
                <c:pt idx="59">
                  <c:v>1.278705534323155</c:v>
                </c:pt>
                <c:pt idx="60">
                  <c:v>1.2730034385533437</c:v>
                </c:pt>
                <c:pt idx="61">
                  <c:v>1.2581247594733487</c:v>
                </c:pt>
                <c:pt idx="62">
                  <c:v>1.2581247594733487</c:v>
                </c:pt>
                <c:pt idx="63">
                  <c:v>1.2581247594733487</c:v>
                </c:pt>
                <c:pt idx="64">
                  <c:v>1.2581247594733487</c:v>
                </c:pt>
                <c:pt idx="65">
                  <c:v>1.2581247594733487</c:v>
                </c:pt>
              </c:numCache>
            </c:numRef>
          </c:yVal>
          <c:smooth val="0"/>
          <c:extLst>
            <c:ext xmlns:c16="http://schemas.microsoft.com/office/drawing/2014/chart" uri="{C3380CC4-5D6E-409C-BE32-E72D297353CC}">
              <c16:uniqueId val="{00000001-8EA5-41D3-B0A2-9B2A153D406A}"/>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predicted with controls stopped versus not stopped in 1970s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17171296296296296"/>
          <c:w val="0.71293132108486434"/>
          <c:h val="0.62271617089530473"/>
        </c:manualLayout>
      </c:layout>
      <c:scatterChart>
        <c:scatterStyle val="lineMarker"/>
        <c:varyColors val="0"/>
        <c:ser>
          <c:idx val="0"/>
          <c:order val="0"/>
          <c:tx>
            <c:strRef>
              <c:f>'SR + catch data Murdoch_age var'!$CO$2</c:f>
              <c:strCache>
                <c:ptCount val="1"/>
                <c:pt idx="0">
                  <c:v>Recruits (Spawn,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375290.11420925206</c:v>
                </c:pt>
                <c:pt idx="12">
                  <c:v>597577.96356843982</c:v>
                </c:pt>
                <c:pt idx="13">
                  <c:v>688710.82946739777</c:v>
                </c:pt>
                <c:pt idx="14">
                  <c:v>409897.51263470727</c:v>
                </c:pt>
                <c:pt idx="15">
                  <c:v>877470.30618128169</c:v>
                </c:pt>
                <c:pt idx="16">
                  <c:v>528684.37479130179</c:v>
                </c:pt>
                <c:pt idx="17">
                  <c:v>1435164.4962522683</c:v>
                </c:pt>
                <c:pt idx="18">
                  <c:v>722444.12930311391</c:v>
                </c:pt>
                <c:pt idx="19">
                  <c:v>894511.65166737803</c:v>
                </c:pt>
                <c:pt idx="20">
                  <c:v>876533.58602234058</c:v>
                </c:pt>
                <c:pt idx="21">
                  <c:v>1249831.4072148199</c:v>
                </c:pt>
                <c:pt idx="22">
                  <c:v>880077.04498614115</c:v>
                </c:pt>
                <c:pt idx="23">
                  <c:v>1040012.0741296161</c:v>
                </c:pt>
                <c:pt idx="24">
                  <c:v>781688.13396926981</c:v>
                </c:pt>
                <c:pt idx="25">
                  <c:v>1058617.3550431777</c:v>
                </c:pt>
                <c:pt idx="26">
                  <c:v>1595345.2273684794</c:v>
                </c:pt>
                <c:pt idx="27">
                  <c:v>1059073.4859972654</c:v>
                </c:pt>
                <c:pt idx="28">
                  <c:v>704800.78795005241</c:v>
                </c:pt>
                <c:pt idx="29">
                  <c:v>789966.20559319551</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1564161.9742768079</c:v>
                </c:pt>
                <c:pt idx="42">
                  <c:v>1536947.9036582084</c:v>
                </c:pt>
                <c:pt idx="43">
                  <c:v>1897034.3462291346</c:v>
                </c:pt>
                <c:pt idx="44">
                  <c:v>1569599.6203628709</c:v>
                </c:pt>
                <c:pt idx="45">
                  <c:v>1532117.0223869774</c:v>
                </c:pt>
                <c:pt idx="46">
                  <c:v>1533144.635906117</c:v>
                </c:pt>
                <c:pt idx="47">
                  <c:v>2383261.2946447632</c:v>
                </c:pt>
                <c:pt idx="48">
                  <c:v>2549032.3935874631</c:v>
                </c:pt>
                <c:pt idx="49">
                  <c:v>1656975.7855916503</c:v>
                </c:pt>
                <c:pt idx="50">
                  <c:v>2188316.5241035349</c:v>
                </c:pt>
                <c:pt idx="51">
                  <c:v>1708497.7497893837</c:v>
                </c:pt>
                <c:pt idx="52">
                  <c:v>1632918.8765634715</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1043884.596815276</c:v>
                </c:pt>
                <c:pt idx="63">
                  <c:v>746002.30451873061</c:v>
                </c:pt>
                <c:pt idx="64">
                  <c:v>768886.35584255366</c:v>
                </c:pt>
                <c:pt idx="65">
                  <c:v>883726.86945157847</c:v>
                </c:pt>
              </c:numCache>
            </c:numRef>
          </c:yVal>
          <c:smooth val="0"/>
          <c:extLst>
            <c:ext xmlns:c16="http://schemas.microsoft.com/office/drawing/2014/chart" uri="{C3380CC4-5D6E-409C-BE32-E72D297353CC}">
              <c16:uniqueId val="{00000000-579F-4E28-BE72-D0CEAC772719}"/>
            </c:ext>
          </c:extLst>
        </c:ser>
        <c:ser>
          <c:idx val="1"/>
          <c:order val="1"/>
          <c:tx>
            <c:strRef>
              <c:f>'SR + catch data Murdoch_age var'!$CW$2</c:f>
              <c:strCache>
                <c:ptCount val="1"/>
                <c:pt idx="0">
                  <c:v>Recruits  (Spawn, SSLC,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var'!$CW$3:$CW$68</c:f>
              <c:numCache>
                <c:formatCode>0.00</c:formatCode>
                <c:ptCount val="66"/>
                <c:pt idx="0">
                  <c:v>347076.75736748381</c:v>
                </c:pt>
                <c:pt idx="1">
                  <c:v>443803.94235889387</c:v>
                </c:pt>
                <c:pt idx="2">
                  <c:v>478171.64008266228</c:v>
                </c:pt>
                <c:pt idx="3">
                  <c:v>285354.74671351886</c:v>
                </c:pt>
                <c:pt idx="4">
                  <c:v>470520.68444158166</c:v>
                </c:pt>
                <c:pt idx="5">
                  <c:v>110340.44285198794</c:v>
                </c:pt>
                <c:pt idx="6">
                  <c:v>206102.62232726076</c:v>
                </c:pt>
                <c:pt idx="7">
                  <c:v>246647.09403646708</c:v>
                </c:pt>
                <c:pt idx="8">
                  <c:v>453831.64762617799</c:v>
                </c:pt>
                <c:pt idx="9">
                  <c:v>454175.45259684749</c:v>
                </c:pt>
                <c:pt idx="10">
                  <c:v>356062.98322804656</c:v>
                </c:pt>
                <c:pt idx="11">
                  <c:v>373952.52889663033</c:v>
                </c:pt>
                <c:pt idx="12">
                  <c:v>594439.61038626812</c:v>
                </c:pt>
                <c:pt idx="13">
                  <c:v>684072.01908714918</c:v>
                </c:pt>
                <c:pt idx="14">
                  <c:v>408446.62800988805</c:v>
                </c:pt>
                <c:pt idx="15">
                  <c:v>868841.2782590792</c:v>
                </c:pt>
                <c:pt idx="16">
                  <c:v>525596.3832088249</c:v>
                </c:pt>
                <c:pt idx="17">
                  <c:v>1409054.708981035</c:v>
                </c:pt>
                <c:pt idx="18">
                  <c:v>716351.15853139095</c:v>
                </c:pt>
                <c:pt idx="19">
                  <c:v>887574.32666427433</c:v>
                </c:pt>
                <c:pt idx="20">
                  <c:v>875326.93686237105</c:v>
                </c:pt>
                <c:pt idx="21">
                  <c:v>1253029.8115794987</c:v>
                </c:pt>
                <c:pt idx="22">
                  <c:v>892011.92266576109</c:v>
                </c:pt>
                <c:pt idx="23">
                  <c:v>1052228.0441883923</c:v>
                </c:pt>
                <c:pt idx="24">
                  <c:v>792969.51901773713</c:v>
                </c:pt>
                <c:pt idx="25">
                  <c:v>1067710.4677844869</c:v>
                </c:pt>
                <c:pt idx="26">
                  <c:v>1596844.9410328071</c:v>
                </c:pt>
                <c:pt idx="27">
                  <c:v>1067924.4855725337</c:v>
                </c:pt>
                <c:pt idx="28">
                  <c:v>717547.74084774917</c:v>
                </c:pt>
                <c:pt idx="29">
                  <c:v>806610.32518113672</c:v>
                </c:pt>
                <c:pt idx="30">
                  <c:v>1220980.9236546946</c:v>
                </c:pt>
                <c:pt idx="31">
                  <c:v>1042310.5683099757</c:v>
                </c:pt>
                <c:pt idx="32">
                  <c:v>932464.87987484783</c:v>
                </c:pt>
                <c:pt idx="33">
                  <c:v>1231182.3618195211</c:v>
                </c:pt>
                <c:pt idx="34">
                  <c:v>1668448.5362084038</c:v>
                </c:pt>
                <c:pt idx="35">
                  <c:v>1492341.7682509311</c:v>
                </c:pt>
                <c:pt idx="36">
                  <c:v>1026954.7356425396</c:v>
                </c:pt>
                <c:pt idx="37">
                  <c:v>1676430.3104670753</c:v>
                </c:pt>
                <c:pt idx="38">
                  <c:v>1937432.6329153711</c:v>
                </c:pt>
                <c:pt idx="39">
                  <c:v>1900924.9379793289</c:v>
                </c:pt>
                <c:pt idx="40">
                  <c:v>2095500.6209522607</c:v>
                </c:pt>
                <c:pt idx="41">
                  <c:v>1651412.5370174162</c:v>
                </c:pt>
                <c:pt idx="42">
                  <c:v>1656697.9035922484</c:v>
                </c:pt>
                <c:pt idx="43">
                  <c:v>2049640.6736787469</c:v>
                </c:pt>
                <c:pt idx="44">
                  <c:v>1726402.5855908331</c:v>
                </c:pt>
                <c:pt idx="45">
                  <c:v>1737754.5791031164</c:v>
                </c:pt>
                <c:pt idx="46">
                  <c:v>1781470.756196863</c:v>
                </c:pt>
                <c:pt idx="47">
                  <c:v>2652082.1242970489</c:v>
                </c:pt>
                <c:pt idx="48">
                  <c:v>2923648.8142483896</c:v>
                </c:pt>
                <c:pt idx="49">
                  <c:v>2094801.6170835595</c:v>
                </c:pt>
                <c:pt idx="50">
                  <c:v>2684250.1723532784</c:v>
                </c:pt>
                <c:pt idx="51">
                  <c:v>2202155.7010504482</c:v>
                </c:pt>
                <c:pt idx="52">
                  <c:v>2135866.881668264</c:v>
                </c:pt>
                <c:pt idx="53">
                  <c:v>1646360.6173882575</c:v>
                </c:pt>
                <c:pt idx="54">
                  <c:v>1954258.3519409939</c:v>
                </c:pt>
                <c:pt idx="55">
                  <c:v>2085948.7709602383</c:v>
                </c:pt>
                <c:pt idx="56">
                  <c:v>2094518.6128339807</c:v>
                </c:pt>
                <c:pt idx="57">
                  <c:v>2178054.2652587709</c:v>
                </c:pt>
                <c:pt idx="58">
                  <c:v>1450121.2751826653</c:v>
                </c:pt>
                <c:pt idx="59">
                  <c:v>2150247.7155350014</c:v>
                </c:pt>
                <c:pt idx="60">
                  <c:v>2997136.6926537724</c:v>
                </c:pt>
                <c:pt idx="61">
                  <c:v>2930258.9765179837</c:v>
                </c:pt>
                <c:pt idx="62">
                  <c:v>2067318.5973444046</c:v>
                </c:pt>
                <c:pt idx="63">
                  <c:v>1542972.082085609</c:v>
                </c:pt>
                <c:pt idx="64">
                  <c:v>1608366.7599736731</c:v>
                </c:pt>
                <c:pt idx="65">
                  <c:v>1797437.9098001549</c:v>
                </c:pt>
              </c:numCache>
            </c:numRef>
          </c:yVal>
          <c:smooth val="0"/>
          <c:extLst>
            <c:ext xmlns:c16="http://schemas.microsoft.com/office/drawing/2014/chart" uri="{C3380CC4-5D6E-409C-BE32-E72D297353CC}">
              <c16:uniqueId val="{00000001-579F-4E28-BE72-D0CEAC772719}"/>
            </c:ext>
          </c:extLst>
        </c:ser>
        <c:ser>
          <c:idx val="2"/>
          <c:order val="2"/>
          <c:tx>
            <c:strRef>
              <c:f>'SR + catch data Murdoch_age var'!$CZ$2</c:f>
              <c:strCache>
                <c:ptCount val="1"/>
                <c:pt idx="0">
                  <c:v>Recruits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var'!$CZ$3:$CZ$68</c:f>
              <c:numCache>
                <c:formatCode>0.00</c:formatCode>
                <c:ptCount val="66"/>
                <c:pt idx="0">
                  <c:v>516250.68470730091</c:v>
                </c:pt>
                <c:pt idx="1">
                  <c:v>617785.60174714797</c:v>
                </c:pt>
                <c:pt idx="2">
                  <c:v>501804.15312698967</c:v>
                </c:pt>
                <c:pt idx="3">
                  <c:v>271650.21206445841</c:v>
                </c:pt>
                <c:pt idx="4">
                  <c:v>434261.86990900803</c:v>
                </c:pt>
                <c:pt idx="5">
                  <c:v>103173.76770565395</c:v>
                </c:pt>
                <c:pt idx="6">
                  <c:v>220508.50536996266</c:v>
                </c:pt>
                <c:pt idx="7">
                  <c:v>244778.74867425207</c:v>
                </c:pt>
                <c:pt idx="8">
                  <c:v>454860.26076822937</c:v>
                </c:pt>
                <c:pt idx="9">
                  <c:v>479087.37452404422</c:v>
                </c:pt>
                <c:pt idx="10">
                  <c:v>359146.60203910177</c:v>
                </c:pt>
                <c:pt idx="11">
                  <c:v>373371.10316048079</c:v>
                </c:pt>
                <c:pt idx="12">
                  <c:v>599117.68752366072</c:v>
                </c:pt>
                <c:pt idx="13">
                  <c:v>680623.2730856546</c:v>
                </c:pt>
                <c:pt idx="14">
                  <c:v>360599.442096985</c:v>
                </c:pt>
                <c:pt idx="15">
                  <c:v>929376.07305834885</c:v>
                </c:pt>
                <c:pt idx="16">
                  <c:v>586710.51329574699</c:v>
                </c:pt>
                <c:pt idx="17">
                  <c:v>1447517.1067511193</c:v>
                </c:pt>
                <c:pt idx="18">
                  <c:v>759283.68137514405</c:v>
                </c:pt>
                <c:pt idx="19">
                  <c:v>916840.58481479972</c:v>
                </c:pt>
                <c:pt idx="20">
                  <c:v>932587.96707863885</c:v>
                </c:pt>
                <c:pt idx="21">
                  <c:v>1103741.7211272139</c:v>
                </c:pt>
                <c:pt idx="22">
                  <c:v>824027.54112678336</c:v>
                </c:pt>
                <c:pt idx="23">
                  <c:v>1075136.2388352288</c:v>
                </c:pt>
                <c:pt idx="24">
                  <c:v>754198.07755169761</c:v>
                </c:pt>
                <c:pt idx="25">
                  <c:v>969399.58669819857</c:v>
                </c:pt>
                <c:pt idx="26">
                  <c:v>1545527.0563577879</c:v>
                </c:pt>
                <c:pt idx="27">
                  <c:v>954206.23494372109</c:v>
                </c:pt>
                <c:pt idx="28">
                  <c:v>583924.69127532234</c:v>
                </c:pt>
                <c:pt idx="29">
                  <c:v>715953.47239508375</c:v>
                </c:pt>
                <c:pt idx="30">
                  <c:v>1070705.6096701403</c:v>
                </c:pt>
                <c:pt idx="31">
                  <c:v>867845.14287289779</c:v>
                </c:pt>
                <c:pt idx="32">
                  <c:v>844050.1836744016</c:v>
                </c:pt>
                <c:pt idx="33">
                  <c:v>1298774.1011947638</c:v>
                </c:pt>
                <c:pt idx="34">
                  <c:v>1845510.4318577072</c:v>
                </c:pt>
                <c:pt idx="35">
                  <c:v>1732968.4663392478</c:v>
                </c:pt>
                <c:pt idx="36">
                  <c:v>1010279.84253416</c:v>
                </c:pt>
                <c:pt idx="37">
                  <c:v>1612112.1693675986</c:v>
                </c:pt>
                <c:pt idx="38">
                  <c:v>1841945.5684935413</c:v>
                </c:pt>
                <c:pt idx="39">
                  <c:v>1995238.8924627875</c:v>
                </c:pt>
                <c:pt idx="40">
                  <c:v>2001443.3647008673</c:v>
                </c:pt>
                <c:pt idx="41">
                  <c:v>1507063.6357912635</c:v>
                </c:pt>
                <c:pt idx="42">
                  <c:v>1443694.9637659048</c:v>
                </c:pt>
                <c:pt idx="43">
                  <c:v>2312437.2792978361</c:v>
                </c:pt>
                <c:pt idx="44">
                  <c:v>2074429.8670126677</c:v>
                </c:pt>
                <c:pt idx="45">
                  <c:v>1815107.7040367068</c:v>
                </c:pt>
                <c:pt idx="46">
                  <c:v>1966733.9221328888</c:v>
                </c:pt>
                <c:pt idx="47">
                  <c:v>2962419.4600068205</c:v>
                </c:pt>
                <c:pt idx="48">
                  <c:v>3536969.8110620612</c:v>
                </c:pt>
                <c:pt idx="49">
                  <c:v>2258530.6251685591</c:v>
                </c:pt>
                <c:pt idx="50">
                  <c:v>3383757.5710850651</c:v>
                </c:pt>
                <c:pt idx="51">
                  <c:v>2699826.5165277212</c:v>
                </c:pt>
                <c:pt idx="52">
                  <c:v>2591419.4480560725</c:v>
                </c:pt>
                <c:pt idx="53">
                  <c:v>2111111.6119939592</c:v>
                </c:pt>
                <c:pt idx="54">
                  <c:v>2106708.469310361</c:v>
                </c:pt>
                <c:pt idx="55">
                  <c:v>2645200.6037694062</c:v>
                </c:pt>
                <c:pt idx="56">
                  <c:v>2689631.3566371333</c:v>
                </c:pt>
                <c:pt idx="57">
                  <c:v>2555967.9545108634</c:v>
                </c:pt>
                <c:pt idx="58">
                  <c:v>1523934.2806749931</c:v>
                </c:pt>
                <c:pt idx="59">
                  <c:v>1881688.9862932796</c:v>
                </c:pt>
                <c:pt idx="60">
                  <c:v>2825314.9977572509</c:v>
                </c:pt>
                <c:pt idx="61">
                  <c:v>2995039.3458168637</c:v>
                </c:pt>
                <c:pt idx="62">
                  <c:v>2122555.9542134204</c:v>
                </c:pt>
                <c:pt idx="63">
                  <c:v>1616938.5166820846</c:v>
                </c:pt>
                <c:pt idx="64">
                  <c:v>1801782.3362795594</c:v>
                </c:pt>
                <c:pt idx="65">
                  <c:v>2185810.7424818431</c:v>
                </c:pt>
              </c:numCache>
            </c:numRef>
          </c:yVal>
          <c:smooth val="0"/>
          <c:extLst>
            <c:ext xmlns:c16="http://schemas.microsoft.com/office/drawing/2014/chart" uri="{C3380CC4-5D6E-409C-BE32-E72D297353CC}">
              <c16:uniqueId val="{00000001-DFCE-4A26-A549-B901A8921F3A}"/>
            </c:ext>
          </c:extLst>
        </c:ser>
        <c:dLbls>
          <c:showLegendKey val="0"/>
          <c:showVal val="0"/>
          <c:showCatName val="0"/>
          <c:showSerName val="0"/>
          <c:showPercent val="0"/>
          <c:showBubbleSize val="0"/>
        </c:dLbls>
        <c:axId val="2023226847"/>
        <c:axId val="2023222271"/>
      </c:scatterChart>
      <c:valAx>
        <c:axId val="2023226847"/>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 val="autoZero"/>
        <c:crossBetween val="midCat"/>
      </c:valAx>
      <c:valAx>
        <c:axId val="20232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6847"/>
        <c:crosses val="autoZero"/>
        <c:crossBetween val="midCat"/>
      </c:valAx>
      <c:spPr>
        <a:noFill/>
        <a:ln>
          <a:noFill/>
        </a:ln>
        <a:effectLst/>
      </c:spPr>
    </c:plotArea>
    <c:legend>
      <c:legendPos val="r"/>
      <c:layout>
        <c:manualLayout>
          <c:xMode val="edge"/>
          <c:yMode val="edge"/>
          <c:x val="0.23955424321959756"/>
          <c:y val="0.20969779819189269"/>
          <c:w val="0.30333775479406272"/>
          <c:h val="0.23531043650180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PDO smolt, SSLs, NPGO (model 3c)</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2AB-4125-AE5A-A584F008DE89}"/>
            </c:ext>
          </c:extLst>
        </c:ser>
        <c:ser>
          <c:idx val="1"/>
          <c:order val="1"/>
          <c:tx>
            <c:strRef>
              <c:f>'SR + catch data Murdoch_age var'!$CS$2</c:f>
              <c:strCache>
                <c:ptCount val="1"/>
                <c:pt idx="0">
                  <c:v>Recruits (Spawn,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var'!$CS$3:$CS$68</c:f>
              <c:numCache>
                <c:formatCode>0.00</c:formatCode>
                <c:ptCount val="66"/>
                <c:pt idx="0">
                  <c:v>301695.25119619654</c:v>
                </c:pt>
                <c:pt idx="1">
                  <c:v>425377.63522468682</c:v>
                </c:pt>
                <c:pt idx="2">
                  <c:v>456565.95475722459</c:v>
                </c:pt>
                <c:pt idx="3">
                  <c:v>287049.56022422476</c:v>
                </c:pt>
                <c:pt idx="4">
                  <c:v>369614.35908234876</c:v>
                </c:pt>
                <c:pt idx="5">
                  <c:v>95416.605808189139</c:v>
                </c:pt>
                <c:pt idx="6">
                  <c:v>230359.33118129586</c:v>
                </c:pt>
                <c:pt idx="7">
                  <c:v>267000.43279504753</c:v>
                </c:pt>
                <c:pt idx="8">
                  <c:v>504056.44574580621</c:v>
                </c:pt>
                <c:pt idx="9">
                  <c:v>489029.4592640684</c:v>
                </c:pt>
                <c:pt idx="10">
                  <c:v>317970.63707624073</c:v>
                </c:pt>
                <c:pt idx="11">
                  <c:v>375985.63013848697</c:v>
                </c:pt>
                <c:pt idx="12">
                  <c:v>607469.0532594074</c:v>
                </c:pt>
                <c:pt idx="13">
                  <c:v>653100.68723030097</c:v>
                </c:pt>
                <c:pt idx="14">
                  <c:v>405908.46628801367</c:v>
                </c:pt>
                <c:pt idx="15">
                  <c:v>842713.97507880814</c:v>
                </c:pt>
                <c:pt idx="16">
                  <c:v>518918.21000227024</c:v>
                </c:pt>
                <c:pt idx="17">
                  <c:v>1344622.3436774807</c:v>
                </c:pt>
                <c:pt idx="18">
                  <c:v>816293.75690162543</c:v>
                </c:pt>
                <c:pt idx="19">
                  <c:v>793674.89481916244</c:v>
                </c:pt>
                <c:pt idx="20">
                  <c:v>733042.14214969275</c:v>
                </c:pt>
                <c:pt idx="21">
                  <c:v>1228084.3386931987</c:v>
                </c:pt>
                <c:pt idx="22">
                  <c:v>793398.23846365453</c:v>
                </c:pt>
                <c:pt idx="23">
                  <c:v>1023083.7787541341</c:v>
                </c:pt>
                <c:pt idx="24">
                  <c:v>696530.68350348738</c:v>
                </c:pt>
                <c:pt idx="25">
                  <c:v>1248873.9051605538</c:v>
                </c:pt>
                <c:pt idx="26">
                  <c:v>1715495.5353858944</c:v>
                </c:pt>
                <c:pt idx="27">
                  <c:v>1018075.6091521181</c:v>
                </c:pt>
                <c:pt idx="28">
                  <c:v>753637.82767077477</c:v>
                </c:pt>
                <c:pt idx="29">
                  <c:v>896234.96796701499</c:v>
                </c:pt>
                <c:pt idx="30">
                  <c:v>1245644.6270493777</c:v>
                </c:pt>
                <c:pt idx="31">
                  <c:v>1108571.675695447</c:v>
                </c:pt>
                <c:pt idx="32">
                  <c:v>1078876.8332511128</c:v>
                </c:pt>
                <c:pt idx="33">
                  <c:v>1264153.2563533308</c:v>
                </c:pt>
                <c:pt idx="34">
                  <c:v>1807740.7613455108</c:v>
                </c:pt>
                <c:pt idx="35">
                  <c:v>1736397.2236255431</c:v>
                </c:pt>
                <c:pt idx="36">
                  <c:v>1063843.1524992352</c:v>
                </c:pt>
                <c:pt idx="37">
                  <c:v>1488349.8161119234</c:v>
                </c:pt>
                <c:pt idx="38">
                  <c:v>1756927.4310409494</c:v>
                </c:pt>
                <c:pt idx="39">
                  <c:v>1569516.9602364707</c:v>
                </c:pt>
                <c:pt idx="40">
                  <c:v>2115870.8535835682</c:v>
                </c:pt>
                <c:pt idx="41">
                  <c:v>1652904.6562656262</c:v>
                </c:pt>
                <c:pt idx="42">
                  <c:v>1691836.3025961441</c:v>
                </c:pt>
                <c:pt idx="43">
                  <c:v>1744325.0393220996</c:v>
                </c:pt>
                <c:pt idx="44">
                  <c:v>1716169.8004690837</c:v>
                </c:pt>
                <c:pt idx="45">
                  <c:v>1615078.8675259659</c:v>
                </c:pt>
                <c:pt idx="46">
                  <c:v>1814706.2728102775</c:v>
                </c:pt>
                <c:pt idx="47">
                  <c:v>2241884.6391784227</c:v>
                </c:pt>
                <c:pt idx="48">
                  <c:v>2219523.7230586819</c:v>
                </c:pt>
                <c:pt idx="49">
                  <c:v>1694431.0512228906</c:v>
                </c:pt>
                <c:pt idx="50">
                  <c:v>2027601.8099182532</c:v>
                </c:pt>
                <c:pt idx="51">
                  <c:v>2048346.4750071033</c:v>
                </c:pt>
                <c:pt idx="52">
                  <c:v>1617787.5423301994</c:v>
                </c:pt>
                <c:pt idx="53">
                  <c:v>1294398.5784769037</c:v>
                </c:pt>
                <c:pt idx="54">
                  <c:v>1413305.4316912401</c:v>
                </c:pt>
                <c:pt idx="55">
                  <c:v>1389715.093037978</c:v>
                </c:pt>
                <c:pt idx="56">
                  <c:v>1237359.2487979035</c:v>
                </c:pt>
                <c:pt idx="57">
                  <c:v>1186534.974222274</c:v>
                </c:pt>
                <c:pt idx="58">
                  <c:v>877869.86576947337</c:v>
                </c:pt>
                <c:pt idx="59">
                  <c:v>1087847.0732471221</c:v>
                </c:pt>
                <c:pt idx="60">
                  <c:v>1406864.8738817817</c:v>
                </c:pt>
                <c:pt idx="61">
                  <c:v>1456281.3625281251</c:v>
                </c:pt>
                <c:pt idx="62">
                  <c:v>1033395.1384117916</c:v>
                </c:pt>
                <c:pt idx="63">
                  <c:v>926610.75323625514</c:v>
                </c:pt>
                <c:pt idx="64">
                  <c:v>885047.19273902848</c:v>
                </c:pt>
                <c:pt idx="65">
                  <c:v>958434.22719490994</c:v>
                </c:pt>
              </c:numCache>
            </c:numRef>
          </c:yVal>
          <c:smooth val="0"/>
          <c:extLst>
            <c:ext xmlns:c16="http://schemas.microsoft.com/office/drawing/2014/chart" uri="{C3380CC4-5D6E-409C-BE32-E72D297353CC}">
              <c16:uniqueId val="{00000001-D2AB-4125-AE5A-A584F008DE8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var'!$FS$33:$FS$97</c:f>
              <c:numCache>
                <c:formatCode>0.00</c:formatCode>
                <c:ptCount val="65"/>
                <c:pt idx="0">
                  <c:v>0.65451173293859255</c:v>
                </c:pt>
                <c:pt idx="1">
                  <c:v>-0.96976298169303121</c:v>
                </c:pt>
                <c:pt idx="2">
                  <c:v>-0.83979408296487013</c:v>
                </c:pt>
                <c:pt idx="3">
                  <c:v>1.5587537218765541</c:v>
                </c:pt>
                <c:pt idx="4">
                  <c:v>0.60820445446758997</c:v>
                </c:pt>
                <c:pt idx="5">
                  <c:v>3.1174379952101461</c:v>
                </c:pt>
                <c:pt idx="6">
                  <c:v>0.62913414499389542</c:v>
                </c:pt>
                <c:pt idx="7">
                  <c:v>0.13872905393839829</c:v>
                </c:pt>
                <c:pt idx="8">
                  <c:v>-0.75149492345725333</c:v>
                </c:pt>
                <c:pt idx="9">
                  <c:v>-0.69813801717935586</c:v>
                </c:pt>
                <c:pt idx="10">
                  <c:v>-1.1160368067001489</c:v>
                </c:pt>
                <c:pt idx="11">
                  <c:v>3.8364638045085511E-2</c:v>
                </c:pt>
                <c:pt idx="12">
                  <c:v>-0.72315038418501798</c:v>
                </c:pt>
                <c:pt idx="13">
                  <c:v>0.87258517109648648</c:v>
                </c:pt>
                <c:pt idx="14">
                  <c:v>1.156966684535474</c:v>
                </c:pt>
                <c:pt idx="15">
                  <c:v>-0.63449079257419516</c:v>
                </c:pt>
                <c:pt idx="16">
                  <c:v>7.5006780819276891E-2</c:v>
                </c:pt>
                <c:pt idx="17">
                  <c:v>-0.30532057723034473</c:v>
                </c:pt>
                <c:pt idx="18">
                  <c:v>1.5742814102091562</c:v>
                </c:pt>
                <c:pt idx="19">
                  <c:v>-0.35493049626750078</c:v>
                </c:pt>
                <c:pt idx="20">
                  <c:v>-1.0008188663352229</c:v>
                </c:pt>
                <c:pt idx="21">
                  <c:v>-0.76442129772033007</c:v>
                </c:pt>
                <c:pt idx="22">
                  <c:v>-0.19144406417434159</c:v>
                </c:pt>
                <c:pt idx="23">
                  <c:v>-4.8039014254401317E-2</c:v>
                </c:pt>
                <c:pt idx="24">
                  <c:v>-1.1684292446742879</c:v>
                </c:pt>
                <c:pt idx="25">
                  <c:v>-0.70637401492990548</c:v>
                </c:pt>
                <c:pt idx="26">
                  <c:v>-2.4752608472116977</c:v>
                </c:pt>
                <c:pt idx="27">
                  <c:v>-1.1213373201384513</c:v>
                </c:pt>
                <c:pt idx="28">
                  <c:v>-0.7444560418000975</c:v>
                </c:pt>
                <c:pt idx="29">
                  <c:v>-9.1877483694581041E-2</c:v>
                </c:pt>
                <c:pt idx="30">
                  <c:v>0.81539652159513287</c:v>
                </c:pt>
                <c:pt idx="31">
                  <c:v>0.89790463010644561</c:v>
                </c:pt>
                <c:pt idx="32">
                  <c:v>-0.69534734460129599</c:v>
                </c:pt>
                <c:pt idx="33">
                  <c:v>-0.45159381612116961</c:v>
                </c:pt>
                <c:pt idx="34">
                  <c:v>-0.84752030546504142</c:v>
                </c:pt>
                <c:pt idx="35">
                  <c:v>0.12883872086225601</c:v>
                </c:pt>
                <c:pt idx="36" formatCode="General">
                  <c:v>1.0350032612991755</c:v>
                </c:pt>
                <c:pt idx="37" formatCode="General">
                  <c:v>-6.728362528613388E-2</c:v>
                </c:pt>
                <c:pt idx="38" formatCode="General">
                  <c:v>-0.36970496364513361</c:v>
                </c:pt>
                <c:pt idx="39" formatCode="General">
                  <c:v>0.36436831191227653</c:v>
                </c:pt>
                <c:pt idx="40" formatCode="General">
                  <c:v>-0.2679270797357261</c:v>
                </c:pt>
                <c:pt idx="41" formatCode="General">
                  <c:v>-0.44495039167278977</c:v>
                </c:pt>
                <c:pt idx="42" formatCode="General">
                  <c:v>-1.1524001567970895E-3</c:v>
                </c:pt>
                <c:pt idx="43" formatCode="General">
                  <c:v>1.5635933821641543</c:v>
                </c:pt>
                <c:pt idx="44" formatCode="General">
                  <c:v>1.4787993938411363</c:v>
                </c:pt>
                <c:pt idx="45" formatCode="General">
                  <c:v>-0.20701463451424224</c:v>
                </c:pt>
                <c:pt idx="46" formatCode="General">
                  <c:v>1.645503050703284</c:v>
                </c:pt>
                <c:pt idx="47" formatCode="General">
                  <c:v>0.15730683719871255</c:v>
                </c:pt>
                <c:pt idx="48" formatCode="General">
                  <c:v>0.4563636221897312</c:v>
                </c:pt>
                <c:pt idx="49" formatCode="General">
                  <c:v>0.77508391387995212</c:v>
                </c:pt>
                <c:pt idx="50" formatCode="General">
                  <c:v>-0.38215557780822301</c:v>
                </c:pt>
                <c:pt idx="51" formatCode="General">
                  <c:v>1.2183036845586437</c:v>
                </c:pt>
                <c:pt idx="52" formatCode="General">
                  <c:v>-0.51140800622508509</c:v>
                </c:pt>
                <c:pt idx="53" formatCode="General">
                  <c:v>-5.7157949746006818E-2</c:v>
                </c:pt>
                <c:pt idx="54" formatCode="General">
                  <c:v>-1.3218544025715682</c:v>
                </c:pt>
                <c:pt idx="55" formatCode="General">
                  <c:v>-1.9544034457175783</c:v>
                </c:pt>
                <c:pt idx="56" formatCode="General">
                  <c:v>0.79201280549153141</c:v>
                </c:pt>
                <c:pt idx="57" formatCode="General">
                  <c:v>-6.7024727315110236E-2</c:v>
                </c:pt>
                <c:pt idx="58" formatCode="General">
                  <c:v>1.516895242175218</c:v>
                </c:pt>
                <c:pt idx="59" formatCode="General">
                  <c:v>0.64435565750904678</c:v>
                </c:pt>
                <c:pt idx="60" formatCode="General">
                  <c:v>-0.90969288139527216</c:v>
                </c:pt>
                <c:pt idx="61" formatCode="General">
                  <c:v>1.6034888508755942</c:v>
                </c:pt>
                <c:pt idx="62" formatCode="General">
                  <c:v>-0.62842287339713321</c:v>
                </c:pt>
                <c:pt idx="63" formatCode="General">
                  <c:v>0.50981233597080677</c:v>
                </c:pt>
                <c:pt idx="64" formatCode="General">
                  <c:v>-1.6419583163720586</c:v>
                </c:pt>
              </c:numCache>
            </c:numRef>
          </c:xVal>
          <c:yVal>
            <c:numRef>
              <c:f>'SR + catch data Murdoch_age var'!$FT$33:$FT$97</c:f>
              <c:numCache>
                <c:formatCode>0.00</c:formatCode>
                <c:ptCount val="65"/>
                <c:pt idx="0">
                  <c:v>-0.96976298169303121</c:v>
                </c:pt>
                <c:pt idx="1">
                  <c:v>-0.83979408296487013</c:v>
                </c:pt>
                <c:pt idx="2">
                  <c:v>1.5587537218765541</c:v>
                </c:pt>
                <c:pt idx="3">
                  <c:v>0.60820445446758997</c:v>
                </c:pt>
                <c:pt idx="4">
                  <c:v>3.1174379952101461</c:v>
                </c:pt>
                <c:pt idx="5">
                  <c:v>0.62913414499389542</c:v>
                </c:pt>
                <c:pt idx="6">
                  <c:v>0.13872905393839829</c:v>
                </c:pt>
                <c:pt idx="7">
                  <c:v>-0.75149492345725333</c:v>
                </c:pt>
                <c:pt idx="8">
                  <c:v>-0.69813801717935586</c:v>
                </c:pt>
                <c:pt idx="9">
                  <c:v>-1.1160368067001489</c:v>
                </c:pt>
                <c:pt idx="10">
                  <c:v>3.8364638045085511E-2</c:v>
                </c:pt>
                <c:pt idx="11">
                  <c:v>-0.72315038418501798</c:v>
                </c:pt>
                <c:pt idx="12">
                  <c:v>0.87258517109648648</c:v>
                </c:pt>
                <c:pt idx="13">
                  <c:v>1.156966684535474</c:v>
                </c:pt>
                <c:pt idx="14">
                  <c:v>-0.63449079257419516</c:v>
                </c:pt>
                <c:pt idx="15">
                  <c:v>7.5006780819276891E-2</c:v>
                </c:pt>
                <c:pt idx="16">
                  <c:v>-0.30532057723034473</c:v>
                </c:pt>
                <c:pt idx="17">
                  <c:v>1.5742814102091562</c:v>
                </c:pt>
                <c:pt idx="18">
                  <c:v>-0.35493049626750078</c:v>
                </c:pt>
                <c:pt idx="19">
                  <c:v>-1.0008188663352229</c:v>
                </c:pt>
                <c:pt idx="20">
                  <c:v>-0.76442129772033007</c:v>
                </c:pt>
                <c:pt idx="21">
                  <c:v>-0.19144406417434159</c:v>
                </c:pt>
                <c:pt idx="22">
                  <c:v>-4.8039014254401317E-2</c:v>
                </c:pt>
                <c:pt idx="23">
                  <c:v>-1.1684292446742879</c:v>
                </c:pt>
                <c:pt idx="24">
                  <c:v>-0.70637401492990548</c:v>
                </c:pt>
                <c:pt idx="25">
                  <c:v>-2.4752608472116977</c:v>
                </c:pt>
                <c:pt idx="26">
                  <c:v>-1.1213373201384513</c:v>
                </c:pt>
                <c:pt idx="27">
                  <c:v>-0.7444560418000975</c:v>
                </c:pt>
                <c:pt idx="28">
                  <c:v>-9.1877483694581041E-2</c:v>
                </c:pt>
                <c:pt idx="29">
                  <c:v>0.81539652159513287</c:v>
                </c:pt>
                <c:pt idx="30">
                  <c:v>0.89790463010644561</c:v>
                </c:pt>
                <c:pt idx="31">
                  <c:v>-0.69534734460129599</c:v>
                </c:pt>
                <c:pt idx="32">
                  <c:v>-0.45159381612116961</c:v>
                </c:pt>
                <c:pt idx="33">
                  <c:v>-0.84752030546504142</c:v>
                </c:pt>
                <c:pt idx="34">
                  <c:v>0.12883872086225601</c:v>
                </c:pt>
                <c:pt idx="35">
                  <c:v>1.0350032612991755</c:v>
                </c:pt>
                <c:pt idx="36" formatCode="General">
                  <c:v>-6.728362528613388E-2</c:v>
                </c:pt>
                <c:pt idx="37" formatCode="General">
                  <c:v>-0.36970496364513361</c:v>
                </c:pt>
                <c:pt idx="38" formatCode="General">
                  <c:v>0.36436831191227653</c:v>
                </c:pt>
                <c:pt idx="39" formatCode="General">
                  <c:v>-0.2679270797357261</c:v>
                </c:pt>
                <c:pt idx="40" formatCode="General">
                  <c:v>-0.44495039167278977</c:v>
                </c:pt>
                <c:pt idx="41" formatCode="General">
                  <c:v>-1.1524001567970895E-3</c:v>
                </c:pt>
                <c:pt idx="42" formatCode="General">
                  <c:v>1.5635933821641543</c:v>
                </c:pt>
                <c:pt idx="43" formatCode="General">
                  <c:v>1.4787993938411363</c:v>
                </c:pt>
                <c:pt idx="44" formatCode="General">
                  <c:v>-0.20701463451424224</c:v>
                </c:pt>
                <c:pt idx="45" formatCode="General">
                  <c:v>1.645503050703284</c:v>
                </c:pt>
                <c:pt idx="46" formatCode="General">
                  <c:v>0.15730683719871255</c:v>
                </c:pt>
                <c:pt idx="47" formatCode="General">
                  <c:v>0.4563636221897312</c:v>
                </c:pt>
                <c:pt idx="48" formatCode="General">
                  <c:v>0.77508391387995212</c:v>
                </c:pt>
                <c:pt idx="49" formatCode="General">
                  <c:v>-0.38215557780822301</c:v>
                </c:pt>
                <c:pt idx="50" formatCode="General">
                  <c:v>1.2183036845586437</c:v>
                </c:pt>
                <c:pt idx="51" formatCode="General">
                  <c:v>-0.51140800622508509</c:v>
                </c:pt>
                <c:pt idx="52" formatCode="General">
                  <c:v>-5.7157949746006818E-2</c:v>
                </c:pt>
                <c:pt idx="53" formatCode="General">
                  <c:v>-1.3218544025715682</c:v>
                </c:pt>
                <c:pt idx="54" formatCode="General">
                  <c:v>-1.9544034457175783</c:v>
                </c:pt>
                <c:pt idx="55" formatCode="General">
                  <c:v>0.79201280549153141</c:v>
                </c:pt>
                <c:pt idx="56" formatCode="General">
                  <c:v>-6.7024727315110236E-2</c:v>
                </c:pt>
                <c:pt idx="57" formatCode="General">
                  <c:v>1.516895242175218</c:v>
                </c:pt>
                <c:pt idx="58" formatCode="General">
                  <c:v>0.64435565750904678</c:v>
                </c:pt>
                <c:pt idx="59" formatCode="General">
                  <c:v>-0.90969288139527216</c:v>
                </c:pt>
                <c:pt idx="60" formatCode="General">
                  <c:v>1.6034888508755942</c:v>
                </c:pt>
                <c:pt idx="61" formatCode="General">
                  <c:v>-0.62842287339713321</c:v>
                </c:pt>
                <c:pt idx="62" formatCode="General">
                  <c:v>0.50981233597080677</c:v>
                </c:pt>
                <c:pt idx="63" formatCode="General">
                  <c:v>-1.6419583163720586</c:v>
                </c:pt>
                <c:pt idx="64" formatCode="General">
                  <c:v>-0.49485601153235287</c:v>
                </c:pt>
              </c:numCache>
            </c:numRef>
          </c:yVal>
          <c:smooth val="0"/>
          <c:extLst>
            <c:ext xmlns:c16="http://schemas.microsoft.com/office/drawing/2014/chart" uri="{C3380CC4-5D6E-409C-BE32-E72D297353CC}">
              <c16:uniqueId val="{00000001-F371-4183-AE7A-AEF6244DC311}"/>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var'!$GC$32:$GC$96</c:f>
              <c:numCache>
                <c:formatCode>0.00</c:formatCode>
                <c:ptCount val="65"/>
                <c:pt idx="0">
                  <c:v>0.97403348794455291</c:v>
                </c:pt>
                <c:pt idx="1">
                  <c:v>-0.82908115786737124</c:v>
                </c:pt>
                <c:pt idx="2">
                  <c:v>-0.69661503126781255</c:v>
                </c:pt>
                <c:pt idx="3">
                  <c:v>1.5023570876317809</c:v>
                </c:pt>
                <c:pt idx="4">
                  <c:v>1.1627028077944352</c:v>
                </c:pt>
                <c:pt idx="5">
                  <c:v>3.3642840065178752</c:v>
                </c:pt>
                <c:pt idx="6">
                  <c:v>0.35420427434411189</c:v>
                </c:pt>
                <c:pt idx="7">
                  <c:v>-4.5781498826440725E-2</c:v>
                </c:pt>
                <c:pt idx="8">
                  <c:v>-0.96472790643223061</c:v>
                </c:pt>
                <c:pt idx="9">
                  <c:v>-0.84073573286443104</c:v>
                </c:pt>
                <c:pt idx="10">
                  <c:v>-0.80956598533071378</c:v>
                </c:pt>
                <c:pt idx="11">
                  <c:v>3.2839067937878295E-2</c:v>
                </c:pt>
                <c:pt idx="12">
                  <c:v>-0.73936014499656211</c:v>
                </c:pt>
                <c:pt idx="13">
                  <c:v>0.97020516225668862</c:v>
                </c:pt>
                <c:pt idx="14">
                  <c:v>1.1442349929812172</c:v>
                </c:pt>
                <c:pt idx="15">
                  <c:v>-0.52013586004117374</c:v>
                </c:pt>
                <c:pt idx="16">
                  <c:v>0.11642650185203743</c:v>
                </c:pt>
                <c:pt idx="17">
                  <c:v>-0.14306158868415284</c:v>
                </c:pt>
                <c:pt idx="18">
                  <c:v>1.2392835417348214</c:v>
                </c:pt>
                <c:pt idx="19">
                  <c:v>-6.3459666437741563E-2</c:v>
                </c:pt>
                <c:pt idx="20">
                  <c:v>-0.55065860694680757</c:v>
                </c:pt>
                <c:pt idx="21">
                  <c:v>-0.69968370788734113</c:v>
                </c:pt>
                <c:pt idx="22">
                  <c:v>5.7646889465425552E-2</c:v>
                </c:pt>
                <c:pt idx="23">
                  <c:v>-8.0664956926399557E-3</c:v>
                </c:pt>
                <c:pt idx="24">
                  <c:v>-0.86187000598387831</c:v>
                </c:pt>
                <c:pt idx="25">
                  <c:v>-1.0722535464118803</c:v>
                </c:pt>
                <c:pt idx="26">
                  <c:v>-2.5692579872121764</c:v>
                </c:pt>
                <c:pt idx="27">
                  <c:v>-0.99416651942385548</c:v>
                </c:pt>
                <c:pt idx="28">
                  <c:v>-0.87864372342986141</c:v>
                </c:pt>
                <c:pt idx="29">
                  <c:v>-0.38507320641242121</c:v>
                </c:pt>
                <c:pt idx="30">
                  <c:v>0.68948589261845938</c:v>
                </c:pt>
                <c:pt idx="31">
                  <c:v>0.65038310270878708</c:v>
                </c:pt>
                <c:pt idx="32">
                  <c:v>-1.1064150735825351</c:v>
                </c:pt>
                <c:pt idx="33">
                  <c:v>-0.58699755119353247</c:v>
                </c:pt>
                <c:pt idx="34">
                  <c:v>-1.0512649200798787</c:v>
                </c:pt>
                <c:pt idx="35">
                  <c:v>-0.30826348541607801</c:v>
                </c:pt>
                <c:pt idx="36">
                  <c:v>0.77865057474119848</c:v>
                </c:pt>
                <c:pt idx="37" formatCode="General">
                  <c:v>7.3086014219113676E-2</c:v>
                </c:pt>
                <c:pt idx="38" formatCode="General">
                  <c:v>-0.22883408455564358</c:v>
                </c:pt>
                <c:pt idx="39" formatCode="General">
                  <c:v>0.73419406368153339</c:v>
                </c:pt>
                <c:pt idx="40" formatCode="General">
                  <c:v>-0.36199169533944131</c:v>
                </c:pt>
                <c:pt idx="41" formatCode="General">
                  <c:v>-0.56066520362282413</c:v>
                </c:pt>
                <c:pt idx="42" formatCode="General">
                  <c:v>-0.22631996996348303</c:v>
                </c:pt>
                <c:pt idx="43" formatCode="General">
                  <c:v>1.7122298849701814</c:v>
                </c:pt>
                <c:pt idx="44" formatCode="General">
                  <c:v>1.2238171547804846</c:v>
                </c:pt>
                <c:pt idx="45" formatCode="General">
                  <c:v>-0.32431716733505522</c:v>
                </c:pt>
                <c:pt idx="46" formatCode="General">
                  <c:v>1.1993187132114078</c:v>
                </c:pt>
                <c:pt idx="47" formatCode="General">
                  <c:v>0.29588991579298091</c:v>
                </c:pt>
                <c:pt idx="48" formatCode="General">
                  <c:v>0.76695758159341121</c:v>
                </c:pt>
                <c:pt idx="49" formatCode="General">
                  <c:v>0.69875993053942353</c:v>
                </c:pt>
                <c:pt idx="50" formatCode="General">
                  <c:v>-0.19146359209946279</c:v>
                </c:pt>
                <c:pt idx="51" formatCode="General">
                  <c:v>0.7552309229271077</c:v>
                </c:pt>
                <c:pt idx="52" formatCode="General">
                  <c:v>-0.47380579902737952</c:v>
                </c:pt>
                <c:pt idx="53" formatCode="General">
                  <c:v>-3.5678949076322838E-2</c:v>
                </c:pt>
                <c:pt idx="54" formatCode="General">
                  <c:v>-1.2574853234931958</c:v>
                </c:pt>
                <c:pt idx="55" formatCode="General">
                  <c:v>-1.7704912259872561</c:v>
                </c:pt>
                <c:pt idx="56" formatCode="General">
                  <c:v>1.0293597890230046</c:v>
                </c:pt>
                <c:pt idx="57" formatCode="General">
                  <c:v>0.2880418201916255</c:v>
                </c:pt>
                <c:pt idx="58" formatCode="General">
                  <c:v>1.4157513505507946</c:v>
                </c:pt>
                <c:pt idx="59" formatCode="General">
                  <c:v>0.90046850641298948</c:v>
                </c:pt>
                <c:pt idx="60" formatCode="General">
                  <c:v>-0.49919205799400312</c:v>
                </c:pt>
                <c:pt idx="61" formatCode="General">
                  <c:v>1.7166001735418246</c:v>
                </c:pt>
                <c:pt idx="62" formatCode="General">
                  <c:v>-0.58536093414434587</c:v>
                </c:pt>
                <c:pt idx="63" formatCode="General">
                  <c:v>-1.4415852414570959E-2</c:v>
                </c:pt>
                <c:pt idx="64" formatCode="General">
                  <c:v>-1.9213401446015668</c:v>
                </c:pt>
              </c:numCache>
            </c:numRef>
          </c:xVal>
          <c:yVal>
            <c:numRef>
              <c:f>'SR + catch data Murdoch_age var'!$GD$32:$GD$96</c:f>
              <c:numCache>
                <c:formatCode>0.00</c:formatCode>
                <c:ptCount val="65"/>
                <c:pt idx="0">
                  <c:v>-0.82908115786737124</c:v>
                </c:pt>
                <c:pt idx="1">
                  <c:v>-0.69661503126781255</c:v>
                </c:pt>
                <c:pt idx="2">
                  <c:v>1.5023570876317809</c:v>
                </c:pt>
                <c:pt idx="3">
                  <c:v>1.1627028077944352</c:v>
                </c:pt>
                <c:pt idx="4">
                  <c:v>3.3642840065178752</c:v>
                </c:pt>
                <c:pt idx="5">
                  <c:v>0.35420427434411189</c:v>
                </c:pt>
                <c:pt idx="6">
                  <c:v>-4.5781498826440725E-2</c:v>
                </c:pt>
                <c:pt idx="7">
                  <c:v>-0.96472790643223061</c:v>
                </c:pt>
                <c:pt idx="8">
                  <c:v>-0.84073573286443104</c:v>
                </c:pt>
                <c:pt idx="9">
                  <c:v>-0.80956598533071378</c:v>
                </c:pt>
                <c:pt idx="10">
                  <c:v>3.2839067937878295E-2</c:v>
                </c:pt>
                <c:pt idx="11">
                  <c:v>-0.73936014499656211</c:v>
                </c:pt>
                <c:pt idx="12">
                  <c:v>0.97020516225668862</c:v>
                </c:pt>
                <c:pt idx="13">
                  <c:v>1.1442349929812172</c:v>
                </c:pt>
                <c:pt idx="14">
                  <c:v>-0.52013586004117374</c:v>
                </c:pt>
                <c:pt idx="15">
                  <c:v>0.11642650185203743</c:v>
                </c:pt>
                <c:pt idx="16">
                  <c:v>-0.14306158868415284</c:v>
                </c:pt>
                <c:pt idx="17">
                  <c:v>1.2392835417348214</c:v>
                </c:pt>
                <c:pt idx="18">
                  <c:v>-6.3459666437741563E-2</c:v>
                </c:pt>
                <c:pt idx="19">
                  <c:v>-0.55065860694680757</c:v>
                </c:pt>
                <c:pt idx="20">
                  <c:v>-0.69968370788734113</c:v>
                </c:pt>
                <c:pt idx="21">
                  <c:v>5.7646889465425552E-2</c:v>
                </c:pt>
                <c:pt idx="22">
                  <c:v>-8.0664956926399557E-3</c:v>
                </c:pt>
                <c:pt idx="23">
                  <c:v>-0.86187000598387831</c:v>
                </c:pt>
                <c:pt idx="24">
                  <c:v>-1.0722535464118803</c:v>
                </c:pt>
                <c:pt idx="25">
                  <c:v>-2.5692579872121764</c:v>
                </c:pt>
                <c:pt idx="26">
                  <c:v>-0.99416651942385548</c:v>
                </c:pt>
                <c:pt idx="27">
                  <c:v>-0.87864372342986141</c:v>
                </c:pt>
                <c:pt idx="28">
                  <c:v>-0.38507320641242121</c:v>
                </c:pt>
                <c:pt idx="29">
                  <c:v>0.68948589261845938</c:v>
                </c:pt>
                <c:pt idx="30">
                  <c:v>0.65038310270878708</c:v>
                </c:pt>
                <c:pt idx="31">
                  <c:v>-1.1064150735825351</c:v>
                </c:pt>
                <c:pt idx="32">
                  <c:v>-0.58699755119353247</c:v>
                </c:pt>
                <c:pt idx="33">
                  <c:v>-1.0512649200798787</c:v>
                </c:pt>
                <c:pt idx="34">
                  <c:v>-0.30826348541607801</c:v>
                </c:pt>
                <c:pt idx="35">
                  <c:v>0.77865057474119848</c:v>
                </c:pt>
                <c:pt idx="36">
                  <c:v>7.3086014219113676E-2</c:v>
                </c:pt>
                <c:pt idx="37" formatCode="General">
                  <c:v>-0.22883408455564358</c:v>
                </c:pt>
                <c:pt idx="38" formatCode="General">
                  <c:v>0.73419406368153339</c:v>
                </c:pt>
                <c:pt idx="39" formatCode="General">
                  <c:v>-0.36199169533944131</c:v>
                </c:pt>
                <c:pt idx="40" formatCode="General">
                  <c:v>-0.56066520362282413</c:v>
                </c:pt>
                <c:pt idx="41" formatCode="General">
                  <c:v>-0.22631996996348303</c:v>
                </c:pt>
                <c:pt idx="42" formatCode="General">
                  <c:v>1.7122298849701814</c:v>
                </c:pt>
                <c:pt idx="43" formatCode="General">
                  <c:v>1.2238171547804846</c:v>
                </c:pt>
                <c:pt idx="44" formatCode="General">
                  <c:v>-0.32431716733505522</c:v>
                </c:pt>
                <c:pt idx="45" formatCode="General">
                  <c:v>1.1993187132114078</c:v>
                </c:pt>
                <c:pt idx="46" formatCode="General">
                  <c:v>0.29588991579298091</c:v>
                </c:pt>
                <c:pt idx="47" formatCode="General">
                  <c:v>0.76695758159341121</c:v>
                </c:pt>
                <c:pt idx="48" formatCode="General">
                  <c:v>0.69875993053942353</c:v>
                </c:pt>
                <c:pt idx="49" formatCode="General">
                  <c:v>-0.19146359209946279</c:v>
                </c:pt>
                <c:pt idx="50" formatCode="General">
                  <c:v>0.7552309229271077</c:v>
                </c:pt>
                <c:pt idx="51" formatCode="General">
                  <c:v>-0.47380579902737952</c:v>
                </c:pt>
                <c:pt idx="52" formatCode="General">
                  <c:v>-3.5678949076322838E-2</c:v>
                </c:pt>
                <c:pt idx="53" formatCode="General">
                  <c:v>-1.2574853234931958</c:v>
                </c:pt>
                <c:pt idx="54" formatCode="General">
                  <c:v>-1.7704912259872561</c:v>
                </c:pt>
                <c:pt idx="55" formatCode="General">
                  <c:v>1.0293597890230046</c:v>
                </c:pt>
                <c:pt idx="56" formatCode="General">
                  <c:v>0.2880418201916255</c:v>
                </c:pt>
                <c:pt idx="57" formatCode="General">
                  <c:v>1.4157513505507946</c:v>
                </c:pt>
                <c:pt idx="58" formatCode="General">
                  <c:v>0.90046850641298948</c:v>
                </c:pt>
                <c:pt idx="59" formatCode="General">
                  <c:v>-0.49919205799400312</c:v>
                </c:pt>
                <c:pt idx="60" formatCode="General">
                  <c:v>1.7166001735418246</c:v>
                </c:pt>
                <c:pt idx="61" formatCode="General">
                  <c:v>-0.58536093414434587</c:v>
                </c:pt>
                <c:pt idx="62" formatCode="General">
                  <c:v>-1.4415852414570959E-2</c:v>
                </c:pt>
                <c:pt idx="63" formatCode="General">
                  <c:v>-1.9213401446015668</c:v>
                </c:pt>
                <c:pt idx="64" formatCode="General">
                  <c:v>-0.66994180988909924</c:v>
                </c:pt>
              </c:numCache>
            </c:numRef>
          </c:yVal>
          <c:smooth val="0"/>
          <c:extLst>
            <c:ext xmlns:c16="http://schemas.microsoft.com/office/drawing/2014/chart" uri="{C3380CC4-5D6E-409C-BE32-E72D297353CC}">
              <c16:uniqueId val="{00000001-B768-4027-941C-B65A7AA53115}"/>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PDO juvenile vs PDO adult for Fraser R. Chum salmon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var'!$AI$2</c:f>
              <c:strCache>
                <c:ptCount val="1"/>
                <c:pt idx="0">
                  <c:v>PDO juvenile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4254636920384954"/>
                  <c:y val="-0.293839311752697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var'!$AC$3:$AC$68</c:f>
              <c:numCache>
                <c:formatCode>0.00</c:formatCode>
                <c:ptCount val="66"/>
                <c:pt idx="0">
                  <c:v>-2.2405166393895652</c:v>
                </c:pt>
                <c:pt idx="1">
                  <c:v>-1.2495899854078174</c:v>
                </c:pt>
                <c:pt idx="2">
                  <c:v>1.0113248502778918</c:v>
                </c:pt>
                <c:pt idx="3">
                  <c:v>1.0277653862439076</c:v>
                </c:pt>
                <c:pt idx="4">
                  <c:v>1.0857902136565754</c:v>
                </c:pt>
                <c:pt idx="5">
                  <c:v>0.59134866969738575</c:v>
                </c:pt>
                <c:pt idx="6">
                  <c:v>-0.78767908160996614</c:v>
                </c:pt>
                <c:pt idx="7">
                  <c:v>2.3031264886805868E-2</c:v>
                </c:pt>
                <c:pt idx="8">
                  <c:v>0.15222651509944574</c:v>
                </c:pt>
                <c:pt idx="9">
                  <c:v>-0.30670833768597178</c:v>
                </c:pt>
                <c:pt idx="10">
                  <c:v>-0.10122219620501262</c:v>
                </c:pt>
                <c:pt idx="11">
                  <c:v>-0.17622041618659259</c:v>
                </c:pt>
                <c:pt idx="12">
                  <c:v>-6.0290395923992553E-2</c:v>
                </c:pt>
                <c:pt idx="13">
                  <c:v>-0.19486840546877593</c:v>
                </c:pt>
                <c:pt idx="14">
                  <c:v>0.9373485616547218</c:v>
                </c:pt>
                <c:pt idx="15">
                  <c:v>-0.98622252264071231</c:v>
                </c:pt>
                <c:pt idx="16">
                  <c:v>-1.5253400203638667</c:v>
                </c:pt>
                <c:pt idx="17">
                  <c:v>-0.47782904726060038</c:v>
                </c:pt>
                <c:pt idx="18">
                  <c:v>-0.8735165664819865</c:v>
                </c:pt>
                <c:pt idx="19">
                  <c:v>-0.38442873962724455</c:v>
                </c:pt>
                <c:pt idx="20">
                  <c:v>-0.77705579827523164</c:v>
                </c:pt>
                <c:pt idx="21">
                  <c:v>1.287615101625466</c:v>
                </c:pt>
                <c:pt idx="22">
                  <c:v>0.73516174994958516</c:v>
                </c:pt>
                <c:pt idx="23">
                  <c:v>-0.11173288203127058</c:v>
                </c:pt>
                <c:pt idx="24">
                  <c:v>0.73195731274107856</c:v>
                </c:pt>
                <c:pt idx="25">
                  <c:v>1.2394640264143406</c:v>
                </c:pt>
                <c:pt idx="26">
                  <c:v>0.64127989854472345</c:v>
                </c:pt>
                <c:pt idx="27">
                  <c:v>1.0457396123553988</c:v>
                </c:pt>
                <c:pt idx="28">
                  <c:v>1.7608580065748596</c:v>
                </c:pt>
                <c:pt idx="29">
                  <c:v>0.99525166266150833</c:v>
                </c:pt>
                <c:pt idx="30">
                  <c:v>1.3233570311341378</c:v>
                </c:pt>
                <c:pt idx="31">
                  <c:v>1.9247806789274147</c:v>
                </c:pt>
                <c:pt idx="32">
                  <c:v>0.93910201499354218</c:v>
                </c:pt>
                <c:pt idx="33">
                  <c:v>-0.50472780352659885</c:v>
                </c:pt>
                <c:pt idx="34">
                  <c:v>-0.76724552453108652</c:v>
                </c:pt>
                <c:pt idx="35">
                  <c:v>-1.2712216938226724</c:v>
                </c:pt>
                <c:pt idx="36">
                  <c:v>0.27969825456171127</c:v>
                </c:pt>
                <c:pt idx="37">
                  <c:v>0.72729914083169778</c:v>
                </c:pt>
                <c:pt idx="38">
                  <c:v>0.80539560488772288</c:v>
                </c:pt>
                <c:pt idx="39">
                  <c:v>-0.34015402475930545</c:v>
                </c:pt>
                <c:pt idx="40">
                  <c:v>0.8586447486963571</c:v>
                </c:pt>
                <c:pt idx="41">
                  <c:v>0.8675858108945117</c:v>
                </c:pt>
                <c:pt idx="42">
                  <c:v>1.3503136121773469</c:v>
                </c:pt>
                <c:pt idx="43">
                  <c:v>-0.73534476773523816</c:v>
                </c:pt>
                <c:pt idx="44">
                  <c:v>-1.3879316172562517</c:v>
                </c:pt>
                <c:pt idx="45">
                  <c:v>-0.26913195325044026</c:v>
                </c:pt>
                <c:pt idx="46">
                  <c:v>-0.54897412018810221</c:v>
                </c:pt>
                <c:pt idx="47">
                  <c:v>1.2775355841188252</c:v>
                </c:pt>
                <c:pt idx="48">
                  <c:v>0.1060355855913865</c:v>
                </c:pt>
                <c:pt idx="49">
                  <c:v>-4.4363575410768567E-2</c:v>
                </c:pt>
                <c:pt idx="50">
                  <c:v>-0.18689697648091311</c:v>
                </c:pt>
                <c:pt idx="51">
                  <c:v>-0.64688128425350599</c:v>
                </c:pt>
                <c:pt idx="52">
                  <c:v>-1.2814503982605907</c:v>
                </c:pt>
                <c:pt idx="53">
                  <c:v>-1.4954199035695033</c:v>
                </c:pt>
                <c:pt idx="54">
                  <c:v>-0.42723179176768761</c:v>
                </c:pt>
                <c:pt idx="55">
                  <c:v>-1.5695016868528551</c:v>
                </c:pt>
                <c:pt idx="56">
                  <c:v>-1.992928833338022</c:v>
                </c:pt>
                <c:pt idx="57">
                  <c:v>-1.1563723933311598</c:v>
                </c:pt>
                <c:pt idx="58">
                  <c:v>-0.12864918808917616</c:v>
                </c:pt>
                <c:pt idx="59">
                  <c:v>1.7651058721613537</c:v>
                </c:pt>
                <c:pt idx="60">
                  <c:v>1.3073690584214468</c:v>
                </c:pt>
                <c:pt idx="61">
                  <c:v>0.67542146885303633</c:v>
                </c:pt>
                <c:pt idx="62">
                  <c:v>7.4628104676789861E-2</c:v>
                </c:pt>
                <c:pt idx="63">
                  <c:v>-0.33057418006754624</c:v>
                </c:pt>
                <c:pt idx="64">
                  <c:v>-0.90509417160994998</c:v>
                </c:pt>
                <c:pt idx="65">
                  <c:v>-1.3051184806509919</c:v>
                </c:pt>
              </c:numCache>
            </c:numRef>
          </c:xVal>
          <c:yVal>
            <c:numRef>
              <c:f>'SR + catch data Murdoch_age var'!$AI$3:$AI$68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0-8506-49C0-8B15-2BA52FAA724D}"/>
            </c:ext>
          </c:extLst>
        </c:ser>
        <c:dLbls>
          <c:showLegendKey val="0"/>
          <c:showVal val="0"/>
          <c:showCatName val="0"/>
          <c:showSerName val="0"/>
          <c:showPercent val="0"/>
          <c:showBubbleSize val="0"/>
        </c:dLbls>
        <c:axId val="914733471"/>
        <c:axId val="914761343"/>
      </c:scatterChart>
      <c:valAx>
        <c:axId val="91473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Adult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61343"/>
        <c:crossesAt val="-3"/>
        <c:crossBetween val="midCat"/>
      </c:valAx>
      <c:valAx>
        <c:axId val="914761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Juvenile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33471"/>
        <c:crossesAt val="-3"/>
        <c:crossBetween val="midCat"/>
      </c:valAx>
      <c:spPr>
        <a:noFill/>
        <a:ln>
          <a:noFill/>
        </a:ln>
        <a:effectLst/>
      </c:spPr>
    </c:plotArea>
    <c:legend>
      <c:legendPos val="r"/>
      <c:layout>
        <c:manualLayout>
          <c:xMode val="edge"/>
          <c:yMode val="edge"/>
          <c:x val="0.6820684601924758"/>
          <c:y val="0.37368000874890633"/>
          <c:w val="0.31793153980752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06146106736659"/>
                  <c:y val="-9.67111402741324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Steelhead'!$O$34:$O$73</c:f>
              <c:numCache>
                <c:formatCode>General</c:formatCode>
                <c:ptCount val="40"/>
                <c:pt idx="0">
                  <c:v>0.44112959373981253</c:v>
                </c:pt>
                <c:pt idx="1">
                  <c:v>2.0938123210501129</c:v>
                </c:pt>
                <c:pt idx="2">
                  <c:v>1.0890535670857977</c:v>
                </c:pt>
                <c:pt idx="3">
                  <c:v>0.68071373007315739</c:v>
                </c:pt>
                <c:pt idx="4">
                  <c:v>0.50274884991717816</c:v>
                </c:pt>
                <c:pt idx="5">
                  <c:v>0.86007157247421828</c:v>
                </c:pt>
                <c:pt idx="6">
                  <c:v>-8.9291291215376267E-2</c:v>
                </c:pt>
                <c:pt idx="7">
                  <c:v>3.8486717951144583E-2</c:v>
                </c:pt>
                <c:pt idx="8">
                  <c:v>9.4724864172051032E-2</c:v>
                </c:pt>
                <c:pt idx="9">
                  <c:v>0.89014574399401358</c:v>
                </c:pt>
                <c:pt idx="10">
                  <c:v>0.83815433049603982</c:v>
                </c:pt>
                <c:pt idx="11">
                  <c:v>0.94011875929672217</c:v>
                </c:pt>
                <c:pt idx="12">
                  <c:v>-1.9742187278807666E-2</c:v>
                </c:pt>
                <c:pt idx="13">
                  <c:v>1.011248370686114</c:v>
                </c:pt>
                <c:pt idx="14">
                  <c:v>-5.2356649524584575E-2</c:v>
                </c:pt>
                <c:pt idx="15">
                  <c:v>0.37385805802196825</c:v>
                </c:pt>
                <c:pt idx="16">
                  <c:v>-0.40833438807304911</c:v>
                </c:pt>
                <c:pt idx="17">
                  <c:v>0.49205907520176578</c:v>
                </c:pt>
                <c:pt idx="18">
                  <c:v>0.35702899052852238</c:v>
                </c:pt>
                <c:pt idx="19">
                  <c:v>2.7078054476988606E-2</c:v>
                </c:pt>
                <c:pt idx="20">
                  <c:v>-0.41542998226265504</c:v>
                </c:pt>
                <c:pt idx="21">
                  <c:v>0.65981191238132753</c:v>
                </c:pt>
                <c:pt idx="22">
                  <c:v>-0.1512064664045395</c:v>
                </c:pt>
                <c:pt idx="23">
                  <c:v>-0.85740049280777542</c:v>
                </c:pt>
                <c:pt idx="24">
                  <c:v>-0.29243060406275739</c:v>
                </c:pt>
                <c:pt idx="25">
                  <c:v>-0.38187988311862719</c:v>
                </c:pt>
                <c:pt idx="26">
                  <c:v>-1.1144637761863732</c:v>
                </c:pt>
                <c:pt idx="27">
                  <c:v>-0.92682025790773137</c:v>
                </c:pt>
                <c:pt idx="28">
                  <c:v>0.22031095429980274</c:v>
                </c:pt>
                <c:pt idx="29">
                  <c:v>-0.23923608422338349</c:v>
                </c:pt>
                <c:pt idx="30">
                  <c:v>0.57811069990849717</c:v>
                </c:pt>
                <c:pt idx="31">
                  <c:v>0.14906388447313251</c:v>
                </c:pt>
                <c:pt idx="32">
                  <c:v>-0.64412949968030442</c:v>
                </c:pt>
                <c:pt idx="33">
                  <c:v>-1.3939958685496163</c:v>
                </c:pt>
                <c:pt idx="34">
                  <c:v>-1.8731638816369844</c:v>
                </c:pt>
                <c:pt idx="35">
                  <c:v>-1.7297655492472122</c:v>
                </c:pt>
                <c:pt idx="36">
                  <c:v>-1.4558687013012763</c:v>
                </c:pt>
                <c:pt idx="37">
                  <c:v>-1.0203342349367366</c:v>
                </c:pt>
                <c:pt idx="38">
                  <c:v>-0.94815211048695813</c:v>
                </c:pt>
                <c:pt idx="39">
                  <c:v>0.39262097401513607</c:v>
                </c:pt>
              </c:numCache>
            </c:numRef>
          </c:xVal>
          <c:yVal>
            <c:numRef>
              <c:f>'Thompson Steelhead'!$P$34:$P$73</c:f>
              <c:numCache>
                <c:formatCode>General</c:formatCode>
                <c:ptCount val="40"/>
                <c:pt idx="0">
                  <c:v>1.2836508846612447</c:v>
                </c:pt>
                <c:pt idx="1">
                  <c:v>0.44112959373981253</c:v>
                </c:pt>
                <c:pt idx="2">
                  <c:v>2.0938123210501129</c:v>
                </c:pt>
                <c:pt idx="3">
                  <c:v>1.0890535670857977</c:v>
                </c:pt>
                <c:pt idx="4">
                  <c:v>0.68071373007315739</c:v>
                </c:pt>
                <c:pt idx="5">
                  <c:v>0.50274884991717816</c:v>
                </c:pt>
                <c:pt idx="6">
                  <c:v>0.86007157247421828</c:v>
                </c:pt>
                <c:pt idx="7">
                  <c:v>-8.9291291215376267E-2</c:v>
                </c:pt>
                <c:pt idx="8">
                  <c:v>3.8486717951144583E-2</c:v>
                </c:pt>
                <c:pt idx="9">
                  <c:v>9.4724864172051032E-2</c:v>
                </c:pt>
                <c:pt idx="10">
                  <c:v>0.89014574399401358</c:v>
                </c:pt>
                <c:pt idx="11">
                  <c:v>0.83815433049603982</c:v>
                </c:pt>
                <c:pt idx="12">
                  <c:v>0.94011875929672217</c:v>
                </c:pt>
                <c:pt idx="13">
                  <c:v>-1.9742187278807666E-2</c:v>
                </c:pt>
                <c:pt idx="14">
                  <c:v>1.011248370686114</c:v>
                </c:pt>
                <c:pt idx="15">
                  <c:v>-5.2356649524584575E-2</c:v>
                </c:pt>
                <c:pt idx="16">
                  <c:v>0.37385805802196825</c:v>
                </c:pt>
                <c:pt idx="17">
                  <c:v>-0.40833438807304911</c:v>
                </c:pt>
                <c:pt idx="18">
                  <c:v>0.49205907520176578</c:v>
                </c:pt>
                <c:pt idx="19">
                  <c:v>0.35702899052852238</c:v>
                </c:pt>
                <c:pt idx="20">
                  <c:v>2.7078054476988606E-2</c:v>
                </c:pt>
                <c:pt idx="21">
                  <c:v>-0.41542998226265504</c:v>
                </c:pt>
                <c:pt idx="22">
                  <c:v>0.65981191238132753</c:v>
                </c:pt>
                <c:pt idx="23">
                  <c:v>-0.1512064664045395</c:v>
                </c:pt>
                <c:pt idx="24">
                  <c:v>-0.85740049280777542</c:v>
                </c:pt>
                <c:pt idx="25">
                  <c:v>-0.29243060406275739</c:v>
                </c:pt>
                <c:pt idx="26">
                  <c:v>-0.38187988311862719</c:v>
                </c:pt>
                <c:pt idx="27">
                  <c:v>-1.1144637761863732</c:v>
                </c:pt>
                <c:pt idx="28">
                  <c:v>-0.92682025790773137</c:v>
                </c:pt>
                <c:pt idx="29">
                  <c:v>0.22031095429980274</c:v>
                </c:pt>
                <c:pt idx="30">
                  <c:v>-0.23923608422338349</c:v>
                </c:pt>
                <c:pt idx="31">
                  <c:v>0.57811069990849717</c:v>
                </c:pt>
                <c:pt idx="32">
                  <c:v>0.14906388447313251</c:v>
                </c:pt>
                <c:pt idx="33">
                  <c:v>-0.64412949968030442</c:v>
                </c:pt>
                <c:pt idx="34">
                  <c:v>-1.3939958685496163</c:v>
                </c:pt>
                <c:pt idx="35">
                  <c:v>-1.8731638816369844</c:v>
                </c:pt>
                <c:pt idx="36">
                  <c:v>-1.7297655492472122</c:v>
                </c:pt>
                <c:pt idx="37">
                  <c:v>-1.4558687013012763</c:v>
                </c:pt>
                <c:pt idx="38">
                  <c:v>-1.0203342349367366</c:v>
                </c:pt>
                <c:pt idx="39">
                  <c:v>-0.94815211048695813</c:v>
                </c:pt>
              </c:numCache>
            </c:numRef>
          </c:yVal>
          <c:smooth val="0"/>
          <c:extLst>
            <c:ext xmlns:c16="http://schemas.microsoft.com/office/drawing/2014/chart" uri="{C3380CC4-5D6E-409C-BE32-E72D297353CC}">
              <c16:uniqueId val="{00000000-9664-4266-B5C7-7ABA974D81EB}"/>
            </c:ext>
          </c:extLst>
        </c:ser>
        <c:dLbls>
          <c:showLegendKey val="0"/>
          <c:showVal val="0"/>
          <c:showCatName val="0"/>
          <c:showSerName val="0"/>
          <c:showPercent val="0"/>
          <c:showBubbleSize val="0"/>
        </c:dLbls>
        <c:axId val="1921128895"/>
        <c:axId val="1921123071"/>
      </c:scatterChart>
      <c:valAx>
        <c:axId val="19211288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3071"/>
        <c:crosses val="autoZero"/>
        <c:crossBetween val="midCat"/>
      </c:valAx>
      <c:valAx>
        <c:axId val="19211230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8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'Thompson Steelhead'!$K$8</c:f>
              <c:strCache>
                <c:ptCount val="1"/>
                <c:pt idx="0">
                  <c:v>ln(R/S)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2064549382580659"/>
                  <c:y val="-0.375391283053291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Steelhead'!$E$9:$E$49</c:f>
              <c:numCache>
                <c:formatCode>General</c:formatCode>
                <c:ptCount val="41"/>
                <c:pt idx="0">
                  <c:v>1.6659999999999999</c:v>
                </c:pt>
                <c:pt idx="1">
                  <c:v>1.6659999999999999</c:v>
                </c:pt>
                <c:pt idx="2">
                  <c:v>0.95199999999999996</c:v>
                </c:pt>
                <c:pt idx="3">
                  <c:v>1.2470000000000001</c:v>
                </c:pt>
                <c:pt idx="4">
                  <c:v>1.19</c:v>
                </c:pt>
                <c:pt idx="5">
                  <c:v>2.8570000000000002</c:v>
                </c:pt>
                <c:pt idx="6">
                  <c:v>1.1200000000000001</c:v>
                </c:pt>
                <c:pt idx="7">
                  <c:v>3.51</c:v>
                </c:pt>
                <c:pt idx="8">
                  <c:v>2.33</c:v>
                </c:pt>
                <c:pt idx="9">
                  <c:v>1.68</c:v>
                </c:pt>
                <c:pt idx="10">
                  <c:v>1.5</c:v>
                </c:pt>
                <c:pt idx="11">
                  <c:v>1.67</c:v>
                </c:pt>
                <c:pt idx="12">
                  <c:v>1.2</c:v>
                </c:pt>
                <c:pt idx="13">
                  <c:v>1.2</c:v>
                </c:pt>
                <c:pt idx="14">
                  <c:v>0.9</c:v>
                </c:pt>
                <c:pt idx="15">
                  <c:v>2.96</c:v>
                </c:pt>
                <c:pt idx="16">
                  <c:v>2.66</c:v>
                </c:pt>
                <c:pt idx="17">
                  <c:v>2.59</c:v>
                </c:pt>
                <c:pt idx="18">
                  <c:v>1.02</c:v>
                </c:pt>
                <c:pt idx="19">
                  <c:v>3</c:v>
                </c:pt>
                <c:pt idx="20">
                  <c:v>1.47</c:v>
                </c:pt>
                <c:pt idx="21">
                  <c:v>2.52</c:v>
                </c:pt>
                <c:pt idx="22">
                  <c:v>1.5</c:v>
                </c:pt>
                <c:pt idx="23">
                  <c:v>1.81</c:v>
                </c:pt>
                <c:pt idx="24">
                  <c:v>3.16</c:v>
                </c:pt>
                <c:pt idx="25">
                  <c:v>1.48</c:v>
                </c:pt>
                <c:pt idx="26">
                  <c:v>0.95</c:v>
                </c:pt>
                <c:pt idx="27">
                  <c:v>2.44</c:v>
                </c:pt>
                <c:pt idx="28">
                  <c:v>1.66</c:v>
                </c:pt>
                <c:pt idx="29">
                  <c:v>0.74</c:v>
                </c:pt>
                <c:pt idx="30">
                  <c:v>1.1599999999999999</c:v>
                </c:pt>
                <c:pt idx="31">
                  <c:v>0.69</c:v>
                </c:pt>
                <c:pt idx="32">
                  <c:v>0.59</c:v>
                </c:pt>
                <c:pt idx="33">
                  <c:v>0.52</c:v>
                </c:pt>
                <c:pt idx="34">
                  <c:v>1</c:v>
                </c:pt>
                <c:pt idx="35">
                  <c:v>1.0900000000000001</c:v>
                </c:pt>
                <c:pt idx="36">
                  <c:v>1.3</c:v>
                </c:pt>
                <c:pt idx="37">
                  <c:v>0.85</c:v>
                </c:pt>
                <c:pt idx="38">
                  <c:v>0.36</c:v>
                </c:pt>
                <c:pt idx="39">
                  <c:v>0.24</c:v>
                </c:pt>
                <c:pt idx="40">
                  <c:v>0.15</c:v>
                </c:pt>
              </c:numCache>
            </c:numRef>
          </c:xVal>
          <c:yVal>
            <c:numRef>
              <c:f>'Thompson Steelhead'!$K$9:$K$49</c:f>
              <c:numCache>
                <c:formatCode>0.00</c:formatCode>
                <c:ptCount val="41"/>
                <c:pt idx="0">
                  <c:v>1.3995613068480541</c:v>
                </c:pt>
                <c:pt idx="1">
                  <c:v>0.557040015926622</c:v>
                </c:pt>
                <c:pt idx="2">
                  <c:v>2.4042729061425714</c:v>
                </c:pt>
                <c:pt idx="3">
                  <c:v>1.3191327823502919</c:v>
                </c:pt>
                <c:pt idx="4">
                  <c:v>0.92632426086373287</c:v>
                </c:pt>
                <c:pt idx="5">
                  <c:v>0.29413652137481666</c:v>
                </c:pt>
                <c:pt idx="6">
                  <c:v>1.1247556486477006</c:v>
                </c:pt>
                <c:pt idx="7">
                  <c:v>-0.47583255025828242</c:v>
                </c:pt>
                <c:pt idx="8">
                  <c:v>-2.6529061779904519E-2</c:v>
                </c:pt>
                <c:pt idx="9">
                  <c:v>0.20682057728227912</c:v>
                </c:pt>
                <c:pt idx="10">
                  <c:v>1.0512877166602876</c:v>
                </c:pt>
                <c:pt idx="11">
                  <c:v>0.95297483580382603</c:v>
                </c:pt>
                <c:pt idx="12">
                  <c:v>1.1830044978897396</c:v>
                </c:pt>
                <c:pt idx="13">
                  <c:v>0.22314355131420976</c:v>
                </c:pt>
                <c:pt idx="14">
                  <c:v>1.3358778752058746</c:v>
                </c:pt>
                <c:pt idx="15">
                  <c:v>-0.2890343377017946</c:v>
                </c:pt>
                <c:pt idx="16">
                  <c:v>0.21892413577150149</c:v>
                </c:pt>
                <c:pt idx="17">
                  <c:v>-0.54419476494060903</c:v>
                </c:pt>
                <c:pt idx="18">
                  <c:v>0.78399107335082918</c:v>
                </c:pt>
                <c:pt idx="19">
                  <c:v>0.10945213356107979</c:v>
                </c:pt>
                <c:pt idx="20">
                  <c:v>0.19639440373593706</c:v>
                </c:pt>
                <c:pt idx="21">
                  <c:v>-0.53221681374730823</c:v>
                </c:pt>
                <c:pt idx="22">
                  <c:v>0.82095388504760158</c:v>
                </c:pt>
                <c:pt idx="23">
                  <c:v>-7.4533051862566868E-2</c:v>
                </c:pt>
                <c:pt idx="24">
                  <c:v>-1.1485740249361478</c:v>
                </c:pt>
                <c:pt idx="25">
                  <c:v>-0.12583904700136705</c:v>
                </c:pt>
                <c:pt idx="26">
                  <c:v>-7.0874339586656995E-2</c:v>
                </c:pt>
                <c:pt idx="27">
                  <c:v>-1.2094522700905614</c:v>
                </c:pt>
                <c:pt idx="28">
                  <c:v>-0.80927496040238711</c:v>
                </c:pt>
                <c:pt idx="29">
                  <c:v>0.58853713398049323</c:v>
                </c:pt>
                <c:pt idx="30">
                  <c:v>1.4548823159866388E-2</c:v>
                </c:pt>
                <c:pt idx="31">
                  <c:v>0.95996084057697828</c:v>
                </c:pt>
                <c:pt idx="32">
                  <c:v>0.55816194711719469</c:v>
                </c:pt>
                <c:pt idx="33">
                  <c:v>-0.21595789165333543</c:v>
                </c:pt>
                <c:pt idx="34">
                  <c:v>-1.0966142860054366</c:v>
                </c:pt>
                <c:pt idx="35">
                  <c:v>-1.6003054288708278</c:v>
                </c:pt>
                <c:pt idx="36">
                  <c:v>-1.5141277326297757</c:v>
                </c:pt>
                <c:pt idx="37">
                  <c:v>-1.117615235793725</c:v>
                </c:pt>
                <c:pt idx="38">
                  <c:v>-0.54856595174883782</c:v>
                </c:pt>
                <c:pt idx="39">
                  <c:v>-0.44368632092836208</c:v>
                </c:pt>
                <c:pt idx="40">
                  <c:v>0.92160989335175514</c:v>
                </c:pt>
              </c:numCache>
            </c:numRef>
          </c:yVal>
          <c:smooth val="0"/>
          <c:extLst>
            <c:ext xmlns:c16="http://schemas.microsoft.com/office/drawing/2014/chart" uri="{C3380CC4-5D6E-409C-BE32-E72D297353CC}">
              <c16:uniqueId val="{00000000-1774-4599-9AEA-944CD651C70E}"/>
            </c:ext>
          </c:extLst>
        </c:ser>
        <c:dLbls>
          <c:showLegendKey val="0"/>
          <c:showVal val="0"/>
          <c:showCatName val="0"/>
          <c:showSerName val="0"/>
          <c:showPercent val="0"/>
          <c:showBubbleSize val="0"/>
        </c:dLbls>
        <c:axId val="1249961840"/>
        <c:axId val="1249962672"/>
      </c:scatterChart>
      <c:valAx>
        <c:axId val="1249961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2672"/>
        <c:crosses val="autoZero"/>
        <c:crossBetween val="midCat"/>
      </c:valAx>
      <c:valAx>
        <c:axId val="12499626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1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'Thompson Steelhead'!$BN$37</c:f>
              <c:strCache>
                <c:ptCount val="1"/>
                <c:pt idx="0">
                  <c:v>Standard 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'Thompson Steelhead'!$BK$38:$BK$78</c:f>
              <c:numCache>
                <c:formatCode>General</c:formatCode>
                <c:ptCount val="4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numCache>
            </c:numRef>
          </c:xVal>
          <c:yVal>
            <c:numRef>
              <c:f>'Thompson Steelhead'!$BN$38:$BN$78</c:f>
              <c:numCache>
                <c:formatCode>General</c:formatCode>
                <c:ptCount val="41"/>
                <c:pt idx="0">
                  <c:v>0.69400199728927214</c:v>
                </c:pt>
                <c:pt idx="1">
                  <c:v>-0.64596953774875476</c:v>
                </c:pt>
                <c:pt idx="2">
                  <c:v>1.2501996217320475</c:v>
                </c:pt>
                <c:pt idx="3">
                  <c:v>5.4453195421374424E-2</c:v>
                </c:pt>
                <c:pt idx="4">
                  <c:v>-1.5920326557613438</c:v>
                </c:pt>
                <c:pt idx="5">
                  <c:v>0.54796412064329036</c:v>
                </c:pt>
                <c:pt idx="6">
                  <c:v>-0.39689795971568059</c:v>
                </c:pt>
                <c:pt idx="7">
                  <c:v>0.23675205853564046</c:v>
                </c:pt>
                <c:pt idx="8">
                  <c:v>-1.0316812673816895</c:v>
                </c:pt>
                <c:pt idx="9">
                  <c:v>-0.46210706676525121</c:v>
                </c:pt>
                <c:pt idx="10">
                  <c:v>0.86196412861800464</c:v>
                </c:pt>
                <c:pt idx="11">
                  <c:v>0.41672658807042728</c:v>
                </c:pt>
                <c:pt idx="12">
                  <c:v>0.42772238641178045</c:v>
                </c:pt>
                <c:pt idx="13">
                  <c:v>-1.3086557413401818</c:v>
                </c:pt>
                <c:pt idx="14">
                  <c:v>0.82224432476232923</c:v>
                </c:pt>
                <c:pt idx="15">
                  <c:v>0.47114415945988214</c:v>
                </c:pt>
                <c:pt idx="16">
                  <c:v>1.4896692638938673</c:v>
                </c:pt>
                <c:pt idx="17">
                  <c:v>0.12322045196879751</c:v>
                </c:pt>
                <c:pt idx="18">
                  <c:v>-0.14504147051683264</c:v>
                </c:pt>
                <c:pt idx="19">
                  <c:v>1.1695401992223504</c:v>
                </c:pt>
                <c:pt idx="20">
                  <c:v>-4.9616812799647726E-2</c:v>
                </c:pt>
                <c:pt idx="21">
                  <c:v>-0.64160374589500846</c:v>
                </c:pt>
                <c:pt idx="22">
                  <c:v>1.0956029593380077</c:v>
                </c:pt>
                <c:pt idx="23">
                  <c:v>-0.18860231467270933</c:v>
                </c:pt>
                <c:pt idx="24">
                  <c:v>0.35869181350346963</c:v>
                </c:pt>
                <c:pt idx="25">
                  <c:v>-5.2848351112709607E-2</c:v>
                </c:pt>
                <c:pt idx="26">
                  <c:v>-1.1982275036904542</c:v>
                </c:pt>
                <c:pt idx="27">
                  <c:v>-1.1328338144524008</c:v>
                </c:pt>
                <c:pt idx="28">
                  <c:v>-1.505764998442205</c:v>
                </c:pt>
                <c:pt idx="29">
                  <c:v>0.26593696601195188</c:v>
                </c:pt>
                <c:pt idx="30">
                  <c:v>0.10860769855608107</c:v>
                </c:pt>
                <c:pt idx="31">
                  <c:v>1.5018843824971866</c:v>
                </c:pt>
                <c:pt idx="32">
                  <c:v>0.1981608820394844</c:v>
                </c:pt>
                <c:pt idx="33">
                  <c:v>-0.61469433211550673</c:v>
                </c:pt>
                <c:pt idx="34">
                  <c:v>-0.93690125294197601</c:v>
                </c:pt>
                <c:pt idx="35">
                  <c:v>-1.8592920823119881</c:v>
                </c:pt>
                <c:pt idx="36">
                  <c:v>-0.80661477603852361</c:v>
                </c:pt>
                <c:pt idx="37">
                  <c:v>-0.97646697994109188</c:v>
                </c:pt>
                <c:pt idx="38">
                  <c:v>-0.45035276965119631</c:v>
                </c:pt>
                <c:pt idx="39">
                  <c:v>0.81093514483937978</c:v>
                </c:pt>
                <c:pt idx="40">
                  <c:v>3.0907830904805262</c:v>
                </c:pt>
              </c:numCache>
            </c:numRef>
          </c:yVal>
          <c:smooth val="0"/>
          <c:extLst>
            <c:ext xmlns:c16="http://schemas.microsoft.com/office/drawing/2014/chart" uri="{C3380CC4-5D6E-409C-BE32-E72D297353CC}">
              <c16:uniqueId val="{00000000-4A87-4B63-8C19-E211052DD109}"/>
            </c:ext>
          </c:extLst>
        </c:ser>
        <c:dLbls>
          <c:showLegendKey val="0"/>
          <c:showVal val="0"/>
          <c:showCatName val="0"/>
          <c:showSerName val="0"/>
          <c:showPercent val="0"/>
          <c:showBubbleSize val="0"/>
        </c:dLbls>
        <c:axId val="1798361279"/>
        <c:axId val="1798362719"/>
      </c:scatterChart>
      <c:valAx>
        <c:axId val="179836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62719"/>
        <c:crosses val="autoZero"/>
        <c:crossBetween val="midCat"/>
      </c:valAx>
      <c:valAx>
        <c:axId val="179836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612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8551859142607172"/>
                  <c:y val="-5.59722222222222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'Chilcotin River steelhead'!$O$34:$O$77</c:f>
              <c:numCache>
                <c:formatCode>General</c:formatCode>
                <c:ptCount val="44"/>
                <c:pt idx="0">
                  <c:v>0.71370309438062063</c:v>
                </c:pt>
                <c:pt idx="1">
                  <c:v>0.69768885552133553</c:v>
                </c:pt>
                <c:pt idx="2">
                  <c:v>0.53783596944278655</c:v>
                </c:pt>
                <c:pt idx="3">
                  <c:v>1.4015096065830996</c:v>
                </c:pt>
                <c:pt idx="4">
                  <c:v>0.91865540063526663</c:v>
                </c:pt>
                <c:pt idx="5">
                  <c:v>1.7207374856412105</c:v>
                </c:pt>
                <c:pt idx="6">
                  <c:v>1.4827575109331137</c:v>
                </c:pt>
                <c:pt idx="7">
                  <c:v>1.7561551468239398</c:v>
                </c:pt>
                <c:pt idx="8">
                  <c:v>1.3468613226240558</c:v>
                </c:pt>
                <c:pt idx="9">
                  <c:v>0.40305471032894258</c:v>
                </c:pt>
                <c:pt idx="10">
                  <c:v>-0.10350472379531228</c:v>
                </c:pt>
                <c:pt idx="11">
                  <c:v>-0.37085092256960017</c:v>
                </c:pt>
                <c:pt idx="12">
                  <c:v>-0.12184258500100942</c:v>
                </c:pt>
                <c:pt idx="13">
                  <c:v>0.27139116486195064</c:v>
                </c:pt>
                <c:pt idx="14">
                  <c:v>8.1790004569589236E-2</c:v>
                </c:pt>
                <c:pt idx="15">
                  <c:v>0.66331642823578763</c:v>
                </c:pt>
                <c:pt idx="16">
                  <c:v>0.7826850531445978</c:v>
                </c:pt>
                <c:pt idx="17">
                  <c:v>0.83483859962106211</c:v>
                </c:pt>
                <c:pt idx="18">
                  <c:v>0.50503506919838204</c:v>
                </c:pt>
                <c:pt idx="19">
                  <c:v>-0.33906250025157608</c:v>
                </c:pt>
                <c:pt idx="20">
                  <c:v>-2.6950791678869775E-2</c:v>
                </c:pt>
                <c:pt idx="21">
                  <c:v>0.31796949032738642</c:v>
                </c:pt>
                <c:pt idx="22">
                  <c:v>0.69534507609962515</c:v>
                </c:pt>
                <c:pt idx="23">
                  <c:v>-0.15706666262294749</c:v>
                </c:pt>
                <c:pt idx="24">
                  <c:v>-0.34634322405498852</c:v>
                </c:pt>
                <c:pt idx="25">
                  <c:v>-0.50807363220154356</c:v>
                </c:pt>
                <c:pt idx="26">
                  <c:v>-0.33054756996136009</c:v>
                </c:pt>
                <c:pt idx="27">
                  <c:v>-0.87823755837625384</c:v>
                </c:pt>
                <c:pt idx="28">
                  <c:v>-1.293101467566113</c:v>
                </c:pt>
                <c:pt idx="29">
                  <c:v>-1.0717755558871864</c:v>
                </c:pt>
                <c:pt idx="30">
                  <c:v>-0.22197567224234932</c:v>
                </c:pt>
                <c:pt idx="31">
                  <c:v>-0.25558034703249644</c:v>
                </c:pt>
                <c:pt idx="32">
                  <c:v>-0.42756612521730863</c:v>
                </c:pt>
                <c:pt idx="33">
                  <c:v>0.15141334367345599</c:v>
                </c:pt>
                <c:pt idx="34">
                  <c:v>1.5065877555692921</c:v>
                </c:pt>
                <c:pt idx="35">
                  <c:v>0.41889996333471113</c:v>
                </c:pt>
                <c:pt idx="36">
                  <c:v>0.3937190497045886</c:v>
                </c:pt>
                <c:pt idx="37">
                  <c:v>-0.75429527887016201</c:v>
                </c:pt>
                <c:pt idx="38">
                  <c:v>-1.0629648822488478</c:v>
                </c:pt>
                <c:pt idx="39">
                  <c:v>-1.465142036529508</c:v>
                </c:pt>
                <c:pt idx="40">
                  <c:v>-2.8395966881073127</c:v>
                </c:pt>
                <c:pt idx="41">
                  <c:v>-2.9822887180691708</c:v>
                </c:pt>
                <c:pt idx="42">
                  <c:v>-1.5849775852931196</c:v>
                </c:pt>
                <c:pt idx="43">
                  <c:v>-0.86116243663288117</c:v>
                </c:pt>
              </c:numCache>
            </c:numRef>
          </c:xVal>
          <c:yVal>
            <c:numRef>
              <c:f>'Chilcotin River steelhead'!$P$34:$P$77</c:f>
              <c:numCache>
                <c:formatCode>General</c:formatCode>
                <c:ptCount val="44"/>
                <c:pt idx="0">
                  <c:v>0.40095686295512134</c:v>
                </c:pt>
                <c:pt idx="1">
                  <c:v>0.71370309438062063</c:v>
                </c:pt>
                <c:pt idx="2">
                  <c:v>0.69768885552133553</c:v>
                </c:pt>
                <c:pt idx="3">
                  <c:v>0.53783596944278655</c:v>
                </c:pt>
                <c:pt idx="4">
                  <c:v>1.4015096065830996</c:v>
                </c:pt>
                <c:pt idx="5">
                  <c:v>0.91865540063526663</c:v>
                </c:pt>
                <c:pt idx="6">
                  <c:v>1.7207374856412105</c:v>
                </c:pt>
                <c:pt idx="7">
                  <c:v>1.4827575109331137</c:v>
                </c:pt>
                <c:pt idx="8">
                  <c:v>1.7561551468239398</c:v>
                </c:pt>
                <c:pt idx="9">
                  <c:v>1.3468613226240558</c:v>
                </c:pt>
                <c:pt idx="10">
                  <c:v>0.40305471032894258</c:v>
                </c:pt>
                <c:pt idx="11">
                  <c:v>-0.10350472379531228</c:v>
                </c:pt>
                <c:pt idx="12">
                  <c:v>-0.37085092256960017</c:v>
                </c:pt>
                <c:pt idx="13">
                  <c:v>-0.12184258500100942</c:v>
                </c:pt>
                <c:pt idx="14">
                  <c:v>0.27139116486195064</c:v>
                </c:pt>
                <c:pt idx="15">
                  <c:v>8.1790004569589236E-2</c:v>
                </c:pt>
                <c:pt idx="16">
                  <c:v>0.66331642823578763</c:v>
                </c:pt>
                <c:pt idx="17">
                  <c:v>0.7826850531445978</c:v>
                </c:pt>
                <c:pt idx="18">
                  <c:v>0.83483859962106211</c:v>
                </c:pt>
                <c:pt idx="19">
                  <c:v>0.50503506919838204</c:v>
                </c:pt>
                <c:pt idx="20">
                  <c:v>-0.33906250025157608</c:v>
                </c:pt>
                <c:pt idx="21">
                  <c:v>-2.6950791678869775E-2</c:v>
                </c:pt>
                <c:pt idx="22">
                  <c:v>0.31796949032738642</c:v>
                </c:pt>
                <c:pt idx="23">
                  <c:v>0.69534507609962515</c:v>
                </c:pt>
                <c:pt idx="24">
                  <c:v>-0.15706666262294749</c:v>
                </c:pt>
                <c:pt idx="25">
                  <c:v>-0.34634322405498852</c:v>
                </c:pt>
                <c:pt idx="26">
                  <c:v>-0.50807363220154356</c:v>
                </c:pt>
                <c:pt idx="27">
                  <c:v>-0.33054756996136009</c:v>
                </c:pt>
                <c:pt idx="28">
                  <c:v>-0.87823755837625384</c:v>
                </c:pt>
                <c:pt idx="29">
                  <c:v>-1.293101467566113</c:v>
                </c:pt>
                <c:pt idx="30">
                  <c:v>-1.0717755558871864</c:v>
                </c:pt>
                <c:pt idx="31">
                  <c:v>-0.22197567224234932</c:v>
                </c:pt>
                <c:pt idx="32">
                  <c:v>-0.25558034703249644</c:v>
                </c:pt>
                <c:pt idx="33">
                  <c:v>-0.42756612521730863</c:v>
                </c:pt>
                <c:pt idx="34">
                  <c:v>0.15141334367345599</c:v>
                </c:pt>
                <c:pt idx="35">
                  <c:v>1.5065877555692921</c:v>
                </c:pt>
                <c:pt idx="36">
                  <c:v>0.41889996333471113</c:v>
                </c:pt>
                <c:pt idx="37">
                  <c:v>0.3937190497045886</c:v>
                </c:pt>
                <c:pt idx="38">
                  <c:v>-0.75429527887016201</c:v>
                </c:pt>
                <c:pt idx="39">
                  <c:v>-1.0629648822488478</c:v>
                </c:pt>
                <c:pt idx="40">
                  <c:v>-1.465142036529508</c:v>
                </c:pt>
                <c:pt idx="41">
                  <c:v>-2.8395966881073127</c:v>
                </c:pt>
                <c:pt idx="42">
                  <c:v>-2.9822887180691708</c:v>
                </c:pt>
                <c:pt idx="43">
                  <c:v>-1.5849775852931196</c:v>
                </c:pt>
              </c:numCache>
            </c:numRef>
          </c:yVal>
          <c:smooth val="0"/>
          <c:extLst>
            <c:ext xmlns:c16="http://schemas.microsoft.com/office/drawing/2014/chart" uri="{C3380CC4-5D6E-409C-BE32-E72D297353CC}">
              <c16:uniqueId val="{00000000-731E-4AF3-971F-67B7859284BC}"/>
            </c:ext>
          </c:extLst>
        </c:ser>
        <c:dLbls>
          <c:showLegendKey val="0"/>
          <c:showVal val="0"/>
          <c:showCatName val="0"/>
          <c:showSerName val="0"/>
          <c:showPercent val="0"/>
          <c:showBubbleSize val="0"/>
        </c:dLbls>
        <c:axId val="162326287"/>
        <c:axId val="162328783"/>
      </c:scatterChart>
      <c:valAx>
        <c:axId val="1623262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8783"/>
        <c:crosses val="autoZero"/>
        <c:crossBetween val="midCat"/>
      </c:valAx>
      <c:valAx>
        <c:axId val="162328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covariates!$V$9</c:f>
              <c:strCache>
                <c:ptCount val="1"/>
                <c:pt idx="0">
                  <c:v>SSLs, control stopped 1970</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covariates!$U$10:$U$76</c:f>
              <c:numCache>
                <c:formatCode>0.00</c:formatCode>
                <c:ptCount val="67"/>
                <c:pt idx="0" formatCode="General">
                  <c:v>#N/A</c:v>
                </c:pt>
                <c:pt idx="1">
                  <c:v>-1.0984670611522276</c:v>
                </c:pt>
                <c:pt idx="2">
                  <c:v>0.85361448514897043</c:v>
                </c:pt>
                <c:pt idx="3">
                  <c:v>0.90303427113127921</c:v>
                </c:pt>
                <c:pt idx="4">
                  <c:v>3.8188016440875022E-2</c:v>
                </c:pt>
                <c:pt idx="5">
                  <c:v>-0.15949112748836022</c:v>
                </c:pt>
                <c:pt idx="6">
                  <c:v>-1.3702758840549263</c:v>
                </c:pt>
                <c:pt idx="7">
                  <c:v>-0.45600984338221306</c:v>
                </c:pt>
                <c:pt idx="8">
                  <c:v>-0.3571702714175955</c:v>
                </c:pt>
                <c:pt idx="9">
                  <c:v>0.73006502019319841</c:v>
                </c:pt>
                <c:pt idx="10">
                  <c:v>1.2736826659985954</c:v>
                </c:pt>
                <c:pt idx="11">
                  <c:v>-6.0651555523742504E-2</c:v>
                </c:pt>
                <c:pt idx="12">
                  <c:v>-0.45600984338221306</c:v>
                </c:pt>
                <c:pt idx="13">
                  <c:v>0.53238587626396305</c:v>
                </c:pt>
                <c:pt idx="14">
                  <c:v>-0.77723845226722044</c:v>
                </c:pt>
                <c:pt idx="15">
                  <c:v>-0.82665823824952933</c:v>
                </c:pt>
                <c:pt idx="16">
                  <c:v>-0.75252855927606599</c:v>
                </c:pt>
                <c:pt idx="17">
                  <c:v>-0.57955930833798519</c:v>
                </c:pt>
                <c:pt idx="18">
                  <c:v>-1.2467264190991543</c:v>
                </c:pt>
                <c:pt idx="19">
                  <c:v>1.3478123449720623E-2</c:v>
                </c:pt>
                <c:pt idx="20">
                  <c:v>3.8188016440875022E-2</c:v>
                </c:pt>
                <c:pt idx="21">
                  <c:v>-0.43129995039105873</c:v>
                </c:pt>
                <c:pt idx="22">
                  <c:v>-0.38188016440874983</c:v>
                </c:pt>
                <c:pt idx="23">
                  <c:v>-0.30775048543528666</c:v>
                </c:pt>
                <c:pt idx="24">
                  <c:v>0.70535512720204396</c:v>
                </c:pt>
                <c:pt idx="25">
                  <c:v>1.2242628800162865</c:v>
                </c:pt>
                <c:pt idx="26">
                  <c:v>1.4960717029189849</c:v>
                </c:pt>
                <c:pt idx="27">
                  <c:v>0.92774416412243355</c:v>
                </c:pt>
                <c:pt idx="28">
                  <c:v>-0.62897909432029397</c:v>
                </c:pt>
                <c:pt idx="29">
                  <c:v>-1.3455659910637718</c:v>
                </c:pt>
                <c:pt idx="30">
                  <c:v>-0.62897909432029397</c:v>
                </c:pt>
                <c:pt idx="31">
                  <c:v>-0.33246037842644105</c:v>
                </c:pt>
                <c:pt idx="32">
                  <c:v>0.28528694635241914</c:v>
                </c:pt>
                <c:pt idx="33">
                  <c:v>1.3478123449720623E-2</c:v>
                </c:pt>
                <c:pt idx="34">
                  <c:v>0.13702758840549265</c:v>
                </c:pt>
                <c:pt idx="35">
                  <c:v>-1.1231769541433823</c:v>
                </c:pt>
                <c:pt idx="36">
                  <c:v>0.28528694635241914</c:v>
                </c:pt>
                <c:pt idx="37">
                  <c:v>0.85361448514897043</c:v>
                </c:pt>
                <c:pt idx="38">
                  <c:v>0.87832437814012487</c:v>
                </c:pt>
                <c:pt idx="39">
                  <c:v>8.7607802423182862E-2</c:v>
                </c:pt>
                <c:pt idx="40">
                  <c:v>-0.85136813124068367</c:v>
                </c:pt>
                <c:pt idx="41">
                  <c:v>-0.28304059244413227</c:v>
                </c:pt>
                <c:pt idx="42">
                  <c:v>-2.1362825667807126</c:v>
                </c:pt>
                <c:pt idx="43">
                  <c:v>-1.9633133158426319</c:v>
                </c:pt>
                <c:pt idx="44">
                  <c:v>-1.3208560980726174</c:v>
                </c:pt>
                <c:pt idx="45">
                  <c:v>-0.67839888030260287</c:v>
                </c:pt>
                <c:pt idx="46">
                  <c:v>-1.1973066331168454</c:v>
                </c:pt>
                <c:pt idx="47">
                  <c:v>0.85361448514897043</c:v>
                </c:pt>
                <c:pt idx="48">
                  <c:v>1.4960717029189849</c:v>
                </c:pt>
                <c:pt idx="49">
                  <c:v>1.619621167874757</c:v>
                </c:pt>
                <c:pt idx="50">
                  <c:v>2.5585971015386249</c:v>
                </c:pt>
                <c:pt idx="51">
                  <c:v>1.9408497767597643</c:v>
                </c:pt>
                <c:pt idx="52">
                  <c:v>1.7184607398393745</c:v>
                </c:pt>
                <c:pt idx="53">
                  <c:v>0.35941662532588237</c:v>
                </c:pt>
                <c:pt idx="54">
                  <c:v>-1.4938253490106983</c:v>
                </c:pt>
                <c:pt idx="55">
                  <c:v>-0.99962748918761002</c:v>
                </c:pt>
                <c:pt idx="56">
                  <c:v>-0.30775048543528666</c:v>
                </c:pt>
                <c:pt idx="57">
                  <c:v>0.92774416412243355</c:v>
                </c:pt>
                <c:pt idx="58">
                  <c:v>0.45825619729049993</c:v>
                </c:pt>
                <c:pt idx="59">
                  <c:v>1.619621167874757</c:v>
                </c:pt>
                <c:pt idx="60">
                  <c:v>0.53238587626396305</c:v>
                </c:pt>
                <c:pt idx="61">
                  <c:v>0.5570957692551175</c:v>
                </c:pt>
                <c:pt idx="62">
                  <c:v>0.95245405711358799</c:v>
                </c:pt>
                <c:pt idx="63">
                  <c:v>-0.67839888030260287</c:v>
                </c:pt>
                <c:pt idx="64">
                  <c:v>-0.9254978102141469</c:v>
                </c:pt>
                <c:pt idx="65">
                  <c:v>0.13702758840549265</c:v>
                </c:pt>
                <c:pt idx="66">
                  <c:v>-0.85136813124068367</c:v>
                </c:pt>
              </c:numCache>
            </c:numRef>
          </c:xVal>
          <c:yVal>
            <c:numRef>
              <c:f>covariates!$V$10:$V$76</c:f>
              <c:numCache>
                <c:formatCode>0.00</c:formatCode>
                <c:ptCount val="67"/>
                <c:pt idx="0" formatCode="General">
                  <c:v>#N/A</c:v>
                </c:pt>
                <c:pt idx="1">
                  <c:v>0.21616787065846596</c:v>
                </c:pt>
                <c:pt idx="2">
                  <c:v>0.16409794103909278</c:v>
                </c:pt>
                <c:pt idx="3">
                  <c:v>-0.15610450774264295</c:v>
                </c:pt>
                <c:pt idx="4">
                  <c:v>-0.47382880251686166</c:v>
                </c:pt>
                <c:pt idx="5">
                  <c:v>-0.6324361183778815</c:v>
                </c:pt>
                <c:pt idx="6">
                  <c:v>-0.61854863050825093</c:v>
                </c:pt>
                <c:pt idx="7">
                  <c:v>-0.63022439690672305</c:v>
                </c:pt>
                <c:pt idx="8">
                  <c:v>-0.64877421733348783</c:v>
                </c:pt>
                <c:pt idx="9">
                  <c:v>-0.66732403776025306</c:v>
                </c:pt>
                <c:pt idx="10">
                  <c:v>-0.68587385818701796</c:v>
                </c:pt>
                <c:pt idx="11">
                  <c:v>-0.70442367861378297</c:v>
                </c:pt>
                <c:pt idx="12">
                  <c:v>-0.72297349904054808</c:v>
                </c:pt>
                <c:pt idx="13">
                  <c:v>-0.7415233194673132</c:v>
                </c:pt>
                <c:pt idx="14">
                  <c:v>-0.7600731398940781</c:v>
                </c:pt>
                <c:pt idx="15">
                  <c:v>-0.77859612886262075</c:v>
                </c:pt>
                <c:pt idx="16">
                  <c:v>-0.79469093294657822</c:v>
                </c:pt>
                <c:pt idx="17">
                  <c:v>-0.79827728449633573</c:v>
                </c:pt>
                <c:pt idx="18">
                  <c:v>-0.8084595891266686</c:v>
                </c:pt>
                <c:pt idx="19">
                  <c:v>-0.81065089369362886</c:v>
                </c:pt>
                <c:pt idx="20">
                  <c:v>-0.77487521455467079</c:v>
                </c:pt>
                <c:pt idx="21">
                  <c:v>-0.74016060878810297</c:v>
                </c:pt>
                <c:pt idx="22">
                  <c:v>-0.70635501767622533</c:v>
                </c:pt>
                <c:pt idx="23">
                  <c:v>-0.67676423990970602</c:v>
                </c:pt>
                <c:pt idx="24">
                  <c:v>-0.67459109858987365</c:v>
                </c:pt>
                <c:pt idx="25">
                  <c:v>-0.68217551350500072</c:v>
                </c:pt>
                <c:pt idx="26">
                  <c:v>-0.68972168413232626</c:v>
                </c:pt>
                <c:pt idx="27">
                  <c:v>-0.69205874739779571</c:v>
                </c:pt>
                <c:pt idx="28">
                  <c:v>-0.68849257550252763</c:v>
                </c:pt>
                <c:pt idx="29">
                  <c:v>-0.6582991024123237</c:v>
                </c:pt>
                <c:pt idx="30">
                  <c:v>-0.63811957898072502</c:v>
                </c:pt>
                <c:pt idx="31">
                  <c:v>-0.61366486917607621</c:v>
                </c:pt>
                <c:pt idx="32">
                  <c:v>-0.58645118194482659</c:v>
                </c:pt>
                <c:pt idx="33">
                  <c:v>-0.55211166104157927</c:v>
                </c:pt>
                <c:pt idx="34">
                  <c:v>-0.53725736599905283</c:v>
                </c:pt>
                <c:pt idx="35">
                  <c:v>-0.52094944511260732</c:v>
                </c:pt>
                <c:pt idx="36">
                  <c:v>-0.49958460082961131</c:v>
                </c:pt>
                <c:pt idx="37">
                  <c:v>-0.45567869652766718</c:v>
                </c:pt>
                <c:pt idx="38">
                  <c:v>-0.43718145242390405</c:v>
                </c:pt>
                <c:pt idx="39">
                  <c:v>-0.48915912005853013</c:v>
                </c:pt>
                <c:pt idx="40">
                  <c:v>-0.53437066183625082</c:v>
                </c:pt>
                <c:pt idx="41">
                  <c:v>-0.48291432726648731</c:v>
                </c:pt>
                <c:pt idx="42">
                  <c:v>-0.40087219707546795</c:v>
                </c:pt>
                <c:pt idx="43">
                  <c:v>-0.31450681719552676</c:v>
                </c:pt>
                <c:pt idx="44">
                  <c:v>-0.22091940822865835</c:v>
                </c:pt>
                <c:pt idx="45">
                  <c:v>-0.14591972996097652</c:v>
                </c:pt>
                <c:pt idx="46">
                  <c:v>-6.2940749098387677E-2</c:v>
                </c:pt>
                <c:pt idx="47">
                  <c:v>2.7720142388261978E-2</c:v>
                </c:pt>
                <c:pt idx="48">
                  <c:v>0.14210077735627383</c:v>
                </c:pt>
                <c:pt idx="49">
                  <c:v>0.20688339859684265</c:v>
                </c:pt>
                <c:pt idx="50">
                  <c:v>0.36161100847655714</c:v>
                </c:pt>
                <c:pt idx="51">
                  <c:v>0.52644155175049623</c:v>
                </c:pt>
                <c:pt idx="52">
                  <c:v>0.64364080472810037</c:v>
                </c:pt>
                <c:pt idx="53">
                  <c:v>0.61044746962364571</c:v>
                </c:pt>
                <c:pt idx="54">
                  <c:v>0.59745259138363493</c:v>
                </c:pt>
                <c:pt idx="55">
                  <c:v>0.79345873404265144</c:v>
                </c:pt>
                <c:pt idx="56">
                  <c:v>1.0472035456193762</c:v>
                </c:pt>
                <c:pt idx="57">
                  <c:v>1.2091667292228285</c:v>
                </c:pt>
                <c:pt idx="58">
                  <c:v>1.3879490888126806</c:v>
                </c:pt>
                <c:pt idx="59">
                  <c:v>1.6300786437820736</c:v>
                </c:pt>
                <c:pt idx="60">
                  <c:v>1.818732514903282</c:v>
                </c:pt>
                <c:pt idx="61">
                  <c:v>2.00779931803616</c:v>
                </c:pt>
                <c:pt idx="62">
                  <c:v>2.2082101296986836</c:v>
                </c:pt>
                <c:pt idx="63">
                  <c:v>2.4203010242976566</c:v>
                </c:pt>
                <c:pt idx="64">
                  <c:v>2.6137121885812094</c:v>
                </c:pt>
                <c:pt idx="65">
                  <c:v>2.6378516138507848</c:v>
                </c:pt>
                <c:pt idx="66">
                  <c:v>2.6378516138507848</c:v>
                </c:pt>
              </c:numCache>
            </c:numRef>
          </c:yVal>
          <c:smooth val="0"/>
          <c:extLst>
            <c:ext xmlns:c16="http://schemas.microsoft.com/office/drawing/2014/chart" uri="{C3380CC4-5D6E-409C-BE32-E72D297353CC}">
              <c16:uniqueId val="{00000000-3C49-46B9-89F0-DA7481514B54}"/>
            </c:ext>
          </c:extLst>
        </c:ser>
        <c:dLbls>
          <c:showLegendKey val="0"/>
          <c:showVal val="0"/>
          <c:showCatName val="0"/>
          <c:showSerName val="0"/>
          <c:showPercent val="0"/>
          <c:showBubbleSize val="0"/>
        </c:dLbls>
        <c:axId val="1506289391"/>
        <c:axId val="1506239887"/>
      </c:scatterChart>
      <c:valAx>
        <c:axId val="150628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39887"/>
        <c:crosses val="autoZero"/>
        <c:crossBetween val="midCat"/>
      </c:valAx>
      <c:valAx>
        <c:axId val="150623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89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salmon </a:t>
            </a:r>
            <a:r>
              <a:rPr lang="en-US"/>
              <a:t>catch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Run1'!$AO$13</c:f>
              <c:strCache>
                <c:ptCount val="1"/>
                <c:pt idx="0">
                  <c:v>Chum catch</c:v>
                </c:pt>
              </c:strCache>
            </c:strRef>
          </c:tx>
          <c:spPr>
            <a:ln w="19050" cap="rnd">
              <a:solidFill>
                <a:schemeClr val="accent1"/>
              </a:solidFill>
              <a:prstDash val="dash"/>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422417.1360488066</c:v>
                </c:pt>
                <c:pt idx="20">
                  <c:v>105452.91661301795</c:v>
                </c:pt>
                <c:pt idx="21">
                  <c:v>1017290.3197477594</c:v>
                </c:pt>
                <c:pt idx="22">
                  <c:v>2365479.8136458248</c:v>
                </c:pt>
                <c:pt idx="23">
                  <c:v>408948.79854673904</c:v>
                </c:pt>
                <c:pt idx="24">
                  <c:v>456188.13534022722</c:v>
                </c:pt>
                <c:pt idx="25">
                  <c:v>527899.38962651009</c:v>
                </c:pt>
                <c:pt idx="26">
                  <c:v>77063.199423982252</c:v>
                </c:pt>
                <c:pt idx="27">
                  <c:v>1085935.8215967023</c:v>
                </c:pt>
                <c:pt idx="28">
                  <c:v>98790.22104604372</c:v>
                </c:pt>
                <c:pt idx="29">
                  <c:v>409845.30802361527</c:v>
                </c:pt>
                <c:pt idx="30">
                  <c:v>45397.513277832295</c:v>
                </c:pt>
                <c:pt idx="31">
                  <c:v>271780.314244434</c:v>
                </c:pt>
                <c:pt idx="32">
                  <c:v>197786.75040788148</c:v>
                </c:pt>
                <c:pt idx="33">
                  <c:v>46806.12199735851</c:v>
                </c:pt>
                <c:pt idx="34">
                  <c:v>390661.24376841611</c:v>
                </c:pt>
                <c:pt idx="35">
                  <c:v>402817.42295294127</c:v>
                </c:pt>
                <c:pt idx="36">
                  <c:v>175797.06389743296</c:v>
                </c:pt>
                <c:pt idx="37">
                  <c:v>530125.77294076781</c:v>
                </c:pt>
                <c:pt idx="38">
                  <c:v>305878.7856827639</c:v>
                </c:pt>
                <c:pt idx="39">
                  <c:v>661125.85665369546</c:v>
                </c:pt>
                <c:pt idx="40">
                  <c:v>547451.1133181745</c:v>
                </c:pt>
                <c:pt idx="41">
                  <c:v>347569.47930846794</c:v>
                </c:pt>
                <c:pt idx="42">
                  <c:v>326082.46697227686</c:v>
                </c:pt>
                <c:pt idx="43">
                  <c:v>376870.41345463943</c:v>
                </c:pt>
                <c:pt idx="44">
                  <c:v>417606.66674286313</c:v>
                </c:pt>
                <c:pt idx="45">
                  <c:v>336462.49731937307</c:v>
                </c:pt>
                <c:pt idx="46">
                  <c:v>413119.57913311018</c:v>
                </c:pt>
                <c:pt idx="47">
                  <c:v>718189.98722739681</c:v>
                </c:pt>
                <c:pt idx="48">
                  <c:v>639008.93837492447</c:v>
                </c:pt>
                <c:pt idx="49">
                  <c:v>434617.48269741656</c:v>
                </c:pt>
                <c:pt idx="50">
                  <c:v>751738.71831313183</c:v>
                </c:pt>
                <c:pt idx="51">
                  <c:v>723533.35192440019</c:v>
                </c:pt>
                <c:pt idx="52">
                  <c:v>792622.34329599934</c:v>
                </c:pt>
                <c:pt idx="53">
                  <c:v>790787.94451033324</c:v>
                </c:pt>
                <c:pt idx="54">
                  <c:v>582702.94930581178</c:v>
                </c:pt>
                <c:pt idx="55">
                  <c:v>692637.04929466476</c:v>
                </c:pt>
                <c:pt idx="56">
                  <c:v>372573.91127043567</c:v>
                </c:pt>
                <c:pt idx="57">
                  <c:v>310286.60211681208</c:v>
                </c:pt>
                <c:pt idx="58">
                  <c:v>258129.21244217735</c:v>
                </c:pt>
                <c:pt idx="59">
                  <c:v>215293.31692215666</c:v>
                </c:pt>
                <c:pt idx="60">
                  <c:v>641659.22982503555</c:v>
                </c:pt>
                <c:pt idx="61">
                  <c:v>581265.6939628378</c:v>
                </c:pt>
                <c:pt idx="62">
                  <c:v>795734.82389410061</c:v>
                </c:pt>
                <c:pt idx="63">
                  <c:v>718046.58243955486</c:v>
                </c:pt>
                <c:pt idx="64">
                  <c:v>654220.77049815655</c:v>
                </c:pt>
                <c:pt idx="65">
                  <c:v>1127367.4740617969</c:v>
                </c:pt>
                <c:pt idx="66">
                  <c:v>493929.19104183785</c:v>
                </c:pt>
                <c:pt idx="67">
                  <c:v>373500.8675543436</c:v>
                </c:pt>
                <c:pt idx="68">
                  <c:v>214456.98072241258</c:v>
                </c:pt>
                <c:pt idx="69">
                  <c:v>240571.15469734569</c:v>
                </c:pt>
                <c:pt idx="70">
                  <c:v>448662.58976996638</c:v>
                </c:pt>
                <c:pt idx="71">
                  <c:v>482136.55446441099</c:v>
                </c:pt>
                <c:pt idx="72">
                  <c:v>403078.99275871908</c:v>
                </c:pt>
                <c:pt idx="73">
                  <c:v>418772.0824508178</c:v>
                </c:pt>
                <c:pt idx="74">
                  <c:v>495714.19736500451</c:v>
                </c:pt>
                <c:pt idx="75">
                  <c:v>509473.51053421153</c:v>
                </c:pt>
                <c:pt idx="76">
                  <c:v>501734.06498563179</c:v>
                </c:pt>
                <c:pt idx="77">
                  <c:v>503834.72689649859</c:v>
                </c:pt>
                <c:pt idx="78">
                  <c:v>510571.49142268253</c:v>
                </c:pt>
                <c:pt idx="79">
                  <c:v>511716.92848196439</c:v>
                </c:pt>
                <c:pt idx="80">
                  <c:v>511746.48624524841</c:v>
                </c:pt>
                <c:pt idx="81">
                  <c:v>511751.51427421236</c:v>
                </c:pt>
                <c:pt idx="82">
                  <c:v>511727.84513619414</c:v>
                </c:pt>
                <c:pt idx="83">
                  <c:v>511713.01234689908</c:v>
                </c:pt>
                <c:pt idx="84">
                  <c:v>511710.79115976859</c:v>
                </c:pt>
                <c:pt idx="85">
                  <c:v>511710.7007300593</c:v>
                </c:pt>
                <c:pt idx="86">
                  <c:v>511710.95570678008</c:v>
                </c:pt>
                <c:pt idx="87">
                  <c:v>511711.15290651075</c:v>
                </c:pt>
                <c:pt idx="88">
                  <c:v>511711.20258835127</c:v>
                </c:pt>
                <c:pt idx="89">
                  <c:v>511711.20737775211</c:v>
                </c:pt>
              </c:numCache>
            </c:numRef>
          </c:yVal>
          <c:smooth val="0"/>
          <c:extLst>
            <c:ext xmlns:c16="http://schemas.microsoft.com/office/drawing/2014/chart" uri="{C3380CC4-5D6E-409C-BE32-E72D297353CC}">
              <c16:uniqueId val="{00000000-979C-4630-AAE5-9970F1FB23D8}"/>
            </c:ext>
          </c:extLst>
        </c:ser>
        <c:dLbls>
          <c:showLegendKey val="0"/>
          <c:showVal val="0"/>
          <c:showCatName val="0"/>
          <c:showSerName val="0"/>
          <c:showPercent val="0"/>
          <c:showBubbleSize val="0"/>
        </c:dLbls>
        <c:axId val="724598304"/>
        <c:axId val="724588320"/>
      </c:scatterChart>
      <c:scatterChart>
        <c:scatterStyle val="lineMarker"/>
        <c:varyColors val="0"/>
        <c:ser>
          <c:idx val="1"/>
          <c:order val="1"/>
          <c:tx>
            <c:strRef>
              <c:f>'Retrospective Run1'!$AI$13</c:f>
              <c:strCache>
                <c:ptCount val="1"/>
                <c:pt idx="0">
                  <c:v>Chum commercial fishery harvest rate</c:v>
                </c:pt>
              </c:strCache>
            </c:strRef>
          </c:tx>
          <c:spPr>
            <a:ln w="19050" cap="rnd">
              <a:solidFill>
                <a:srgbClr val="FF0000"/>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2-979C-4630-AAE5-9970F1FB23D8}"/>
            </c:ext>
          </c:extLst>
        </c:ser>
        <c:ser>
          <c:idx val="2"/>
          <c:order val="2"/>
          <c:tx>
            <c:strRef>
              <c:f>'Retrospective Run1'!$AU$13</c:f>
              <c:strCache>
                <c:ptCount val="1"/>
                <c:pt idx="0">
                  <c:v>Chum base alpha(y) (SSL, PDO smolt, PDO adult, NPGO)</c:v>
                </c:pt>
              </c:strCache>
            </c:strRef>
          </c:tx>
          <c:spPr>
            <a:ln w="19050" cap="rnd">
              <a:solidFill>
                <a:schemeClr val="accent3"/>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Run1'!$AU$14:$AU$103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0.7959846428153432</c:v>
                </c:pt>
                <c:pt idx="67">
                  <c:v>0.7959846428153432</c:v>
                </c:pt>
                <c:pt idx="68">
                  <c:v>0.7959846428153432</c:v>
                </c:pt>
                <c:pt idx="69">
                  <c:v>0.7959846428153432</c:v>
                </c:pt>
                <c:pt idx="70">
                  <c:v>0.7959846428153432</c:v>
                </c:pt>
                <c:pt idx="71">
                  <c:v>0.7959846428153432</c:v>
                </c:pt>
                <c:pt idx="72">
                  <c:v>0.7959846428153432</c:v>
                </c:pt>
                <c:pt idx="73">
                  <c:v>0.7959846428153432</c:v>
                </c:pt>
                <c:pt idx="74">
                  <c:v>0.7959846428153432</c:v>
                </c:pt>
                <c:pt idx="75">
                  <c:v>0.7959846428153432</c:v>
                </c:pt>
                <c:pt idx="76">
                  <c:v>0.7959846428153432</c:v>
                </c:pt>
                <c:pt idx="77">
                  <c:v>0.7959846428153432</c:v>
                </c:pt>
                <c:pt idx="78">
                  <c:v>0.7959846428153432</c:v>
                </c:pt>
                <c:pt idx="79">
                  <c:v>0.7959846428153432</c:v>
                </c:pt>
                <c:pt idx="80">
                  <c:v>0.7959846428153432</c:v>
                </c:pt>
                <c:pt idx="81">
                  <c:v>0.7959846428153432</c:v>
                </c:pt>
                <c:pt idx="82">
                  <c:v>0.7959846428153432</c:v>
                </c:pt>
                <c:pt idx="83">
                  <c:v>0.7959846428153432</c:v>
                </c:pt>
                <c:pt idx="84">
                  <c:v>0.7959846428153432</c:v>
                </c:pt>
                <c:pt idx="85">
                  <c:v>0.7959846428153432</c:v>
                </c:pt>
                <c:pt idx="86">
                  <c:v>0.7959846428153432</c:v>
                </c:pt>
                <c:pt idx="87">
                  <c:v>0.7959846428153432</c:v>
                </c:pt>
                <c:pt idx="88">
                  <c:v>0.7959846428153432</c:v>
                </c:pt>
                <c:pt idx="89">
                  <c:v>0.7959846428153432</c:v>
                </c:pt>
              </c:numCache>
            </c:numRef>
          </c:yVal>
          <c:smooth val="0"/>
          <c:extLst>
            <c:ext xmlns:c16="http://schemas.microsoft.com/office/drawing/2014/chart" uri="{C3380CC4-5D6E-409C-BE32-E72D297353CC}">
              <c16:uniqueId val="{00000004-979C-4630-AAE5-9970F1FB23D8}"/>
            </c:ext>
          </c:extLst>
        </c:ser>
        <c:ser>
          <c:idx val="3"/>
          <c:order val="3"/>
          <c:tx>
            <c:strRef>
              <c:f>'Retrospective Run1'!$DA$13</c:f>
              <c:strCache>
                <c:ptCount val="1"/>
                <c:pt idx="0">
                  <c:v>Chum SSLC alpha(y) (Spawn, SSL_Control, PDO adult, PDO smolt, NPGO)</c:v>
                </c:pt>
              </c:strCache>
            </c:strRef>
          </c:tx>
          <c:spPr>
            <a:ln w="19050" cap="rnd">
              <a:solidFill>
                <a:schemeClr val="accent4"/>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Run1'!$DA$14:$DA$103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1.147512988154473</c:v>
                </c:pt>
                <c:pt idx="29">
                  <c:v>1.089336453011623</c:v>
                </c:pt>
                <c:pt idx="30">
                  <c:v>1.2376725561466011</c:v>
                </c:pt>
                <c:pt idx="31">
                  <c:v>1.3133698770608739</c:v>
                </c:pt>
                <c:pt idx="32">
                  <c:v>1.0956605182990575</c:v>
                </c:pt>
                <c:pt idx="33">
                  <c:v>1.0862092129464946</c:v>
                </c:pt>
                <c:pt idx="34">
                  <c:v>0.89197646262010211</c:v>
                </c:pt>
                <c:pt idx="35">
                  <c:v>0.90599784255530014</c:v>
                </c:pt>
                <c:pt idx="36">
                  <c:v>1.2099759904664933</c:v>
                </c:pt>
                <c:pt idx="37">
                  <c:v>1.4124244319407104</c:v>
                </c:pt>
                <c:pt idx="38">
                  <c:v>1.3312759560892546</c:v>
                </c:pt>
                <c:pt idx="39">
                  <c:v>1.2231211723689583</c:v>
                </c:pt>
                <c:pt idx="40">
                  <c:v>1.1986691007380053</c:v>
                </c:pt>
                <c:pt idx="41">
                  <c:v>0.98950869479216175</c:v>
                </c:pt>
                <c:pt idx="42">
                  <c:v>1.0162376913960849</c:v>
                </c:pt>
                <c:pt idx="43">
                  <c:v>1.0596071095260433</c:v>
                </c:pt>
                <c:pt idx="44">
                  <c:v>0.89115616254604169</c:v>
                </c:pt>
                <c:pt idx="45">
                  <c:v>0.98351122617225473</c:v>
                </c:pt>
                <c:pt idx="46">
                  <c:v>1.0609538061447674</c:v>
                </c:pt>
                <c:pt idx="47">
                  <c:v>1.5478766397742558</c:v>
                </c:pt>
                <c:pt idx="48">
                  <c:v>1.5212431759345608</c:v>
                </c:pt>
                <c:pt idx="49">
                  <c:v>1.4437689352154759</c:v>
                </c:pt>
                <c:pt idx="50">
                  <c:v>1.4681914323945524</c:v>
                </c:pt>
                <c:pt idx="51">
                  <c:v>1.140381820850968</c:v>
                </c:pt>
                <c:pt idx="52">
                  <c:v>1.1198431602919754</c:v>
                </c:pt>
                <c:pt idx="53">
                  <c:v>0.90053228541275399</c:v>
                </c:pt>
                <c:pt idx="54">
                  <c:v>1.0613204493861803</c:v>
                </c:pt>
                <c:pt idx="55">
                  <c:v>1.0684220124359072</c:v>
                </c:pt>
                <c:pt idx="56">
                  <c:v>1.2179394925580465</c:v>
                </c:pt>
                <c:pt idx="57">
                  <c:v>1.2915539297449716</c:v>
                </c:pt>
                <c:pt idx="58">
                  <c:v>1.3468452028949767</c:v>
                </c:pt>
                <c:pt idx="59">
                  <c:v>1.5618993221264565</c:v>
                </c:pt>
                <c:pt idx="60">
                  <c:v>1.5672462769812998</c:v>
                </c:pt>
                <c:pt idx="61">
                  <c:v>1.4557225719229991</c:v>
                </c:pt>
                <c:pt idx="62">
                  <c:v>1.1631691850076042</c:v>
                </c:pt>
                <c:pt idx="63">
                  <c:v>0.87138308814315424</c:v>
                </c:pt>
                <c:pt idx="64">
                  <c:v>1.0042994916880672</c:v>
                </c:pt>
                <c:pt idx="65">
                  <c:v>0.91963522163595846</c:v>
                </c:pt>
                <c:pt idx="66">
                  <c:v>1.2366113750272465</c:v>
                </c:pt>
                <c:pt idx="67">
                  <c:v>1.2366113750272465</c:v>
                </c:pt>
                <c:pt idx="68">
                  <c:v>1.2366113750272465</c:v>
                </c:pt>
                <c:pt idx="69">
                  <c:v>1.2366113750272465</c:v>
                </c:pt>
                <c:pt idx="70">
                  <c:v>1.2366113750272465</c:v>
                </c:pt>
                <c:pt idx="71">
                  <c:v>1.2366113750272465</c:v>
                </c:pt>
                <c:pt idx="72">
                  <c:v>1.2366113750272465</c:v>
                </c:pt>
                <c:pt idx="73">
                  <c:v>1.2366113750272465</c:v>
                </c:pt>
                <c:pt idx="74">
                  <c:v>1.2366113750272465</c:v>
                </c:pt>
                <c:pt idx="75">
                  <c:v>1.2366113750272465</c:v>
                </c:pt>
                <c:pt idx="76">
                  <c:v>1.2366113750272465</c:v>
                </c:pt>
                <c:pt idx="77">
                  <c:v>1.2366113750272465</c:v>
                </c:pt>
                <c:pt idx="78">
                  <c:v>1.2366113750272465</c:v>
                </c:pt>
                <c:pt idx="79">
                  <c:v>1.2366113750272465</c:v>
                </c:pt>
                <c:pt idx="80">
                  <c:v>1.2366113750272465</c:v>
                </c:pt>
                <c:pt idx="81">
                  <c:v>1.2366113750272465</c:v>
                </c:pt>
                <c:pt idx="82">
                  <c:v>1.2366113750272465</c:v>
                </c:pt>
                <c:pt idx="83">
                  <c:v>1.2366113750272465</c:v>
                </c:pt>
                <c:pt idx="84">
                  <c:v>1.2366113750272465</c:v>
                </c:pt>
                <c:pt idx="85">
                  <c:v>1.2366113750272465</c:v>
                </c:pt>
                <c:pt idx="86">
                  <c:v>1.2366113750272465</c:v>
                </c:pt>
                <c:pt idx="87">
                  <c:v>1.2366113750272465</c:v>
                </c:pt>
                <c:pt idx="88">
                  <c:v>1.2366113750272465</c:v>
                </c:pt>
                <c:pt idx="89">
                  <c:v>1.2366113750272465</c:v>
                </c:pt>
              </c:numCache>
            </c:numRef>
          </c:yVal>
          <c:smooth val="0"/>
          <c:extLst>
            <c:ext xmlns:c16="http://schemas.microsoft.com/office/drawing/2014/chart" uri="{C3380CC4-5D6E-409C-BE32-E72D297353CC}">
              <c16:uniqueId val="{00000001-74BA-494F-B023-042823A7F454}"/>
            </c:ext>
          </c:extLst>
        </c:ser>
        <c:dLbls>
          <c:showLegendKey val="0"/>
          <c:showVal val="0"/>
          <c:showCatName val="0"/>
          <c:showSerName val="0"/>
          <c:showPercent val="0"/>
          <c:showBubbleSize val="0"/>
        </c:dLbls>
        <c:axId val="660697840"/>
        <c:axId val="660694928"/>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660694928"/>
        <c:scaling>
          <c:orientation val="minMax"/>
        </c:scaling>
        <c:delete val="0"/>
        <c:axPos val="r"/>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97840"/>
        <c:crosses val="max"/>
        <c:crossBetween val="midCat"/>
      </c:valAx>
      <c:valAx>
        <c:axId val="660697840"/>
        <c:scaling>
          <c:orientation val="minMax"/>
        </c:scaling>
        <c:delete val="1"/>
        <c:axPos val="b"/>
        <c:numFmt formatCode="0" sourceLinked="1"/>
        <c:majorTickMark val="out"/>
        <c:minorTickMark val="none"/>
        <c:tickLblPos val="nextTo"/>
        <c:crossAx val="66069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salmon and Thompson steelhead bycatch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2012354772619"/>
          <c:y val="0.27297828903676891"/>
          <c:w val="0.52960889964532631"/>
          <c:h val="0.50330191037116445"/>
        </c:manualLayout>
      </c:layout>
      <c:scatterChart>
        <c:scatterStyle val="lineMarker"/>
        <c:varyColors val="0"/>
        <c:ser>
          <c:idx val="0"/>
          <c:order val="0"/>
          <c:tx>
            <c:strRef>
              <c:f>'Retrospective Run1'!$J$13</c:f>
              <c:strCache>
                <c:ptCount val="1"/>
                <c:pt idx="0">
                  <c:v>Uchum</c:v>
                </c:pt>
              </c:strCache>
            </c:strRef>
          </c:tx>
          <c:spPr>
            <a:ln w="19050" cap="rnd">
              <a:solidFill>
                <a:schemeClr val="accent1"/>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Run1'!$J$14:$J$79</c:f>
              <c:numCache>
                <c:formatCode>0.000</c:formatCode>
                <c:ptCount val="66"/>
                <c:pt idx="0">
                  <c:v>0.85541857259886223</c:v>
                </c:pt>
                <c:pt idx="1">
                  <c:v>0.80987055016181231</c:v>
                </c:pt>
                <c:pt idx="2">
                  <c:v>0.85010162048180959</c:v>
                </c:pt>
                <c:pt idx="3">
                  <c:v>0.92122785146057928</c:v>
                </c:pt>
                <c:pt idx="4">
                  <c:v>0.72173186031694869</c:v>
                </c:pt>
                <c:pt idx="5">
                  <c:v>0.88341524341269584</c:v>
                </c:pt>
                <c:pt idx="6">
                  <c:v>0.72546965751403381</c:v>
                </c:pt>
                <c:pt idx="7">
                  <c:v>0.84030837988028484</c:v>
                </c:pt>
                <c:pt idx="8">
                  <c:v>0.76627554011374688</c:v>
                </c:pt>
                <c:pt idx="9">
                  <c:v>0.62944250781901856</c:v>
                </c:pt>
                <c:pt idx="10">
                  <c:v>0.59029190518995123</c:v>
                </c:pt>
                <c:pt idx="11">
                  <c:v>0.47697992689747593</c:v>
                </c:pt>
                <c:pt idx="12">
                  <c:v>0.43438055336526582</c:v>
                </c:pt>
                <c:pt idx="13">
                  <c:v>0.33592513645318606</c:v>
                </c:pt>
                <c:pt idx="14">
                  <c:v>0.2405849640996762</c:v>
                </c:pt>
                <c:pt idx="15">
                  <c:v>0.14043534504322719</c:v>
                </c:pt>
                <c:pt idx="16">
                  <c:v>0.33786063906527186</c:v>
                </c:pt>
                <c:pt idx="17">
                  <c:v>0.41875228158164224</c:v>
                </c:pt>
                <c:pt idx="18">
                  <c:v>0.4654732209378506</c:v>
                </c:pt>
                <c:pt idx="19">
                  <c:v>0.61554327758654503</c:v>
                </c:pt>
                <c:pt idx="20">
                  <c:v>0.22913721822490993</c:v>
                </c:pt>
                <c:pt idx="21">
                  <c:v>0.68641003985716609</c:v>
                </c:pt>
                <c:pt idx="22">
                  <c:v>0.82276901842119232</c:v>
                </c:pt>
                <c:pt idx="23">
                  <c:v>0.51199686844400116</c:v>
                </c:pt>
                <c:pt idx="24">
                  <c:v>0.60629289653002161</c:v>
                </c:pt>
                <c:pt idx="25">
                  <c:v>0.66074570448789605</c:v>
                </c:pt>
                <c:pt idx="26">
                  <c:v>0.1705036150447867</c:v>
                </c:pt>
                <c:pt idx="27">
                  <c:v>0.69711185152498734</c:v>
                </c:pt>
                <c:pt idx="28">
                  <c:v>0.17198735472837282</c:v>
                </c:pt>
                <c:pt idx="29">
                  <c:v>0.6546874536071251</c:v>
                </c:pt>
                <c:pt idx="30">
                  <c:v>0.12648144705569581</c:v>
                </c:pt>
                <c:pt idx="31">
                  <c:v>0.54912425363703032</c:v>
                </c:pt>
                <c:pt idx="32">
                  <c:v>0.20916994433111183</c:v>
                </c:pt>
                <c:pt idx="33">
                  <c:v>0.11639140147812592</c:v>
                </c:pt>
                <c:pt idx="34">
                  <c:v>0.24753948247023996</c:v>
                </c:pt>
                <c:pt idx="35">
                  <c:v>0.36912696063175421</c:v>
                </c:pt>
                <c:pt idx="36">
                  <c:v>0.24404667869525812</c:v>
                </c:pt>
                <c:pt idx="37">
                  <c:v>0.4894586184476834</c:v>
                </c:pt>
                <c:pt idx="38">
                  <c:v>0.32431410272221262</c:v>
                </c:pt>
                <c:pt idx="39">
                  <c:v>0.45953971602968241</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numCache>
            </c:numRef>
          </c:yVal>
          <c:smooth val="0"/>
          <c:extLst>
            <c:ext xmlns:c16="http://schemas.microsoft.com/office/drawing/2014/chart" uri="{C3380CC4-5D6E-409C-BE32-E72D297353CC}">
              <c16:uniqueId val="{00000000-BC5A-4857-812F-579EAD76D3C7}"/>
            </c:ext>
          </c:extLst>
        </c:ser>
        <c:ser>
          <c:idx val="1"/>
          <c:order val="1"/>
          <c:tx>
            <c:strRef>
              <c:f>'Retrospective Run1'!$BU$13</c:f>
              <c:strCache>
                <c:ptCount val="1"/>
                <c:pt idx="0">
                  <c:v>Ushth</c:v>
                </c:pt>
              </c:strCache>
            </c:strRef>
          </c:tx>
          <c:spPr>
            <a:ln w="19050" cap="rnd">
              <a:solidFill>
                <a:schemeClr val="accent2"/>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Run1'!$BU$14:$BU$79</c:f>
              <c:numCache>
                <c:formatCode>General</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formatCode="0.00">
                  <c:v>0.42305018961951335</c:v>
                </c:pt>
                <c:pt idx="41" formatCode="0.00">
                  <c:v>0.42305018961951329</c:v>
                </c:pt>
                <c:pt idx="42" formatCode="0.00">
                  <c:v>0.28899999999999992</c:v>
                </c:pt>
                <c:pt idx="43" formatCode="0.00">
                  <c:v>0.24399999999999999</c:v>
                </c:pt>
                <c:pt idx="44" formatCode="0.00">
                  <c:v>0.42549999999999999</c:v>
                </c:pt>
                <c:pt idx="45" formatCode="0.00">
                  <c:v>0.33699999999999997</c:v>
                </c:pt>
                <c:pt idx="46" formatCode="0.00">
                  <c:v>0.10949999999999997</c:v>
                </c:pt>
                <c:pt idx="47" formatCode="0.00">
                  <c:v>0.23150000000000015</c:v>
                </c:pt>
                <c:pt idx="48" formatCode="0.00">
                  <c:v>0.11349999999999981</c:v>
                </c:pt>
                <c:pt idx="49" formatCode="0.00">
                  <c:v>9.4499999999999973E-2</c:v>
                </c:pt>
                <c:pt idx="50" formatCode="0.00">
                  <c:v>6.1499999999999937E-2</c:v>
                </c:pt>
                <c:pt idx="51" formatCode="0.00">
                  <c:v>0.10250000000000008</c:v>
                </c:pt>
                <c:pt idx="52" formatCode="0.00">
                  <c:v>0.13850000000000012</c:v>
                </c:pt>
                <c:pt idx="53" formatCode="0.00">
                  <c:v>0.14549999999999985</c:v>
                </c:pt>
                <c:pt idx="54" formatCode="0.00">
                  <c:v>0.21200000000000005</c:v>
                </c:pt>
                <c:pt idx="55" formatCode="0.00">
                  <c:v>0.11999999999999991</c:v>
                </c:pt>
                <c:pt idx="56" formatCode="0.00">
                  <c:v>0.16300000000000003</c:v>
                </c:pt>
                <c:pt idx="57" formatCode="0.00">
                  <c:v>0.10499999999999994</c:v>
                </c:pt>
                <c:pt idx="58" formatCode="0.00">
                  <c:v>7.1000000000000008E-2</c:v>
                </c:pt>
                <c:pt idx="59" formatCode="0.00">
                  <c:v>0.10000000000000007</c:v>
                </c:pt>
                <c:pt idx="60" formatCode="0.00">
                  <c:v>0.10000000000000005</c:v>
                </c:pt>
                <c:pt idx="61" formatCode="0.00">
                  <c:v>0.2</c:v>
                </c:pt>
                <c:pt idx="62" formatCode="0.00">
                  <c:v>0.11299999999999998</c:v>
                </c:pt>
                <c:pt idx="63" formatCode="0.00">
                  <c:v>0.25</c:v>
                </c:pt>
                <c:pt idx="64" formatCode="0.00">
                  <c:v>0.24</c:v>
                </c:pt>
                <c:pt idx="65" formatCode="0.00">
                  <c:v>0.2</c:v>
                </c:pt>
              </c:numCache>
            </c:numRef>
          </c:yVal>
          <c:smooth val="0"/>
          <c:extLst>
            <c:ext xmlns:c16="http://schemas.microsoft.com/office/drawing/2014/chart" uri="{C3380CC4-5D6E-409C-BE32-E72D297353CC}">
              <c16:uniqueId val="{00000002-BC5A-4857-812F-579EAD76D3C7}"/>
            </c:ext>
          </c:extLst>
        </c:ser>
        <c:dLbls>
          <c:showLegendKey val="0"/>
          <c:showVal val="0"/>
          <c:showCatName val="0"/>
          <c:showSerName val="0"/>
          <c:showPercent val="0"/>
          <c:showBubbleSize val="0"/>
        </c:dLbls>
        <c:axId val="1277548815"/>
        <c:axId val="1277547151"/>
      </c:scatterChart>
      <c:valAx>
        <c:axId val="1277548815"/>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7151"/>
        <c:crosses val="autoZero"/>
        <c:crossBetween val="midCat"/>
      </c:valAx>
      <c:valAx>
        <c:axId val="127754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Rate (U)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8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Plot of estimates of Thompson River steelhead bycatch rates and Fraser Chum salmon harvest rates (excluding one very low outlier)</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0.18741491688538933"/>
                  <c:y val="2.8032225138524353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rgbClr val="FF0000"/>
                </a:solidFill>
                <a:prstDash val="solid"/>
              </a:ln>
              <a:effectLst/>
            </c:spPr>
            <c:trendlineType val="power"/>
            <c:dispRSqr val="1"/>
            <c:dispEq val="1"/>
            <c:trendlineLbl>
              <c:layout>
                <c:manualLayout>
                  <c:x val="0.18588692038495189"/>
                  <c:y val="8.9880431612715084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Run1'!$J$60:$J$79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Run1'!$BV$60:$BV$79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0-D75B-45B1-B1D9-C23D43E85698}"/>
            </c:ext>
          </c:extLst>
        </c:ser>
        <c:ser>
          <c:idx val="1"/>
          <c:order val="1"/>
          <c:spPr>
            <a:ln w="25400" cap="rnd">
              <a:solidFill>
                <a:srgbClr val="FF0000"/>
              </a:solidFill>
              <a:round/>
            </a:ln>
            <a:effectLst/>
          </c:spPr>
          <c:marker>
            <c:symbol val="none"/>
          </c:marker>
          <c:xVal>
            <c:numRef>
              <c:f>'Retrospective Run1'!$BY$56:$BY$81</c:f>
              <c:numCache>
                <c:formatCode>General</c:formatCode>
                <c:ptCount val="26"/>
                <c:pt idx="0">
                  <c:v>0</c:v>
                </c:pt>
                <c:pt idx="1">
                  <c:v>0.01</c:v>
                </c:pt>
                <c:pt idx="2">
                  <c:v>0.02</c:v>
                </c:pt>
                <c:pt idx="3">
                  <c:v>0.04</c:v>
                </c:pt>
                <c:pt idx="4">
                  <c:v>0.06</c:v>
                </c:pt>
                <c:pt idx="5">
                  <c:v>0.08</c:v>
                </c:pt>
                <c:pt idx="6">
                  <c:v>0.1</c:v>
                </c:pt>
                <c:pt idx="7">
                  <c:v>0.12</c:v>
                </c:pt>
                <c:pt idx="8">
                  <c:v>0.14000000000000001</c:v>
                </c:pt>
                <c:pt idx="9">
                  <c:v>0.16</c:v>
                </c:pt>
                <c:pt idx="10">
                  <c:v>0.18</c:v>
                </c:pt>
                <c:pt idx="11">
                  <c:v>0.2</c:v>
                </c:pt>
                <c:pt idx="12">
                  <c:v>0.22</c:v>
                </c:pt>
                <c:pt idx="13">
                  <c:v>0.24</c:v>
                </c:pt>
                <c:pt idx="14">
                  <c:v>0.26</c:v>
                </c:pt>
                <c:pt idx="15">
                  <c:v>0.28000000000000003</c:v>
                </c:pt>
                <c:pt idx="16">
                  <c:v>0.3</c:v>
                </c:pt>
                <c:pt idx="17">
                  <c:v>0.32</c:v>
                </c:pt>
                <c:pt idx="18">
                  <c:v>0.34</c:v>
                </c:pt>
                <c:pt idx="19">
                  <c:v>0.36</c:v>
                </c:pt>
                <c:pt idx="20">
                  <c:v>0.38</c:v>
                </c:pt>
                <c:pt idx="21">
                  <c:v>0.4</c:v>
                </c:pt>
                <c:pt idx="22">
                  <c:v>0.42</c:v>
                </c:pt>
                <c:pt idx="23">
                  <c:v>0.44</c:v>
                </c:pt>
                <c:pt idx="24">
                  <c:v>0.46</c:v>
                </c:pt>
                <c:pt idx="25">
                  <c:v>0.48</c:v>
                </c:pt>
              </c:numCache>
            </c:numRef>
          </c:xVal>
          <c:yVal>
            <c:numRef>
              <c:f>'Retrospective Run1'!$BZ$56:$BZ$81</c:f>
              <c:numCache>
                <c:formatCode>General</c:formatCode>
                <c:ptCount val="26"/>
                <c:pt idx="0">
                  <c:v>0</c:v>
                </c:pt>
                <c:pt idx="1">
                  <c:v>5.7269585831559222E-2</c:v>
                </c:pt>
                <c:pt idx="2">
                  <c:v>7.0977864556646328E-2</c:v>
                </c:pt>
                <c:pt idx="3">
                  <c:v>8.7967412089183461E-2</c:v>
                </c:pt>
                <c:pt idx="4">
                  <c:v>9.9733180618137643E-2</c:v>
                </c:pt>
                <c:pt idx="5">
                  <c:v>0.1090236461466438</c:v>
                </c:pt>
                <c:pt idx="6">
                  <c:v>0.11682184001144889</c:v>
                </c:pt>
                <c:pt idx="7">
                  <c:v>0.12360571641879799</c:v>
                </c:pt>
                <c:pt idx="8">
                  <c:v>0.12964783898419396</c:v>
                </c:pt>
                <c:pt idx="9">
                  <c:v>0.13511998519472337</c:v>
                </c:pt>
                <c:pt idx="10">
                  <c:v>0.14013815966908605</c:v>
                </c:pt>
                <c:pt idx="11">
                  <c:v>0.14478478615121279</c:v>
                </c:pt>
                <c:pt idx="12">
                  <c:v>0.14912075859702728</c:v>
                </c:pt>
                <c:pt idx="13">
                  <c:v>0.1531924785383387</c:v>
                </c:pt>
                <c:pt idx="14">
                  <c:v>0.15703620481715533</c:v>
                </c:pt>
                <c:pt idx="15">
                  <c:v>0.16068086789639488</c:v>
                </c:pt>
                <c:pt idx="16">
                  <c:v>0.16414996059379214</c:v>
                </c:pt>
                <c:pt idx="17">
                  <c:v>0.16746284906363229</c:v>
                </c:pt>
                <c:pt idx="18">
                  <c:v>0.1706357065435791</c:v>
                </c:pt>
                <c:pt idx="19">
                  <c:v>0.17368219399150595</c:v>
                </c:pt>
                <c:pt idx="20">
                  <c:v>0.17661396632821513</c:v>
                </c:pt>
                <c:pt idx="21">
                  <c:v>0.17944105570326593</c:v>
                </c:pt>
                <c:pt idx="22">
                  <c:v>0.1821721662511058</c:v>
                </c:pt>
                <c:pt idx="23">
                  <c:v>0.18481490397738384</c:v>
                </c:pt>
                <c:pt idx="24">
                  <c:v>0.18737595832309004</c:v>
                </c:pt>
                <c:pt idx="25">
                  <c:v>0.18986124720321065</c:v>
                </c:pt>
              </c:numCache>
            </c:numRef>
          </c:yVal>
          <c:smooth val="0"/>
          <c:extLst>
            <c:ext xmlns:c16="http://schemas.microsoft.com/office/drawing/2014/chart" uri="{C3380CC4-5D6E-409C-BE32-E72D297353CC}">
              <c16:uniqueId val="{00000009-D75B-45B1-B1D9-C23D43E85698}"/>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Thompson River steelhead bycatch rate</a:t>
                </a:r>
              </a:p>
            </c:rich>
          </c:tx>
          <c:layout>
            <c:manualLayout>
              <c:xMode val="edge"/>
              <c:yMode val="edge"/>
              <c:x val="2.6329552897051824E-2"/>
              <c:y val="0.1701280915509837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Fraser River Commercial Fishery Chum salmon catch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Run1'!$AO$13</c:f>
              <c:strCache>
                <c:ptCount val="1"/>
                <c:pt idx="0">
                  <c:v>Chum catch</c:v>
                </c:pt>
              </c:strCache>
            </c:strRef>
          </c:tx>
          <c:spPr>
            <a:ln w="19050" cap="rnd">
              <a:solidFill>
                <a:schemeClr val="accent1"/>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Run1'!$I$14:$I$103</c:f>
              <c:numCache>
                <c:formatCode>#,##0</c:formatCode>
                <c:ptCount val="90"/>
                <c:pt idx="0">
                  <c:v>1016014</c:v>
                </c:pt>
                <c:pt idx="1">
                  <c:v>750750</c:v>
                </c:pt>
                <c:pt idx="2">
                  <c:v>780497</c:v>
                </c:pt>
                <c:pt idx="3">
                  <c:v>1010142</c:v>
                </c:pt>
                <c:pt idx="4">
                  <c:v>286599</c:v>
                </c:pt>
                <c:pt idx="5">
                  <c:v>249677</c:v>
                </c:pt>
                <c:pt idx="6">
                  <c:v>223708</c:v>
                </c:pt>
                <c:pt idx="7">
                  <c:v>470429</c:v>
                </c:pt>
                <c:pt idx="8">
                  <c:v>499322</c:v>
                </c:pt>
                <c:pt idx="9">
                  <c:v>245932</c:v>
                </c:pt>
                <c:pt idx="10">
                  <c:v>149724</c:v>
                </c:pt>
                <c:pt idx="11">
                  <c:v>118882</c:v>
                </c:pt>
                <c:pt idx="12">
                  <c:v>147639</c:v>
                </c:pt>
                <c:pt idx="13">
                  <c:v>124815</c:v>
                </c:pt>
                <c:pt idx="14">
                  <c:v>41013</c:v>
                </c:pt>
                <c:pt idx="15">
                  <c:v>58949</c:v>
                </c:pt>
                <c:pt idx="16">
                  <c:v>109130</c:v>
                </c:pt>
                <c:pt idx="17">
                  <c:v>482929</c:v>
                </c:pt>
                <c:pt idx="18">
                  <c:v>269273</c:v>
                </c:pt>
                <c:pt idx="19">
                  <c:v>455105</c:v>
                </c:pt>
                <c:pt idx="20">
                  <c:v>86239</c:v>
                </c:pt>
                <c:pt idx="21">
                  <c:v>926530</c:v>
                </c:pt>
                <c:pt idx="22">
                  <c:v>1239880</c:v>
                </c:pt>
                <c:pt idx="23">
                  <c:v>367539</c:v>
                </c:pt>
                <c:pt idx="24">
                  <c:v>294779</c:v>
                </c:pt>
                <c:pt idx="25">
                  <c:v>663205</c:v>
                </c:pt>
                <c:pt idx="26">
                  <c:v>123195</c:v>
                </c:pt>
                <c:pt idx="27">
                  <c:v>826233</c:v>
                </c:pt>
                <c:pt idx="28">
                  <c:v>53098</c:v>
                </c:pt>
                <c:pt idx="29">
                  <c:v>595342</c:v>
                </c:pt>
                <c:pt idx="30">
                  <c:v>63275</c:v>
                </c:pt>
                <c:pt idx="31">
                  <c:v>397572</c:v>
                </c:pt>
                <c:pt idx="32">
                  <c:v>98331</c:v>
                </c:pt>
                <c:pt idx="33">
                  <c:v>71325</c:v>
                </c:pt>
                <c:pt idx="34">
                  <c:v>455236</c:v>
                </c:pt>
                <c:pt idx="35">
                  <c:v>583541</c:v>
                </c:pt>
                <c:pt idx="36">
                  <c:v>117405</c:v>
                </c:pt>
                <c:pt idx="37">
                  <c:v>506644</c:v>
                </c:pt>
                <c:pt idx="38">
                  <c:v>355014</c:v>
                </c:pt>
                <c:pt idx="39">
                  <c:v>732913</c:v>
                </c:pt>
                <c:pt idx="40">
                  <c:v>347821</c:v>
                </c:pt>
                <c:pt idx="41">
                  <c:v>519859</c:v>
                </c:pt>
                <c:pt idx="42">
                  <c:v>491184</c:v>
                </c:pt>
                <c:pt idx="43">
                  <c:v>629209</c:v>
                </c:pt>
                <c:pt idx="44">
                  <c:v>215899</c:v>
                </c:pt>
                <c:pt idx="45">
                  <c:v>62262.946191224037</c:v>
                </c:pt>
                <c:pt idx="46">
                  <c:v>88283.414512617979</c:v>
                </c:pt>
                <c:pt idx="47">
                  <c:v>508637.19719508477</c:v>
                </c:pt>
                <c:pt idx="48">
                  <c:v>96421.29413362965</c:v>
                </c:pt>
                <c:pt idx="49">
                  <c:v>121347.89458584297</c:v>
                </c:pt>
                <c:pt idx="50">
                  <c:v>244244.35502036335</c:v>
                </c:pt>
                <c:pt idx="51">
                  <c:v>399672.52800343884</c:v>
                </c:pt>
                <c:pt idx="52">
                  <c:v>511795.41531764856</c:v>
                </c:pt>
                <c:pt idx="53">
                  <c:v>636227.1030926574</c:v>
                </c:pt>
                <c:pt idx="54">
                  <c:v>472954.13154947385</c:v>
                </c:pt>
                <c:pt idx="55">
                  <c:v>713048.79261172842</c:v>
                </c:pt>
                <c:pt idx="56">
                  <c:v>325386.30499893613</c:v>
                </c:pt>
                <c:pt idx="57">
                  <c:v>249924.01572772837</c:v>
                </c:pt>
                <c:pt idx="58">
                  <c:v>342371.59766111372</c:v>
                </c:pt>
                <c:pt idx="59">
                  <c:v>53018.704998433124</c:v>
                </c:pt>
                <c:pt idx="60">
                  <c:v>341856.62124154065</c:v>
                </c:pt>
                <c:pt idx="61">
                  <c:v>320947.90967110032</c:v>
                </c:pt>
                <c:pt idx="62">
                  <c:v>433468.95764655597</c:v>
                </c:pt>
                <c:pt idx="63">
                  <c:v>342286.14490478951</c:v>
                </c:pt>
                <c:pt idx="64">
                  <c:v>501838.63574402989</c:v>
                </c:pt>
                <c:pt idx="65">
                  <c:v>969486.5193175911</c:v>
                </c:pt>
                <c:pt idx="66">
                  <c:v>412654.8899999999</c:v>
                </c:pt>
                <c:pt idx="67">
                  <c:v>104591.79299999995</c:v>
                </c:pt>
                <c:pt idx="68">
                  <c:v>25862.640000000014</c:v>
                </c:pt>
                <c:pt idx="69">
                  <c:v>92061.890000000014</c:v>
                </c:pt>
                <c:pt idx="70">
                  <c:v>27655</c:v>
                </c:pt>
                <c:pt idx="71">
                  <c:v>105700</c:v>
                </c:pt>
                <c:pt idx="72">
                  <c:v>45059</c:v>
                </c:pt>
                <c:pt idx="73">
                  <c:v>135422.90951778786</c:v>
                </c:pt>
              </c:numCache>
            </c:numRef>
          </c:yVal>
          <c:smooth val="0"/>
          <c:extLst>
            <c:ext xmlns:c16="http://schemas.microsoft.com/office/drawing/2014/chart" uri="{C3380CC4-5D6E-409C-BE32-E72D297353CC}">
              <c16:uniqueId val="{00000000-2E8A-41EF-A363-58A134E10248}"/>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4-2C34-4E36-AB14-14C4FB949C80}"/>
            </c:ext>
          </c:extLst>
        </c:ser>
        <c:ser>
          <c:idx val="3"/>
          <c:order val="3"/>
          <c:tx>
            <c:strRef>
              <c:f>'Retrospective Run1'!$AN$13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Run1'!$G$14:$G$103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C692-4D08-BC3E-5B8153B6F783}"/>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Run1'!$AI$13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3-2C34-4E36-AB14-14C4FB949C80}"/>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Retrospective analysis of Chum and Thompson and Chilcotin River Steelhead Spawner Abundance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1848408109796331"/>
          <c:h val="0.40541236183299495"/>
        </c:manualLayout>
      </c:layout>
      <c:scatterChart>
        <c:scatterStyle val="lineMarker"/>
        <c:varyColors val="0"/>
        <c:ser>
          <c:idx val="0"/>
          <c:order val="0"/>
          <c:tx>
            <c:strRef>
              <c:f>'Retrospective Run1'!$AP$13</c:f>
              <c:strCache>
                <c:ptCount val="1"/>
                <c:pt idx="0">
                  <c:v>Predicted chum spawners</c:v>
                </c:pt>
              </c:strCache>
            </c:strRef>
          </c:tx>
          <c:spPr>
            <a:ln w="19050" cap="rnd">
              <a:solidFill>
                <a:schemeClr val="accent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Run1'!$AP$14:$AP$103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0-BABC-4C74-A56C-D02C4BA1A407}"/>
            </c:ext>
          </c:extLst>
        </c:ser>
        <c:ser>
          <c:idx val="5"/>
          <c:order val="5"/>
          <c:tx>
            <c:strRef>
              <c:f>'Retrospective Run1'!$D$13</c:f>
              <c:strCache>
                <c:ptCount val="1"/>
                <c:pt idx="0">
                  <c:v>Chum Spawner Count</c:v>
                </c:pt>
              </c:strCache>
            </c:strRef>
          </c:tx>
          <c:spPr>
            <a:ln w="19050" cap="rnd">
              <a:noFill/>
              <a:round/>
            </a:ln>
            <a:effectLst/>
          </c:spPr>
          <c:marker>
            <c:symbol val="square"/>
            <c:size val="5"/>
            <c:spPr>
              <a:noFill/>
              <a:ln w="9525">
                <a:solidFill>
                  <a:srgbClr val="00B0F0"/>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2-E1FA-4D54-B2E0-1B0683CDC067}"/>
            </c:ext>
          </c:extLst>
        </c:ser>
        <c:dLbls>
          <c:showLegendKey val="0"/>
          <c:showVal val="0"/>
          <c:showCatName val="0"/>
          <c:showSerName val="0"/>
          <c:showPercent val="0"/>
          <c:showBubbleSize val="0"/>
        </c:dLbls>
        <c:axId val="1260687455"/>
        <c:axId val="1260687871"/>
      </c:scatterChart>
      <c:scatterChart>
        <c:scatterStyle val="lineMarker"/>
        <c:varyColors val="0"/>
        <c:ser>
          <c:idx val="1"/>
          <c:order val="1"/>
          <c:tx>
            <c:strRef>
              <c:f>'Retrospective Run1'!$CO$13</c:f>
              <c:strCache>
                <c:ptCount val="1"/>
                <c:pt idx="0">
                  <c:v>Thompson SH spawners</c:v>
                </c:pt>
              </c:strCache>
            </c:strRef>
          </c:tx>
          <c:spPr>
            <a:ln w="19050" cap="rnd">
              <a:solidFill>
                <a:schemeClr val="tx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2-BABC-4C74-A56C-D02C4BA1A407}"/>
            </c:ext>
          </c:extLst>
        </c:ser>
        <c:ser>
          <c:idx val="2"/>
          <c:order val="2"/>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1-B6E4-494B-AA18-110B87D22544}"/>
            </c:ext>
          </c:extLst>
        </c:ser>
        <c:ser>
          <c:idx val="3"/>
          <c:order val="3"/>
          <c:tx>
            <c:strRef>
              <c:f>'Retrospective Run1'!$BA$13</c:f>
              <c:strCache>
                <c:ptCount val="1"/>
                <c:pt idx="0">
                  <c:v>Thomp. SH spawners count</c:v>
                </c:pt>
              </c:strCache>
            </c:strRef>
          </c:tx>
          <c:spPr>
            <a:ln w="19050" cap="rnd">
              <a:noFill/>
              <a:round/>
            </a:ln>
            <a:effectLst/>
          </c:spPr>
          <c:marker>
            <c:symbol val="square"/>
            <c:size val="5"/>
            <c:spPr>
              <a:no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8929-4827-BD2B-6DE3E403678A}"/>
            </c:ext>
          </c:extLst>
        </c:ser>
        <c:ser>
          <c:idx val="4"/>
          <c:order val="4"/>
          <c:tx>
            <c:strRef>
              <c:f>'Retrospective Run1'!$DE$13</c:f>
              <c:strCache>
                <c:ptCount val="1"/>
                <c:pt idx="0">
                  <c:v>Chilcotin SH spawners count</c:v>
                </c:pt>
              </c:strCache>
            </c:strRef>
          </c:tx>
          <c:spPr>
            <a:ln w="19050" cap="rnd">
              <a:noFill/>
              <a:round/>
            </a:ln>
            <a:effectLst/>
          </c:spPr>
          <c:marker>
            <c:symbol val="square"/>
            <c:size val="5"/>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8929-4827-BD2B-6DE3E403678A}"/>
            </c:ext>
          </c:extLst>
        </c:ser>
        <c:dLbls>
          <c:showLegendKey val="0"/>
          <c:showVal val="0"/>
          <c:showCatName val="0"/>
          <c:showSerName val="0"/>
          <c:showPercent val="0"/>
          <c:showBubbleSize val="0"/>
        </c:dLbls>
        <c:axId val="1260689951"/>
        <c:axId val="1260694943"/>
      </c:scatterChart>
      <c:valAx>
        <c:axId val="1260687455"/>
        <c:scaling>
          <c:orientation val="minMax"/>
          <c:max val="2030"/>
          <c:min val="199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226252901384266"/>
          <c:y val="0.49957898538158585"/>
          <c:w val="0.31469842559576522"/>
          <c:h val="0.402352685938856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15043880366398424"/>
          <c:w val="0.32241454283775872"/>
          <c:h val="0.66945927137417294"/>
        </c:manualLayout>
      </c:layout>
      <c:scatterChart>
        <c:scatterStyle val="lineMarker"/>
        <c:varyColors val="0"/>
        <c:ser>
          <c:idx val="2"/>
          <c:order val="1"/>
          <c:tx>
            <c:strRef>
              <c:f>'Retrospective Run1'!$AU$13</c:f>
              <c:strCache>
                <c:ptCount val="1"/>
                <c:pt idx="0">
                  <c:v>Chum base alpha(y) (SSL, PDO smolt, PDO adult, NPGO)</c:v>
                </c:pt>
              </c:strCache>
            </c:strRef>
          </c:tx>
          <c:spPr>
            <a:ln w="19050" cap="rnd">
              <a:solidFill>
                <a:schemeClr val="accent3"/>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Run1'!$AU$14:$AU$103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0.7959846428153432</c:v>
                </c:pt>
                <c:pt idx="67">
                  <c:v>0.7959846428153432</c:v>
                </c:pt>
                <c:pt idx="68">
                  <c:v>0.7959846428153432</c:v>
                </c:pt>
                <c:pt idx="69">
                  <c:v>0.7959846428153432</c:v>
                </c:pt>
                <c:pt idx="70">
                  <c:v>0.7959846428153432</c:v>
                </c:pt>
                <c:pt idx="71">
                  <c:v>0.7959846428153432</c:v>
                </c:pt>
                <c:pt idx="72">
                  <c:v>0.7959846428153432</c:v>
                </c:pt>
                <c:pt idx="73">
                  <c:v>0.7959846428153432</c:v>
                </c:pt>
                <c:pt idx="74">
                  <c:v>0.7959846428153432</c:v>
                </c:pt>
                <c:pt idx="75">
                  <c:v>0.7959846428153432</c:v>
                </c:pt>
                <c:pt idx="76">
                  <c:v>0.7959846428153432</c:v>
                </c:pt>
                <c:pt idx="77">
                  <c:v>0.7959846428153432</c:v>
                </c:pt>
                <c:pt idx="78">
                  <c:v>0.7959846428153432</c:v>
                </c:pt>
                <c:pt idx="79">
                  <c:v>0.7959846428153432</c:v>
                </c:pt>
                <c:pt idx="80">
                  <c:v>0.7959846428153432</c:v>
                </c:pt>
                <c:pt idx="81">
                  <c:v>0.7959846428153432</c:v>
                </c:pt>
                <c:pt idx="82">
                  <c:v>0.7959846428153432</c:v>
                </c:pt>
                <c:pt idx="83">
                  <c:v>0.7959846428153432</c:v>
                </c:pt>
                <c:pt idx="84">
                  <c:v>0.7959846428153432</c:v>
                </c:pt>
                <c:pt idx="85">
                  <c:v>0.7959846428153432</c:v>
                </c:pt>
                <c:pt idx="86">
                  <c:v>0.7959846428153432</c:v>
                </c:pt>
                <c:pt idx="87">
                  <c:v>0.7959846428153432</c:v>
                </c:pt>
                <c:pt idx="88">
                  <c:v>0.7959846428153432</c:v>
                </c:pt>
                <c:pt idx="89">
                  <c:v>0.7959846428153432</c:v>
                </c:pt>
              </c:numCache>
            </c:numRef>
          </c:yVal>
          <c:smooth val="0"/>
          <c:extLst>
            <c:ext xmlns:c16="http://schemas.microsoft.com/office/drawing/2014/chart" uri="{C3380CC4-5D6E-409C-BE32-E72D297353CC}">
              <c16:uniqueId val="{00000002-FA4B-4C73-8078-738A9461AF9B}"/>
            </c:ext>
          </c:extLst>
        </c:ser>
        <c:ser>
          <c:idx val="4"/>
          <c:order val="3"/>
          <c:tx>
            <c:strRef>
              <c:f>'Retrospective Run1'!$BO$13</c:f>
              <c:strCache>
                <c:ptCount val="1"/>
                <c:pt idx="0">
                  <c:v>SH TH base alpha(y) (spawn, SSLs, SST)</c:v>
                </c:pt>
              </c:strCache>
            </c:strRef>
          </c:tx>
          <c:spPr>
            <a:ln w="19050" cap="rnd">
              <a:solidFill>
                <a:srgbClr val="00B050"/>
              </a:solidFill>
              <a:prstDash val="sysDash"/>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Run1'!$BO$14:$BO$103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2.2991771484105246</c:v>
                </c:pt>
                <c:pt idx="28" formatCode="0.00">
                  <c:v>2.3046250758416464</c:v>
                </c:pt>
                <c:pt idx="29" formatCode="0.00">
                  <c:v>2.4638425514477218</c:v>
                </c:pt>
                <c:pt idx="30" formatCode="0.00">
                  <c:v>2.1856609008937644</c:v>
                </c:pt>
                <c:pt idx="31" formatCode="0.00">
                  <c:v>2.2981524656466732</c:v>
                </c:pt>
                <c:pt idx="32" formatCode="0.00">
                  <c:v>2.2457482778864342</c:v>
                </c:pt>
                <c:pt idx="33" formatCode="0.00">
                  <c:v>2.179952679389126</c:v>
                </c:pt>
                <c:pt idx="34" formatCode="0.00">
                  <c:v>2.2423794503776859</c:v>
                </c:pt>
                <c:pt idx="35" formatCode="0.00">
                  <c:v>2.3267851175467249</c:v>
                </c:pt>
                <c:pt idx="36" formatCode="0.00">
                  <c:v>1.9044965702422374</c:v>
                </c:pt>
                <c:pt idx="37" formatCode="0.00">
                  <c:v>2.0024676852288419</c:v>
                </c:pt>
                <c:pt idx="38" formatCode="0.00">
                  <c:v>2.1155012297682978</c:v>
                </c:pt>
                <c:pt idx="39" formatCode="0.00">
                  <c:v>1.9810237212797557</c:v>
                </c:pt>
                <c:pt idx="40" formatCode="0.00">
                  <c:v>1.7904698028472514</c:v>
                </c:pt>
                <c:pt idx="41" formatCode="0.00">
                  <c:v>1.8705435363109464</c:v>
                </c:pt>
                <c:pt idx="42" formatCode="0.00">
                  <c:v>1.9369482880490532</c:v>
                </c:pt>
                <c:pt idx="43" formatCode="0.00">
                  <c:v>1.8519667485076614</c:v>
                </c:pt>
                <c:pt idx="44" formatCode="0.00">
                  <c:v>1.4999801961291137</c:v>
                </c:pt>
                <c:pt idx="45" formatCode="0.00">
                  <c:v>1.7243165517116192</c:v>
                </c:pt>
                <c:pt idx="46" formatCode="0.00">
                  <c:v>1.8397489640896869</c:v>
                </c:pt>
                <c:pt idx="47" formatCode="0.00">
                  <c:v>1.4924377135061409</c:v>
                </c:pt>
                <c:pt idx="48" formatCode="0.00">
                  <c:v>1.6974981818605719</c:v>
                </c:pt>
                <c:pt idx="49" formatCode="0.00">
                  <c:v>1.404005770270458</c:v>
                </c:pt>
                <c:pt idx="50" formatCode="0.00">
                  <c:v>1.4344907481204912</c:v>
                </c:pt>
                <c:pt idx="51" formatCode="0.00">
                  <c:v>1.1728228120291713</c:v>
                </c:pt>
                <c:pt idx="52" formatCode="0.00">
                  <c:v>1.135434064802775</c:v>
                </c:pt>
                <c:pt idx="53" formatCode="0.00">
                  <c:v>1.3703173522292236</c:v>
                </c:pt>
                <c:pt idx="54" formatCode="0.00">
                  <c:v>1.2452180340263157</c:v>
                </c:pt>
                <c:pt idx="55" formatCode="0.00">
                  <c:v>1.3721679121032544</c:v>
                </c:pt>
                <c:pt idx="56" formatCode="0.00">
                  <c:v>1.0499218975376352</c:v>
                </c:pt>
                <c:pt idx="57" formatCode="0.00">
                  <c:v>0.92115093386836056</c:v>
                </c:pt>
                <c:pt idx="58" formatCode="0.00">
                  <c:v>0.93701883434967959</c:v>
                </c:pt>
                <c:pt idx="59" formatCode="0.00">
                  <c:v>0.93407766036620732</c:v>
                </c:pt>
                <c:pt idx="60" formatCode="0.00">
                  <c:v>0.45492341336477926</c:v>
                </c:pt>
                <c:pt idx="61" formatCode="0.00">
                  <c:v>0.13933498806550393</c:v>
                </c:pt>
                <c:pt idx="62" formatCode="0.00">
                  <c:v>8.361661914903773E-2</c:v>
                </c:pt>
                <c:pt idx="63" formatCode="0.00">
                  <c:v>-9.3486086298328663E-2</c:v>
                </c:pt>
                <c:pt idx="64" formatCode="0.00">
                  <c:v>0.16865287771330628</c:v>
                </c:pt>
                <c:pt idx="65" formatCode="0.00">
                  <c:v>-0.13652522477752793</c:v>
                </c:pt>
                <c:pt idx="66" formatCode="0.00">
                  <c:v>-0.57761116612795171</c:v>
                </c:pt>
                <c:pt idx="67" formatCode="0.00">
                  <c:v>-0.60618194536884862</c:v>
                </c:pt>
                <c:pt idx="68" formatCode="0.00">
                  <c:v>0.70534238386420578</c:v>
                </c:pt>
                <c:pt idx="69" formatCode="0.00">
                  <c:v>0.70534238386420578</c:v>
                </c:pt>
                <c:pt idx="70" formatCode="0.00">
                  <c:v>0.70534238386420578</c:v>
                </c:pt>
                <c:pt idx="71" formatCode="0.00">
                  <c:v>0.70534238386420578</c:v>
                </c:pt>
                <c:pt idx="72" formatCode="0.00">
                  <c:v>0.70534238386420578</c:v>
                </c:pt>
                <c:pt idx="73" formatCode="0.00">
                  <c:v>0.70534238386420578</c:v>
                </c:pt>
                <c:pt idx="74" formatCode="0.00">
                  <c:v>0.70534238386420578</c:v>
                </c:pt>
                <c:pt idx="75" formatCode="0.00">
                  <c:v>0.70534238386420578</c:v>
                </c:pt>
                <c:pt idx="76" formatCode="0.00">
                  <c:v>0.70534238386420578</c:v>
                </c:pt>
                <c:pt idx="77" formatCode="0.00">
                  <c:v>0.70534238386420578</c:v>
                </c:pt>
                <c:pt idx="78" formatCode="0.00">
                  <c:v>0.70534238386420578</c:v>
                </c:pt>
                <c:pt idx="79" formatCode="0.00">
                  <c:v>0.70534238386420578</c:v>
                </c:pt>
                <c:pt idx="80" formatCode="0.00">
                  <c:v>0.70534238386420578</c:v>
                </c:pt>
                <c:pt idx="81" formatCode="0.00">
                  <c:v>0.70534238386420578</c:v>
                </c:pt>
                <c:pt idx="82" formatCode="0.00">
                  <c:v>0.70534238386420578</c:v>
                </c:pt>
                <c:pt idx="83" formatCode="0.00">
                  <c:v>0.70534238386420578</c:v>
                </c:pt>
                <c:pt idx="84" formatCode="0.00">
                  <c:v>0.70534238386420578</c:v>
                </c:pt>
                <c:pt idx="85" formatCode="0.00">
                  <c:v>0.70534238386420578</c:v>
                </c:pt>
                <c:pt idx="86" formatCode="0.00">
                  <c:v>0.70534238386420578</c:v>
                </c:pt>
                <c:pt idx="87" formatCode="0.00">
                  <c:v>0.70534238386420578</c:v>
                </c:pt>
                <c:pt idx="88" formatCode="0.00">
                  <c:v>0.70534238386420578</c:v>
                </c:pt>
                <c:pt idx="89" formatCode="0.00">
                  <c:v>0.70534238386420578</c:v>
                </c:pt>
              </c:numCache>
            </c:numRef>
          </c:yVal>
          <c:smooth val="0"/>
          <c:extLst>
            <c:ext xmlns:c16="http://schemas.microsoft.com/office/drawing/2014/chart" uri="{C3380CC4-5D6E-409C-BE32-E72D297353CC}">
              <c16:uniqueId val="{00000004-FA4B-4C73-8078-738A9461AF9B}"/>
            </c:ext>
          </c:extLst>
        </c:ser>
        <c:ser>
          <c:idx val="5"/>
          <c:order val="4"/>
          <c:tx>
            <c:strRef>
              <c:f>'Retrospective Run1'!$CV$13</c:f>
              <c:strCache>
                <c:ptCount val="1"/>
                <c:pt idx="0">
                  <c:v>SH TH base alpha(y) (SSL+SST)</c:v>
                </c:pt>
              </c:strCache>
            </c:strRef>
          </c:tx>
          <c:spPr>
            <a:ln w="19050" cap="rnd">
              <a:solidFill>
                <a:schemeClr val="accent2"/>
              </a:solidFill>
              <a:prstDash val="sysDash"/>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Run1'!$CV$14:$CV$103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2.1800422333136753</c:v>
                </c:pt>
                <c:pt idx="69">
                  <c:v>2.1800422333136753</c:v>
                </c:pt>
                <c:pt idx="70">
                  <c:v>2.1800422333136753</c:v>
                </c:pt>
                <c:pt idx="71">
                  <c:v>2.1800422333136753</c:v>
                </c:pt>
                <c:pt idx="72">
                  <c:v>2.1800422333136753</c:v>
                </c:pt>
                <c:pt idx="73">
                  <c:v>2.1800422333136753</c:v>
                </c:pt>
                <c:pt idx="74">
                  <c:v>2.1800422333136753</c:v>
                </c:pt>
                <c:pt idx="75">
                  <c:v>2.1800422333136753</c:v>
                </c:pt>
                <c:pt idx="76">
                  <c:v>2.1800422333136753</c:v>
                </c:pt>
                <c:pt idx="77">
                  <c:v>2.1800422333136753</c:v>
                </c:pt>
                <c:pt idx="78">
                  <c:v>2.1800422333136753</c:v>
                </c:pt>
                <c:pt idx="79">
                  <c:v>2.1800422333136753</c:v>
                </c:pt>
                <c:pt idx="80">
                  <c:v>2.1800422333136753</c:v>
                </c:pt>
                <c:pt idx="81">
                  <c:v>2.1800422333136753</c:v>
                </c:pt>
                <c:pt idx="82">
                  <c:v>2.1800422333136753</c:v>
                </c:pt>
                <c:pt idx="83">
                  <c:v>2.1800422333136753</c:v>
                </c:pt>
                <c:pt idx="84">
                  <c:v>2.1800422333136753</c:v>
                </c:pt>
                <c:pt idx="85">
                  <c:v>2.1800422333136753</c:v>
                </c:pt>
                <c:pt idx="86">
                  <c:v>2.1800422333136753</c:v>
                </c:pt>
                <c:pt idx="87">
                  <c:v>2.1800422333136753</c:v>
                </c:pt>
                <c:pt idx="88">
                  <c:v>2.1800422333136753</c:v>
                </c:pt>
                <c:pt idx="89">
                  <c:v>2.1800422333136753</c:v>
                </c:pt>
              </c:numCache>
            </c:numRef>
          </c:yVal>
          <c:smooth val="0"/>
          <c:extLst>
            <c:ext xmlns:c16="http://schemas.microsoft.com/office/drawing/2014/chart" uri="{C3380CC4-5D6E-409C-BE32-E72D297353CC}">
              <c16:uniqueId val="{00000005-FA4B-4C73-8078-738A9461AF9B}"/>
            </c:ext>
          </c:extLst>
        </c:ser>
        <c:ser>
          <c:idx val="6"/>
          <c:order val="5"/>
          <c:tx>
            <c:strRef>
              <c:f>'Retrospective Run1'!$DT$13</c:f>
              <c:strCache>
                <c:ptCount val="1"/>
                <c:pt idx="0">
                  <c:v>SH CH Base alpha(SSL, NPGO, PDO smolt)</c:v>
                </c:pt>
              </c:strCache>
            </c:strRef>
          </c:tx>
          <c:spPr>
            <a:ln w="19050" cap="rnd">
              <a:solidFill>
                <a:schemeClr val="accent1">
                  <a:lumMod val="60000"/>
                </a:schemeClr>
              </a:solidFill>
              <a:prstDash val="sysDash"/>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Run1'!$DT$14:$DT$103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6-FA4B-4C73-8078-738A9461AF9B}"/>
            </c:ext>
          </c:extLst>
        </c:ser>
        <c:ser>
          <c:idx val="7"/>
          <c:order val="6"/>
          <c:tx>
            <c:strRef>
              <c:f>'Retrospective Run1'!$FA$13</c:f>
              <c:strCache>
                <c:ptCount val="1"/>
                <c:pt idx="0">
                  <c:v>STHD Chilcotin alpha SSL controls</c:v>
                </c:pt>
              </c:strCache>
            </c:strRef>
          </c:tx>
          <c:spPr>
            <a:ln w="19050" cap="rnd">
              <a:solidFill>
                <a:schemeClr val="accent2">
                  <a:lumMod val="60000"/>
                </a:schemeClr>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Run1'!$FA$14:$FA$103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1.9752608217433578</c:v>
                </c:pt>
                <c:pt idx="29">
                  <c:v>2.0787458759188766</c:v>
                </c:pt>
                <c:pt idx="30">
                  <c:v>2.005278775870007</c:v>
                </c:pt>
                <c:pt idx="31">
                  <c:v>2.0579225221281527</c:v>
                </c:pt>
                <c:pt idx="32">
                  <c:v>2.0725664083696751</c:v>
                </c:pt>
                <c:pt idx="33">
                  <c:v>2.0389747167151291</c:v>
                </c:pt>
                <c:pt idx="34">
                  <c:v>1.6246621804546819</c:v>
                </c:pt>
                <c:pt idx="35">
                  <c:v>1.4424104209509137</c:v>
                </c:pt>
                <c:pt idx="36">
                  <c:v>1.8478683554489552</c:v>
                </c:pt>
                <c:pt idx="37">
                  <c:v>1.596654408986325</c:v>
                </c:pt>
                <c:pt idx="38">
                  <c:v>1.6788643085349055</c:v>
                </c:pt>
                <c:pt idx="39">
                  <c:v>1.5256340683108789</c:v>
                </c:pt>
                <c:pt idx="40">
                  <c:v>1.7430309547468537</c:v>
                </c:pt>
                <c:pt idx="41">
                  <c:v>1.6808282977998332</c:v>
                </c:pt>
                <c:pt idx="42">
                  <c:v>1.7596653690208117</c:v>
                </c:pt>
                <c:pt idx="43">
                  <c:v>1.666866534338469</c:v>
                </c:pt>
                <c:pt idx="44">
                  <c:v>1.8408919894738998</c:v>
                </c:pt>
                <c:pt idx="45">
                  <c:v>2.0193905866308608</c:v>
                </c:pt>
                <c:pt idx="46">
                  <c:v>1.9431397321536286</c:v>
                </c:pt>
                <c:pt idx="47">
                  <c:v>2.1425463859562455</c:v>
                </c:pt>
                <c:pt idx="48">
                  <c:v>1.8365831397257875</c:v>
                </c:pt>
                <c:pt idx="49">
                  <c:v>1.6059168221757045</c:v>
                </c:pt>
                <c:pt idx="50">
                  <c:v>1.481240516259694</c:v>
                </c:pt>
                <c:pt idx="51">
                  <c:v>1.7065608844949098</c:v>
                </c:pt>
                <c:pt idx="52">
                  <c:v>1.6978147209509038</c:v>
                </c:pt>
                <c:pt idx="53">
                  <c:v>1.8640969442897837</c:v>
                </c:pt>
                <c:pt idx="54">
                  <c:v>1.8659257036811396</c:v>
                </c:pt>
                <c:pt idx="55">
                  <c:v>1.7388624475006602</c:v>
                </c:pt>
                <c:pt idx="56">
                  <c:v>1.6657010567052801</c:v>
                </c:pt>
                <c:pt idx="57">
                  <c:v>1.9077832081451849</c:v>
                </c:pt>
                <c:pt idx="58">
                  <c:v>1.6760098943649531</c:v>
                </c:pt>
                <c:pt idx="59">
                  <c:v>1.8515455737966411</c:v>
                </c:pt>
                <c:pt idx="60">
                  <c:v>1.6229535055727486</c:v>
                </c:pt>
                <c:pt idx="61">
                  <c:v>1.5064458791267727</c:v>
                </c:pt>
                <c:pt idx="62">
                  <c:v>1.6520356871339108</c:v>
                </c:pt>
                <c:pt idx="63">
                  <c:v>1.3001117159977058</c:v>
                </c:pt>
                <c:pt idx="64">
                  <c:v>1.0336182542336263</c:v>
                </c:pt>
                <c:pt idx="65">
                  <c:v>1.173467539182917</c:v>
                </c:pt>
                <c:pt idx="66">
                  <c:v>1.1496758645607339</c:v>
                </c:pt>
                <c:pt idx="67">
                  <c:v>1.6239447871927648</c:v>
                </c:pt>
                <c:pt idx="68">
                  <c:v>1.6239447871927648</c:v>
                </c:pt>
                <c:pt idx="69">
                  <c:v>1.6239447871927648</c:v>
                </c:pt>
                <c:pt idx="70">
                  <c:v>1.6239447871927648</c:v>
                </c:pt>
                <c:pt idx="71">
                  <c:v>1.6239447871927648</c:v>
                </c:pt>
                <c:pt idx="72">
                  <c:v>1.6239447871927648</c:v>
                </c:pt>
                <c:pt idx="73">
                  <c:v>1.6239447871927648</c:v>
                </c:pt>
                <c:pt idx="74">
                  <c:v>1.6239447871927648</c:v>
                </c:pt>
                <c:pt idx="75">
                  <c:v>1.6239447871927648</c:v>
                </c:pt>
                <c:pt idx="76">
                  <c:v>1.6239447871927648</c:v>
                </c:pt>
                <c:pt idx="77">
                  <c:v>1.6239447871927648</c:v>
                </c:pt>
                <c:pt idx="78">
                  <c:v>1.6239447871927648</c:v>
                </c:pt>
                <c:pt idx="79">
                  <c:v>1.6239447871927648</c:v>
                </c:pt>
                <c:pt idx="80">
                  <c:v>1.6239447871927648</c:v>
                </c:pt>
                <c:pt idx="81">
                  <c:v>1.6239447871927648</c:v>
                </c:pt>
                <c:pt idx="82">
                  <c:v>1.6239447871927648</c:v>
                </c:pt>
                <c:pt idx="83">
                  <c:v>1.6239447871927648</c:v>
                </c:pt>
                <c:pt idx="84">
                  <c:v>1.6239447871927648</c:v>
                </c:pt>
                <c:pt idx="85">
                  <c:v>1.6239447871927648</c:v>
                </c:pt>
                <c:pt idx="86">
                  <c:v>1.6239447871927648</c:v>
                </c:pt>
                <c:pt idx="87">
                  <c:v>1.6239447871927648</c:v>
                </c:pt>
                <c:pt idx="88">
                  <c:v>1.6239447871927648</c:v>
                </c:pt>
                <c:pt idx="89">
                  <c:v>1.6239447871927648</c:v>
                </c:pt>
              </c:numCache>
            </c:numRef>
          </c:yVal>
          <c:smooth val="0"/>
          <c:extLst>
            <c:ext xmlns:c16="http://schemas.microsoft.com/office/drawing/2014/chart" uri="{C3380CC4-5D6E-409C-BE32-E72D297353CC}">
              <c16:uniqueId val="{00000007-FA4B-4C73-8078-738A9461AF9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Run1'!$AI$13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1-FA4B-4C73-8078-738A9461AF9B}"/>
            </c:ext>
          </c:extLst>
        </c:ser>
        <c:ser>
          <c:idx val="3"/>
          <c:order val="2"/>
          <c:tx>
            <c:strRef>
              <c:f>'Retrospective Run1'!$CB$13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Run1'!$CB$14:$CB$103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0.13799999999999998</c:v>
                </c:pt>
                <c:pt idx="41">
                  <c:v>0.13799999999999998</c:v>
                </c:pt>
                <c:pt idx="42">
                  <c:v>0.13799999999999998</c:v>
                </c:pt>
                <c:pt idx="43">
                  <c:v>0.13799999999999998</c:v>
                </c:pt>
                <c:pt idx="44">
                  <c:v>0.13799999999999998</c:v>
                </c:pt>
                <c:pt idx="45">
                  <c:v>0.13799999999999998</c:v>
                </c:pt>
                <c:pt idx="46">
                  <c:v>0.13799999999999998</c:v>
                </c:pt>
                <c:pt idx="47">
                  <c:v>0.13799999999999998</c:v>
                </c:pt>
                <c:pt idx="48">
                  <c:v>0.13799999999999998</c:v>
                </c:pt>
                <c:pt idx="49">
                  <c:v>0.13799999999999998</c:v>
                </c:pt>
                <c:pt idx="50">
                  <c:v>0.13799999999999998</c:v>
                </c:pt>
                <c:pt idx="51">
                  <c:v>0.13799999999999998</c:v>
                </c:pt>
                <c:pt idx="52">
                  <c:v>0.13799999999999998</c:v>
                </c:pt>
                <c:pt idx="53">
                  <c:v>0.13799999999999998</c:v>
                </c:pt>
                <c:pt idx="54">
                  <c:v>0.13799999999999998</c:v>
                </c:pt>
                <c:pt idx="55">
                  <c:v>0.13799999999999998</c:v>
                </c:pt>
                <c:pt idx="56">
                  <c:v>0.13799999999999998</c:v>
                </c:pt>
                <c:pt idx="57">
                  <c:v>0.13799999999999998</c:v>
                </c:pt>
                <c:pt idx="58">
                  <c:v>0.13799999999999998</c:v>
                </c:pt>
                <c:pt idx="59">
                  <c:v>0.13799999999999998</c:v>
                </c:pt>
                <c:pt idx="60">
                  <c:v>0.13799999999999998</c:v>
                </c:pt>
                <c:pt idx="61">
                  <c:v>0.13799999999999998</c:v>
                </c:pt>
                <c:pt idx="62">
                  <c:v>0.13799999999999998</c:v>
                </c:pt>
                <c:pt idx="63">
                  <c:v>0.13799999999999998</c:v>
                </c:pt>
                <c:pt idx="64">
                  <c:v>0.13799999999999998</c:v>
                </c:pt>
                <c:pt idx="65">
                  <c:v>0.13799999999999998</c:v>
                </c:pt>
                <c:pt idx="66">
                  <c:v>0.13799999999999998</c:v>
                </c:pt>
                <c:pt idx="67">
                  <c:v>0.13799999999999998</c:v>
                </c:pt>
                <c:pt idx="68">
                  <c:v>0.13799999999999998</c:v>
                </c:pt>
                <c:pt idx="69">
                  <c:v>0.13799999999999998</c:v>
                </c:pt>
                <c:pt idx="70">
                  <c:v>0.13799999999999998</c:v>
                </c:pt>
                <c:pt idx="71">
                  <c:v>0.13799999999999998</c:v>
                </c:pt>
                <c:pt idx="72">
                  <c:v>0.13799999999999998</c:v>
                </c:pt>
                <c:pt idx="73">
                  <c:v>0.13799999999999998</c:v>
                </c:pt>
                <c:pt idx="74">
                  <c:v>0.13799999999999998</c:v>
                </c:pt>
                <c:pt idx="75">
                  <c:v>0.13799999999999998</c:v>
                </c:pt>
                <c:pt idx="76">
                  <c:v>0.13799999999999998</c:v>
                </c:pt>
                <c:pt idx="77">
                  <c:v>0.13799999999999998</c:v>
                </c:pt>
                <c:pt idx="78">
                  <c:v>0.13799999999999998</c:v>
                </c:pt>
                <c:pt idx="79">
                  <c:v>0.13799999999999998</c:v>
                </c:pt>
                <c:pt idx="80">
                  <c:v>0.13799999999999998</c:v>
                </c:pt>
                <c:pt idx="81">
                  <c:v>0.13799999999999998</c:v>
                </c:pt>
                <c:pt idx="82">
                  <c:v>0.13799999999999998</c:v>
                </c:pt>
                <c:pt idx="83">
                  <c:v>0.13799999999999998</c:v>
                </c:pt>
                <c:pt idx="84">
                  <c:v>0.13799999999999998</c:v>
                </c:pt>
                <c:pt idx="85">
                  <c:v>0.13799999999999998</c:v>
                </c:pt>
                <c:pt idx="86">
                  <c:v>0.13799999999999998</c:v>
                </c:pt>
                <c:pt idx="87">
                  <c:v>0.13799999999999998</c:v>
                </c:pt>
                <c:pt idx="88">
                  <c:v>0.13799999999999998</c:v>
                </c:pt>
                <c:pt idx="89">
                  <c:v>0.13799999999999998</c:v>
                </c:pt>
              </c:numCache>
            </c:numRef>
          </c:yVal>
          <c:smooth val="0"/>
          <c:extLst>
            <c:ext xmlns:c16="http://schemas.microsoft.com/office/drawing/2014/chart" uri="{C3380CC4-5D6E-409C-BE32-E72D297353CC}">
              <c16:uniqueId val="{00000003-FA4B-4C73-8078-738A9461AF9B}"/>
            </c:ext>
          </c:extLst>
        </c:ser>
        <c:dLbls>
          <c:showLegendKey val="0"/>
          <c:showVal val="0"/>
          <c:showCatName val="0"/>
          <c:showSerName val="0"/>
          <c:showPercent val="0"/>
          <c:showBubbleSize val="0"/>
        </c:dLbls>
        <c:axId val="1253577008"/>
        <c:axId val="1253571600"/>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Fraser River Chum</a:t>
            </a:r>
            <a:r>
              <a:rPr lang="en-US" baseline="0"/>
              <a:t> Salmon Run Size before</a:t>
            </a:r>
            <a:r>
              <a:rPr lang="en-US"/>
              <a:t> predation and Spawner</a:t>
            </a:r>
            <a:r>
              <a:rPr lang="en-US" baseline="0"/>
              <a:t> abundance</a:t>
            </a:r>
            <a:r>
              <a:rPr lang="en-US"/>
              <a:t> and total Chums killed by predators by Brood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38125720656084983"/>
          <c:w val="0.58532086614173229"/>
          <c:h val="0.41317194218256609"/>
        </c:manualLayout>
      </c:layout>
      <c:scatterChart>
        <c:scatterStyle val="lineMarker"/>
        <c:varyColors val="0"/>
        <c:ser>
          <c:idx val="0"/>
          <c:order val="0"/>
          <c:tx>
            <c:strRef>
              <c:f>'Retrospective Run1'!$FC$13</c:f>
              <c:strCache>
                <c:ptCount val="1"/>
                <c:pt idx="0">
                  <c:v>Chum spawners</c:v>
                </c:pt>
              </c:strCache>
            </c:strRef>
          </c:tx>
          <c:spPr>
            <a:ln w="19050" cap="rnd">
              <a:solidFill>
                <a:srgbClr val="00B05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Run1'!$FC$14:$FC$103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0-15D9-49B9-A8FD-AA25F1D727F6}"/>
            </c:ext>
          </c:extLst>
        </c:ser>
        <c:ser>
          <c:idx val="1"/>
          <c:order val="1"/>
          <c:tx>
            <c:strRef>
              <c:f>'Retrospective Run1'!$FD$13</c:f>
              <c:strCache>
                <c:ptCount val="1"/>
                <c:pt idx="0">
                  <c:v>Total run before predation</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Run1'!$FD$14:$FD$103</c:f>
              <c:numCache>
                <c:formatCode>#,##0</c:formatCode>
                <c:ptCount val="90"/>
                <c:pt idx="0">
                  <c:v>493491.60241446015</c:v>
                </c:pt>
                <c:pt idx="1">
                  <c:v>623775.31416408368</c:v>
                </c:pt>
                <c:pt idx="2">
                  <c:v>624852.06663876155</c:v>
                </c:pt>
                <c:pt idx="3">
                  <c:v>73441.164457549574</c:v>
                </c:pt>
                <c:pt idx="4">
                  <c:v>714191.79541674536</c:v>
                </c:pt>
                <c:pt idx="5">
                  <c:v>286115.81678290729</c:v>
                </c:pt>
                <c:pt idx="6">
                  <c:v>324342.45765689609</c:v>
                </c:pt>
                <c:pt idx="7">
                  <c:v>73847.895786552937</c:v>
                </c:pt>
                <c:pt idx="8">
                  <c:v>336480.7665495628</c:v>
                </c:pt>
                <c:pt idx="9">
                  <c:v>1095655.3255096907</c:v>
                </c:pt>
                <c:pt idx="10">
                  <c:v>716627.00665595336</c:v>
                </c:pt>
                <c:pt idx="11">
                  <c:v>233570.00216889649</c:v>
                </c:pt>
                <c:pt idx="12">
                  <c:v>492491.48035961424</c:v>
                </c:pt>
                <c:pt idx="13">
                  <c:v>1123284.7425670177</c:v>
                </c:pt>
                <c:pt idx="14">
                  <c:v>1120218.7531834841</c:v>
                </c:pt>
                <c:pt idx="15">
                  <c:v>607814.06686765945</c:v>
                </c:pt>
                <c:pt idx="16">
                  <c:v>866844.98018714518</c:v>
                </c:pt>
                <c:pt idx="17">
                  <c:v>1463931.257273223</c:v>
                </c:pt>
                <c:pt idx="18">
                  <c:v>1755990.6980449294</c:v>
                </c:pt>
                <c:pt idx="19">
                  <c:v>709805.84646260517</c:v>
                </c:pt>
                <c:pt idx="20">
                  <c:v>1928723.2583236066</c:v>
                </c:pt>
                <c:pt idx="21">
                  <c:v>1023390.2104015896</c:v>
                </c:pt>
                <c:pt idx="22">
                  <c:v>485835.63028430799</c:v>
                </c:pt>
                <c:pt idx="23">
                  <c:v>1640510.5310472115</c:v>
                </c:pt>
                <c:pt idx="24">
                  <c:v>2138519.9917023615</c:v>
                </c:pt>
                <c:pt idx="25">
                  <c:v>606983.8103278724</c:v>
                </c:pt>
                <c:pt idx="26">
                  <c:v>1497486.5503682415</c:v>
                </c:pt>
                <c:pt idx="27">
                  <c:v>539907.17927684577</c:v>
                </c:pt>
                <c:pt idx="28">
                  <c:v>2210355.7089244896</c:v>
                </c:pt>
                <c:pt idx="29">
                  <c:v>297623.75146931713</c:v>
                </c:pt>
                <c:pt idx="30">
                  <c:v>1290562.0401391126</c:v>
                </c:pt>
                <c:pt idx="31">
                  <c:v>651906.12514923769</c:v>
                </c:pt>
                <c:pt idx="32">
                  <c:v>2035278.4578809098</c:v>
                </c:pt>
                <c:pt idx="33">
                  <c:v>1327057.7408969142</c:v>
                </c:pt>
                <c:pt idx="34">
                  <c:v>1644434.8479940284</c:v>
                </c:pt>
                <c:pt idx="35">
                  <c:v>1223662.7709588378</c:v>
                </c:pt>
                <c:pt idx="36">
                  <c:v>2407881.866365598</c:v>
                </c:pt>
                <c:pt idx="37">
                  <c:v>1785938.7190605476</c:v>
                </c:pt>
                <c:pt idx="38">
                  <c:v>2171218.8875173102</c:v>
                </c:pt>
                <c:pt idx="39">
                  <c:v>1876206.9813081098</c:v>
                </c:pt>
                <c:pt idx="40">
                  <c:v>2836635.1049793945</c:v>
                </c:pt>
                <c:pt idx="41">
                  <c:v>2170645.1094859769</c:v>
                </c:pt>
                <c:pt idx="42">
                  <c:v>2182552.7160187014</c:v>
                </c:pt>
                <c:pt idx="43">
                  <c:v>2382207.96328077</c:v>
                </c:pt>
                <c:pt idx="44">
                  <c:v>2057589.981882639</c:v>
                </c:pt>
                <c:pt idx="45">
                  <c:v>2135171.4385694358</c:v>
                </c:pt>
                <c:pt idx="46">
                  <c:v>2433710.3929094174</c:v>
                </c:pt>
                <c:pt idx="47">
                  <c:v>3762677.3391756839</c:v>
                </c:pt>
                <c:pt idx="48">
                  <c:v>3813332.0052658212</c:v>
                </c:pt>
                <c:pt idx="49">
                  <c:v>3598020.1659969883</c:v>
                </c:pt>
                <c:pt idx="50">
                  <c:v>3402993.2351830276</c:v>
                </c:pt>
                <c:pt idx="51">
                  <c:v>2495441.4913855083</c:v>
                </c:pt>
                <c:pt idx="52">
                  <c:v>2335657.1150440336</c:v>
                </c:pt>
                <c:pt idx="53">
                  <c:v>1878171.1009738813</c:v>
                </c:pt>
                <c:pt idx="54">
                  <c:v>2454336.2172501353</c:v>
                </c:pt>
                <c:pt idx="55">
                  <c:v>2363295.161123035</c:v>
                </c:pt>
                <c:pt idx="56">
                  <c:v>2782649.7433142918</c:v>
                </c:pt>
                <c:pt idx="57">
                  <c:v>2821988.9090041039</c:v>
                </c:pt>
                <c:pt idx="58">
                  <c:v>2751090.066894717</c:v>
                </c:pt>
                <c:pt idx="59">
                  <c:v>3096990.7152916784</c:v>
                </c:pt>
                <c:pt idx="60">
                  <c:v>3988424.7377871284</c:v>
                </c:pt>
                <c:pt idx="61">
                  <c:v>3642373.1723336889</c:v>
                </c:pt>
                <c:pt idx="62">
                  <c:v>2433605.7559861429</c:v>
                </c:pt>
                <c:pt idx="63">
                  <c:v>1913093.4424625693</c:v>
                </c:pt>
                <c:pt idx="64">
                  <c:v>2259081.5700578</c:v>
                </c:pt>
                <c:pt idx="65">
                  <c:v>1401300.4428739464</c:v>
                </c:pt>
                <c:pt idx="66">
                  <c:v>2965484.6093096253</c:v>
                </c:pt>
                <c:pt idx="67">
                  <c:v>2846478.209551319</c:v>
                </c:pt>
                <c:pt idx="68">
                  <c:v>2239528.0707075573</c:v>
                </c:pt>
                <c:pt idx="69">
                  <c:v>2385602.1600115802</c:v>
                </c:pt>
                <c:pt idx="70">
                  <c:v>2946364.4971713587</c:v>
                </c:pt>
                <c:pt idx="71">
                  <c:v>2963086.7335141245</c:v>
                </c:pt>
                <c:pt idx="72">
                  <c:v>2897110.5822177925</c:v>
                </c:pt>
                <c:pt idx="73">
                  <c:v>2917792.2660534382</c:v>
                </c:pt>
                <c:pt idx="74">
                  <c:v>2965698.3949706117</c:v>
                </c:pt>
                <c:pt idx="75">
                  <c:v>2966076.1159630516</c:v>
                </c:pt>
                <c:pt idx="76">
                  <c:v>2966137.5138064404</c:v>
                </c:pt>
                <c:pt idx="77">
                  <c:v>2966189.731912063</c:v>
                </c:pt>
                <c:pt idx="78">
                  <c:v>2966011.4780325592</c:v>
                </c:pt>
                <c:pt idx="79">
                  <c:v>2965929.4303263184</c:v>
                </c:pt>
                <c:pt idx="80">
                  <c:v>2965927.1161578088</c:v>
                </c:pt>
                <c:pt idx="81">
                  <c:v>2965926.721513324</c:v>
                </c:pt>
                <c:pt idx="82">
                  <c:v>2965928.5767799742</c:v>
                </c:pt>
                <c:pt idx="83">
                  <c:v>2965929.7361903838</c:v>
                </c:pt>
                <c:pt idx="84">
                  <c:v>2965929.9095958015</c:v>
                </c:pt>
                <c:pt idx="85">
                  <c:v>2965929.9166543572</c:v>
                </c:pt>
                <c:pt idx="86">
                  <c:v>2965929.8967517298</c:v>
                </c:pt>
                <c:pt idx="87">
                  <c:v>2965929.8813584764</c:v>
                </c:pt>
                <c:pt idx="88">
                  <c:v>2965929.8774802811</c:v>
                </c:pt>
                <c:pt idx="89">
                  <c:v>2965929.8771064165</c:v>
                </c:pt>
              </c:numCache>
            </c:numRef>
          </c:yVal>
          <c:smooth val="0"/>
          <c:extLst>
            <c:ext xmlns:c16="http://schemas.microsoft.com/office/drawing/2014/chart" uri="{C3380CC4-5D6E-409C-BE32-E72D297353CC}">
              <c16:uniqueId val="{00000001-15D9-49B9-A8FD-AA25F1D727F6}"/>
            </c:ext>
          </c:extLst>
        </c:ser>
        <c:ser>
          <c:idx val="2"/>
          <c:order val="2"/>
          <c:tx>
            <c:strRef>
              <c:f>'Retrospective Run1'!$FG$13</c:f>
              <c:strCache>
                <c:ptCount val="1"/>
                <c:pt idx="0">
                  <c:v>Total killed by predators</c:v>
                </c:pt>
              </c:strCache>
            </c:strRef>
          </c:tx>
          <c:spPr>
            <a:ln w="19050" cap="rnd">
              <a:solidFill>
                <a:srgbClr val="FF000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Run1'!$FG$14:$FG$103</c:f>
              <c:numCache>
                <c:formatCode>#,##0</c:formatCode>
                <c:ptCount val="90"/>
                <c:pt idx="0">
                  <c:v>144778.49606617738</c:v>
                </c:pt>
                <c:pt idx="1">
                  <c:v>177823.71891814261</c:v>
                </c:pt>
                <c:pt idx="2">
                  <c:v>144874.52088876214</c:v>
                </c:pt>
                <c:pt idx="3">
                  <c:v>12861.607659302856</c:v>
                </c:pt>
                <c:pt idx="4">
                  <c:v>103744.75851330184</c:v>
                </c:pt>
                <c:pt idx="5">
                  <c:v>42322.097751836845</c:v>
                </c:pt>
                <c:pt idx="6">
                  <c:v>47252.019567586016</c:v>
                </c:pt>
                <c:pt idx="7">
                  <c:v>10495.592619086092</c:v>
                </c:pt>
                <c:pt idx="8">
                  <c:v>46618.906378779444</c:v>
                </c:pt>
                <c:pt idx="9">
                  <c:v>147867.05165139772</c:v>
                </c:pt>
                <c:pt idx="10">
                  <c:v>94130.246868545539</c:v>
                </c:pt>
                <c:pt idx="11">
                  <c:v>29834.114358131774</c:v>
                </c:pt>
                <c:pt idx="12">
                  <c:v>61115.71738288342</c:v>
                </c:pt>
                <c:pt idx="13">
                  <c:v>135292.74843559379</c:v>
                </c:pt>
                <c:pt idx="14">
                  <c:v>130822.32494116633</c:v>
                </c:pt>
                <c:pt idx="15">
                  <c:v>69041.217494091368</c:v>
                </c:pt>
                <c:pt idx="16">
                  <c:v>97846.175766252447</c:v>
                </c:pt>
                <c:pt idx="17">
                  <c:v>162274.27155929687</c:v>
                </c:pt>
                <c:pt idx="18">
                  <c:v>193881.14072329504</c:v>
                </c:pt>
                <c:pt idx="19">
                  <c:v>83416.019573508063</c:v>
                </c:pt>
                <c:pt idx="20">
                  <c:v>239861.02845320967</c:v>
                </c:pt>
                <c:pt idx="21">
                  <c:v>134039.05500550056</c:v>
                </c:pt>
                <c:pt idx="22">
                  <c:v>66424.874903758755</c:v>
                </c:pt>
                <c:pt idx="23">
                  <c:v>224985.40032864641</c:v>
                </c:pt>
                <c:pt idx="24">
                  <c:v>290143.16953722551</c:v>
                </c:pt>
                <c:pt idx="25">
                  <c:v>81463.844670410268</c:v>
                </c:pt>
                <c:pt idx="26">
                  <c:v>200299.37179125263</c:v>
                </c:pt>
                <c:pt idx="27">
                  <c:v>72590.250581982138</c:v>
                </c:pt>
                <c:pt idx="28">
                  <c:v>297181.22104071896</c:v>
                </c:pt>
                <c:pt idx="29">
                  <c:v>40015.364728516084</c:v>
                </c:pt>
                <c:pt idx="30">
                  <c:v>173515.42168928124</c:v>
                </c:pt>
                <c:pt idx="31">
                  <c:v>87648.4529135091</c:v>
                </c:pt>
                <c:pt idx="32">
                  <c:v>273642.17208515503</c:v>
                </c:pt>
                <c:pt idx="33">
                  <c:v>178422.25042736577</c:v>
                </c:pt>
                <c:pt idx="34">
                  <c:v>221093.44395367126</c:v>
                </c:pt>
                <c:pt idx="35">
                  <c:v>164520.84836271033</c:v>
                </c:pt>
                <c:pt idx="36">
                  <c:v>323738.51424869406</c:v>
                </c:pt>
                <c:pt idx="37">
                  <c:v>240118.56874048593</c:v>
                </c:pt>
                <c:pt idx="38">
                  <c:v>291919.29495050712</c:v>
                </c:pt>
                <c:pt idx="39">
                  <c:v>252255.09151265444</c:v>
                </c:pt>
                <c:pt idx="40">
                  <c:v>381384.17302748421</c:v>
                </c:pt>
                <c:pt idx="41">
                  <c:v>291842.15078078397</c:v>
                </c:pt>
                <c:pt idx="42">
                  <c:v>293443.12253152044</c:v>
                </c:pt>
                <c:pt idx="43">
                  <c:v>320286.67080249055</c:v>
                </c:pt>
                <c:pt idx="44">
                  <c:v>276641.9453430709</c:v>
                </c:pt>
                <c:pt idx="45">
                  <c:v>287072.73344437499</c:v>
                </c:pt>
                <c:pt idx="46">
                  <c:v>327211.1467417283</c:v>
                </c:pt>
                <c:pt idx="47">
                  <c:v>505890.08887739759</c:v>
                </c:pt>
                <c:pt idx="48">
                  <c:v>512700.58343232237</c:v>
                </c:pt>
                <c:pt idx="49">
                  <c:v>483752.01418616716</c:v>
                </c:pt>
                <c:pt idx="50">
                  <c:v>457530.74074990302</c:v>
                </c:pt>
                <c:pt idx="51">
                  <c:v>335510.86209850945</c:v>
                </c:pt>
                <c:pt idx="52">
                  <c:v>314027.93250818877</c:v>
                </c:pt>
                <c:pt idx="53">
                  <c:v>252519.1664206828</c:v>
                </c:pt>
                <c:pt idx="54">
                  <c:v>329984.2785221911</c:v>
                </c:pt>
                <c:pt idx="55">
                  <c:v>317743.85399891273</c:v>
                </c:pt>
                <c:pt idx="56">
                  <c:v>374125.86811611429</c:v>
                </c:pt>
                <c:pt idx="57">
                  <c:v>379414.99929405935</c:v>
                </c:pt>
                <c:pt idx="58">
                  <c:v>369882.68538486864</c:v>
                </c:pt>
                <c:pt idx="59">
                  <c:v>416388.85479205521</c:v>
                </c:pt>
                <c:pt idx="60">
                  <c:v>536241.71386483405</c:v>
                </c:pt>
                <c:pt idx="61">
                  <c:v>489715.2537347828</c:v>
                </c:pt>
                <c:pt idx="62">
                  <c:v>327197.0783596579</c:v>
                </c:pt>
                <c:pt idx="63">
                  <c:v>257214.45779089327</c:v>
                </c:pt>
                <c:pt idx="64">
                  <c:v>303732.38873259397</c:v>
                </c:pt>
                <c:pt idx="65">
                  <c:v>188404.14462557714</c:v>
                </c:pt>
                <c:pt idx="66">
                  <c:v>398707.92452718318</c:v>
                </c:pt>
                <c:pt idx="67">
                  <c:v>382707.57352076471</c:v>
                </c:pt>
                <c:pt idx="68">
                  <c:v>301103.43051149789</c:v>
                </c:pt>
                <c:pt idx="69">
                  <c:v>320743.01885762135</c:v>
                </c:pt>
                <c:pt idx="70">
                  <c:v>396137.23500026949</c:v>
                </c:pt>
                <c:pt idx="71">
                  <c:v>398385.53132416448</c:v>
                </c:pt>
                <c:pt idx="72">
                  <c:v>389515.07073601242</c:v>
                </c:pt>
                <c:pt idx="73">
                  <c:v>392295.71279766737</c:v>
                </c:pt>
                <c:pt idx="74">
                  <c:v>398736.66790252132</c:v>
                </c:pt>
                <c:pt idx="75">
                  <c:v>398787.45230129175</c:v>
                </c:pt>
                <c:pt idx="76">
                  <c:v>398795.70721066883</c:v>
                </c:pt>
                <c:pt idx="77">
                  <c:v>398802.72790888743</c:v>
                </c:pt>
                <c:pt idx="78">
                  <c:v>398778.76176382182</c:v>
                </c:pt>
                <c:pt idx="79">
                  <c:v>398767.73049069894</c:v>
                </c:pt>
                <c:pt idx="80">
                  <c:v>398767.41935189907</c:v>
                </c:pt>
                <c:pt idx="81">
                  <c:v>398767.36629214557</c:v>
                </c:pt>
                <c:pt idx="82">
                  <c:v>398767.61573181953</c:v>
                </c:pt>
                <c:pt idx="83">
                  <c:v>398767.77161396993</c:v>
                </c:pt>
                <c:pt idx="84">
                  <c:v>398767.79492824199</c:v>
                </c:pt>
                <c:pt idx="85">
                  <c:v>398767.79587726109</c:v>
                </c:pt>
                <c:pt idx="86">
                  <c:v>398767.79320136225</c:v>
                </c:pt>
                <c:pt idx="87">
                  <c:v>398767.79113174742</c:v>
                </c:pt>
                <c:pt idx="88">
                  <c:v>398767.79061032552</c:v>
                </c:pt>
                <c:pt idx="89">
                  <c:v>398767.79056005972</c:v>
                </c:pt>
              </c:numCache>
            </c:numRef>
          </c:yVal>
          <c:smooth val="0"/>
          <c:extLst>
            <c:ext xmlns:c16="http://schemas.microsoft.com/office/drawing/2014/chart" uri="{C3380CC4-5D6E-409C-BE32-E72D297353CC}">
              <c16:uniqueId val="{00000002-15D9-49B9-A8FD-AA25F1D727F6}"/>
            </c:ext>
          </c:extLst>
        </c:ser>
        <c:ser>
          <c:idx val="3"/>
          <c:order val="3"/>
          <c:tx>
            <c:strRef>
              <c:f>'Retrospective Run1'!$AO$13</c:f>
              <c:strCache>
                <c:ptCount val="1"/>
                <c:pt idx="0">
                  <c:v>Chum catch</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422417.1360488066</c:v>
                </c:pt>
                <c:pt idx="20">
                  <c:v>105452.91661301795</c:v>
                </c:pt>
                <c:pt idx="21">
                  <c:v>1017290.3197477594</c:v>
                </c:pt>
                <c:pt idx="22">
                  <c:v>2365479.8136458248</c:v>
                </c:pt>
                <c:pt idx="23">
                  <c:v>408948.79854673904</c:v>
                </c:pt>
                <c:pt idx="24">
                  <c:v>456188.13534022722</c:v>
                </c:pt>
                <c:pt idx="25">
                  <c:v>527899.38962651009</c:v>
                </c:pt>
                <c:pt idx="26">
                  <c:v>77063.199423982252</c:v>
                </c:pt>
                <c:pt idx="27">
                  <c:v>1085935.8215967023</c:v>
                </c:pt>
                <c:pt idx="28">
                  <c:v>98790.22104604372</c:v>
                </c:pt>
                <c:pt idx="29">
                  <c:v>409845.30802361527</c:v>
                </c:pt>
                <c:pt idx="30">
                  <c:v>45397.513277832295</c:v>
                </c:pt>
                <c:pt idx="31">
                  <c:v>271780.314244434</c:v>
                </c:pt>
                <c:pt idx="32">
                  <c:v>197786.75040788148</c:v>
                </c:pt>
                <c:pt idx="33">
                  <c:v>46806.12199735851</c:v>
                </c:pt>
                <c:pt idx="34">
                  <c:v>390661.24376841611</c:v>
                </c:pt>
                <c:pt idx="35">
                  <c:v>402817.42295294127</c:v>
                </c:pt>
                <c:pt idx="36">
                  <c:v>175797.06389743296</c:v>
                </c:pt>
                <c:pt idx="37">
                  <c:v>530125.77294076781</c:v>
                </c:pt>
                <c:pt idx="38">
                  <c:v>305878.7856827639</c:v>
                </c:pt>
                <c:pt idx="39">
                  <c:v>661125.85665369546</c:v>
                </c:pt>
                <c:pt idx="40">
                  <c:v>547451.1133181745</c:v>
                </c:pt>
                <c:pt idx="41">
                  <c:v>347569.47930846794</c:v>
                </c:pt>
                <c:pt idx="42">
                  <c:v>326082.46697227686</c:v>
                </c:pt>
                <c:pt idx="43">
                  <c:v>376870.41345463943</c:v>
                </c:pt>
                <c:pt idx="44">
                  <c:v>417606.66674286313</c:v>
                </c:pt>
                <c:pt idx="45">
                  <c:v>336462.49731937307</c:v>
                </c:pt>
                <c:pt idx="46">
                  <c:v>413119.57913311018</c:v>
                </c:pt>
                <c:pt idx="47">
                  <c:v>718189.98722739681</c:v>
                </c:pt>
                <c:pt idx="48">
                  <c:v>639008.93837492447</c:v>
                </c:pt>
                <c:pt idx="49">
                  <c:v>434617.48269741656</c:v>
                </c:pt>
                <c:pt idx="50">
                  <c:v>751738.71831313183</c:v>
                </c:pt>
                <c:pt idx="51">
                  <c:v>723533.35192440019</c:v>
                </c:pt>
                <c:pt idx="52">
                  <c:v>792622.34329599934</c:v>
                </c:pt>
                <c:pt idx="53">
                  <c:v>790787.94451033324</c:v>
                </c:pt>
                <c:pt idx="54">
                  <c:v>582702.94930581178</c:v>
                </c:pt>
                <c:pt idx="55">
                  <c:v>692637.04929466476</c:v>
                </c:pt>
                <c:pt idx="56">
                  <c:v>372573.91127043567</c:v>
                </c:pt>
                <c:pt idx="57">
                  <c:v>310286.60211681208</c:v>
                </c:pt>
                <c:pt idx="58">
                  <c:v>258129.21244217735</c:v>
                </c:pt>
                <c:pt idx="59">
                  <c:v>215293.31692215666</c:v>
                </c:pt>
                <c:pt idx="60">
                  <c:v>641659.22982503555</c:v>
                </c:pt>
                <c:pt idx="61">
                  <c:v>581265.6939628378</c:v>
                </c:pt>
                <c:pt idx="62">
                  <c:v>795734.82389410061</c:v>
                </c:pt>
                <c:pt idx="63">
                  <c:v>718046.58243955486</c:v>
                </c:pt>
                <c:pt idx="64">
                  <c:v>654220.77049815655</c:v>
                </c:pt>
                <c:pt idx="65">
                  <c:v>1127367.4740617969</c:v>
                </c:pt>
                <c:pt idx="66">
                  <c:v>493929.19104183785</c:v>
                </c:pt>
                <c:pt idx="67">
                  <c:v>373500.8675543436</c:v>
                </c:pt>
                <c:pt idx="68">
                  <c:v>214456.98072241258</c:v>
                </c:pt>
                <c:pt idx="69">
                  <c:v>240571.15469734569</c:v>
                </c:pt>
                <c:pt idx="70">
                  <c:v>448662.58976996638</c:v>
                </c:pt>
                <c:pt idx="71">
                  <c:v>482136.55446441099</c:v>
                </c:pt>
                <c:pt idx="72">
                  <c:v>403078.99275871908</c:v>
                </c:pt>
                <c:pt idx="73">
                  <c:v>418772.0824508178</c:v>
                </c:pt>
                <c:pt idx="74">
                  <c:v>495714.19736500451</c:v>
                </c:pt>
                <c:pt idx="75">
                  <c:v>509473.51053421153</c:v>
                </c:pt>
                <c:pt idx="76">
                  <c:v>501734.06498563179</c:v>
                </c:pt>
                <c:pt idx="77">
                  <c:v>503834.72689649859</c:v>
                </c:pt>
                <c:pt idx="78">
                  <c:v>510571.49142268253</c:v>
                </c:pt>
                <c:pt idx="79">
                  <c:v>511716.92848196439</c:v>
                </c:pt>
                <c:pt idx="80">
                  <c:v>511746.48624524841</c:v>
                </c:pt>
                <c:pt idx="81">
                  <c:v>511751.51427421236</c:v>
                </c:pt>
                <c:pt idx="82">
                  <c:v>511727.84513619414</c:v>
                </c:pt>
                <c:pt idx="83">
                  <c:v>511713.01234689908</c:v>
                </c:pt>
                <c:pt idx="84">
                  <c:v>511710.79115976859</c:v>
                </c:pt>
                <c:pt idx="85">
                  <c:v>511710.7007300593</c:v>
                </c:pt>
                <c:pt idx="86">
                  <c:v>511710.95570678008</c:v>
                </c:pt>
                <c:pt idx="87">
                  <c:v>511711.15290651075</c:v>
                </c:pt>
                <c:pt idx="88">
                  <c:v>511711.20258835127</c:v>
                </c:pt>
                <c:pt idx="89">
                  <c:v>511711.20737775211</c:v>
                </c:pt>
              </c:numCache>
            </c:numRef>
          </c:yVal>
          <c:smooth val="0"/>
          <c:extLst>
            <c:ext xmlns:c16="http://schemas.microsoft.com/office/drawing/2014/chart" uri="{C3380CC4-5D6E-409C-BE32-E72D297353CC}">
              <c16:uniqueId val="{00000000-1540-4CE0-9BB1-95CDF78DA2F0}"/>
            </c:ext>
          </c:extLst>
        </c:ser>
        <c:dLbls>
          <c:showLegendKey val="0"/>
          <c:showVal val="0"/>
          <c:showCatName val="0"/>
          <c:showSerName val="0"/>
          <c:showPercent val="0"/>
          <c:showBubbleSize val="0"/>
        </c:dLbls>
        <c:axId val="1298096159"/>
        <c:axId val="1298096575"/>
      </c:scatterChart>
      <c:valAx>
        <c:axId val="1298096159"/>
        <c:scaling>
          <c:orientation val="minMax"/>
          <c:max val="204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Chum Salmon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0985895836142549"/>
          <c:y val="0.18093021947759799"/>
          <c:w val="0.82081669071897567"/>
          <c:h val="0.1806455119379672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BC Steller</a:t>
            </a:r>
            <a:r>
              <a:rPr lang="en-US" baseline="0"/>
              <a:t> Sea Lion Abundance, average chums</a:t>
            </a:r>
            <a:r>
              <a:rPr lang="en-US"/>
              <a:t> killed</a:t>
            </a:r>
            <a:r>
              <a:rPr lang="en-US" baseline="0"/>
              <a:t> per</a:t>
            </a:r>
            <a:r>
              <a:rPr lang="en-US"/>
              <a:t> by predator and percentage of stock killed</a:t>
            </a:r>
            <a:r>
              <a:rPr lang="en-US" baseline="0"/>
              <a:t> per</a:t>
            </a:r>
            <a:r>
              <a:rPr lang="en-US"/>
              <a:t> Brood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79912478667783"/>
          <c:y val="0.53745370370370371"/>
          <c:w val="0.56833649744360182"/>
          <c:h val="0.25697543015456403"/>
        </c:manualLayout>
      </c:layout>
      <c:scatterChart>
        <c:scatterStyle val="lineMarker"/>
        <c:varyColors val="0"/>
        <c:ser>
          <c:idx val="1"/>
          <c:order val="1"/>
          <c:tx>
            <c:strRef>
              <c:f>'Retrospective Run1'!$FK$13</c:f>
              <c:strCache>
                <c:ptCount val="1"/>
                <c:pt idx="0">
                  <c:v>Steller sea lion abundance</c:v>
                </c:pt>
              </c:strCache>
            </c:strRef>
          </c:tx>
          <c:spPr>
            <a:ln w="28575" cap="rnd">
              <a:solidFill>
                <a:srgbClr val="FF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Run1'!$FK$14:$FK$103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pt idx="66">
                  <c:v>7775.0525071201791</c:v>
                </c:pt>
                <c:pt idx="67">
                  <c:v>7775.0525071201791</c:v>
                </c:pt>
                <c:pt idx="68">
                  <c:v>7775.0525071201791</c:v>
                </c:pt>
                <c:pt idx="69">
                  <c:v>7775.0525071201791</c:v>
                </c:pt>
                <c:pt idx="70">
                  <c:v>7775.0525071201791</c:v>
                </c:pt>
                <c:pt idx="71">
                  <c:v>7775.0525071201791</c:v>
                </c:pt>
                <c:pt idx="72">
                  <c:v>7775.0525071201791</c:v>
                </c:pt>
                <c:pt idx="73">
                  <c:v>7775.0525071201791</c:v>
                </c:pt>
                <c:pt idx="74">
                  <c:v>7775.0525071201791</c:v>
                </c:pt>
                <c:pt idx="75">
                  <c:v>7775.0525071201791</c:v>
                </c:pt>
                <c:pt idx="76">
                  <c:v>7775.0525071201791</c:v>
                </c:pt>
                <c:pt idx="77">
                  <c:v>7775.0525071201791</c:v>
                </c:pt>
                <c:pt idx="78">
                  <c:v>7775.0525071201791</c:v>
                </c:pt>
                <c:pt idx="79">
                  <c:v>7775.0525071201791</c:v>
                </c:pt>
                <c:pt idx="80">
                  <c:v>7775.0525071201791</c:v>
                </c:pt>
                <c:pt idx="81">
                  <c:v>7775.0525071201791</c:v>
                </c:pt>
                <c:pt idx="82">
                  <c:v>7775.0525071201791</c:v>
                </c:pt>
                <c:pt idx="83">
                  <c:v>7775.0525071201791</c:v>
                </c:pt>
                <c:pt idx="84">
                  <c:v>7775.0525071201791</c:v>
                </c:pt>
                <c:pt idx="85">
                  <c:v>7775.0525071201791</c:v>
                </c:pt>
                <c:pt idx="86">
                  <c:v>7775.0525071201791</c:v>
                </c:pt>
                <c:pt idx="87">
                  <c:v>7775.0525071201791</c:v>
                </c:pt>
                <c:pt idx="88">
                  <c:v>7775.0525071201791</c:v>
                </c:pt>
                <c:pt idx="89">
                  <c:v>7775.0525071201791</c:v>
                </c:pt>
              </c:numCache>
            </c:numRef>
          </c:yVal>
          <c:smooth val="0"/>
          <c:extLst>
            <c:ext xmlns:c16="http://schemas.microsoft.com/office/drawing/2014/chart" uri="{C3380CC4-5D6E-409C-BE32-E72D297353CC}">
              <c16:uniqueId val="{00000000-4ABE-4636-9592-59DBC9FE2649}"/>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Run1'!$FJ$13</c:f>
              <c:strCache>
                <c:ptCount val="1"/>
                <c:pt idx="0">
                  <c:v>percentage killed by predators</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#,##0.00</c:formatCode>
                <c:ptCount val="90"/>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pt idx="66">
                  <c:v>13.444950052194123</c:v>
                </c:pt>
                <c:pt idx="67">
                  <c:v>13.444950052194136</c:v>
                </c:pt>
                <c:pt idx="68">
                  <c:v>13.44495005219413</c:v>
                </c:pt>
                <c:pt idx="69">
                  <c:v>13.444950052194136</c:v>
                </c:pt>
                <c:pt idx="70">
                  <c:v>13.444950052194116</c:v>
                </c:pt>
                <c:pt idx="71">
                  <c:v>13.444950052194123</c:v>
                </c:pt>
                <c:pt idx="72">
                  <c:v>13.444950052194118</c:v>
                </c:pt>
                <c:pt idx="73">
                  <c:v>13.444950052194107</c:v>
                </c:pt>
                <c:pt idx="74">
                  <c:v>13.444950052194116</c:v>
                </c:pt>
                <c:pt idx="75">
                  <c:v>13.444950052194123</c:v>
                </c:pt>
                <c:pt idx="76">
                  <c:v>13.444950052194136</c:v>
                </c:pt>
                <c:pt idx="77">
                  <c:v>13.444950052194116</c:v>
                </c:pt>
                <c:pt idx="78">
                  <c:v>13.444950052194111</c:v>
                </c:pt>
                <c:pt idx="79">
                  <c:v>13.444950052194116</c:v>
                </c:pt>
                <c:pt idx="80">
                  <c:v>13.444950052194127</c:v>
                </c:pt>
                <c:pt idx="81">
                  <c:v>13.444950052194137</c:v>
                </c:pt>
                <c:pt idx="82">
                  <c:v>13.444950052194121</c:v>
                </c:pt>
                <c:pt idx="83">
                  <c:v>13.444950052194121</c:v>
                </c:pt>
                <c:pt idx="84">
                  <c:v>13.44495005219413</c:v>
                </c:pt>
                <c:pt idx="85">
                  <c:v>13.444950052194121</c:v>
                </c:pt>
                <c:pt idx="86">
                  <c:v>13.444950052194105</c:v>
                </c:pt>
                <c:pt idx="87">
                  <c:v>13.444950052194118</c:v>
                </c:pt>
                <c:pt idx="88">
                  <c:v>13.444950052194102</c:v>
                </c:pt>
              </c:numCache>
            </c:numRef>
          </c:yVal>
          <c:smooth val="0"/>
          <c:extLst>
            <c:ext xmlns:c16="http://schemas.microsoft.com/office/drawing/2014/chart" uri="{C3380CC4-5D6E-409C-BE32-E72D297353CC}">
              <c16:uniqueId val="{00000001-4ABE-4636-9592-59DBC9FE2649}"/>
            </c:ext>
          </c:extLst>
        </c:ser>
        <c:ser>
          <c:idx val="2"/>
          <c:order val="2"/>
          <c:tx>
            <c:strRef>
              <c:f>'Retrospective Run1'!$FP$13</c:f>
              <c:strCache>
                <c:ptCount val="1"/>
                <c:pt idx="0">
                  <c:v>running avg chums killed per predator</c:v>
                </c:pt>
              </c:strCache>
            </c:strRef>
          </c:tx>
          <c:spPr>
            <a:ln w="19050" cap="rnd">
              <a:solidFill>
                <a:schemeClr val="tx1"/>
              </a:solidFill>
              <a:prstDash val="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Run1'!$FP$14:$FP$103</c:f>
              <c:numCache>
                <c:formatCode>0</c:formatCode>
                <c:ptCount val="90"/>
                <c:pt idx="0">
                  <c:v>7.7425921445833925</c:v>
                </c:pt>
                <c:pt idx="1">
                  <c:v>8.7916497586528735</c:v>
                </c:pt>
                <c:pt idx="2">
                  <c:v>9.2610189828422094</c:v>
                </c:pt>
                <c:pt idx="3">
                  <c:v>7.2559171238831119</c:v>
                </c:pt>
                <c:pt idx="4">
                  <c:v>8.2596664394011192</c:v>
                </c:pt>
                <c:pt idx="5">
                  <c:v>7.7013825471889339</c:v>
                </c:pt>
                <c:pt idx="6">
                  <c:v>7.3397937539093379</c:v>
                </c:pt>
                <c:pt idx="7">
                  <c:v>5.9115883872606974</c:v>
                </c:pt>
                <c:pt idx="8">
                  <c:v>5.1791472997667256</c:v>
                </c:pt>
                <c:pt idx="9">
                  <c:v>8.1292299908935188</c:v>
                </c:pt>
                <c:pt idx="10">
                  <c:v>8.152427065131981</c:v>
                </c:pt>
                <c:pt idx="11">
                  <c:v>8.0098115175471332</c:v>
                </c:pt>
                <c:pt idx="12">
                  <c:v>8.5086324984582546</c:v>
                </c:pt>
                <c:pt idx="13">
                  <c:v>11.559598123067437</c:v>
                </c:pt>
                <c:pt idx="14">
                  <c:v>13.852674399602007</c:v>
                </c:pt>
                <c:pt idx="15">
                  <c:v>12.468103706690187</c:v>
                </c:pt>
                <c:pt idx="16">
                  <c:v>12.927695449242234</c:v>
                </c:pt>
                <c:pt idx="17">
                  <c:v>16.52701785817148</c:v>
                </c:pt>
                <c:pt idx="18">
                  <c:v>20.228507478214944</c:v>
                </c:pt>
                <c:pt idx="19">
                  <c:v>19.030800875256251</c:v>
                </c:pt>
                <c:pt idx="20">
                  <c:v>21.360470896226659</c:v>
                </c:pt>
                <c:pt idx="21">
                  <c:v>22.54344583238829</c:v>
                </c:pt>
                <c:pt idx="22">
                  <c:v>21.413296854863798</c:v>
                </c:pt>
                <c:pt idx="23">
                  <c:v>21.859145081764087</c:v>
                </c:pt>
                <c:pt idx="24">
                  <c:v>22.889098363477387</c:v>
                </c:pt>
                <c:pt idx="25">
                  <c:v>22.573532300252698</c:v>
                </c:pt>
                <c:pt idx="26">
                  <c:v>21.300814077099222</c:v>
                </c:pt>
                <c:pt idx="27">
                  <c:v>19.901609148759011</c:v>
                </c:pt>
                <c:pt idx="28">
                  <c:v>24.873593185446897</c:v>
                </c:pt>
                <c:pt idx="29">
                  <c:v>21.010483574133367</c:v>
                </c:pt>
                <c:pt idx="30">
                  <c:v>18.570867347909395</c:v>
                </c:pt>
                <c:pt idx="31">
                  <c:v>18.700101324747358</c:v>
                </c:pt>
                <c:pt idx="32">
                  <c:v>20.248370931131557</c:v>
                </c:pt>
                <c:pt idx="33">
                  <c:v>22.516994406631468</c:v>
                </c:pt>
                <c:pt idx="34">
                  <c:v>20.885970542861873</c:v>
                </c:pt>
                <c:pt idx="35">
                  <c:v>23.55488035665789</c:v>
                </c:pt>
                <c:pt idx="36">
                  <c:v>26.775074956026458</c:v>
                </c:pt>
                <c:pt idx="37">
                  <c:v>30.043436931446109</c:v>
                </c:pt>
                <c:pt idx="38">
                  <c:v>30.435226844303386</c:v>
                </c:pt>
                <c:pt idx="39">
                  <c:v>32.017913713999221</c:v>
                </c:pt>
                <c:pt idx="40">
                  <c:v>35.453918999858985</c:v>
                </c:pt>
                <c:pt idx="41">
                  <c:v>38.183188937296201</c:v>
                </c:pt>
                <c:pt idx="42">
                  <c:v>37.533774422315325</c:v>
                </c:pt>
                <c:pt idx="43">
                  <c:v>39.252264468708127</c:v>
                </c:pt>
                <c:pt idx="44">
                  <c:v>38.924777942766219</c:v>
                </c:pt>
                <c:pt idx="45">
                  <c:v>39.671131786246924</c:v>
                </c:pt>
                <c:pt idx="46">
                  <c:v>38.509874327725036</c:v>
                </c:pt>
                <c:pt idx="47">
                  <c:v>43.09822357897005</c:v>
                </c:pt>
                <c:pt idx="48">
                  <c:v>47.79824459061836</c:v>
                </c:pt>
                <c:pt idx="49">
                  <c:v>51.30230117060028</c:v>
                </c:pt>
                <c:pt idx="50">
                  <c:v>55.179848304873197</c:v>
                </c:pt>
                <c:pt idx="51">
                  <c:v>56.218172024869006</c:v>
                </c:pt>
                <c:pt idx="52">
                  <c:v>55.93557555748253</c:v>
                </c:pt>
                <c:pt idx="53">
                  <c:v>50.504295570955428</c:v>
                </c:pt>
                <c:pt idx="54">
                  <c:v>46.587573792274952</c:v>
                </c:pt>
                <c:pt idx="55">
                  <c:v>43.029009181613077</c:v>
                </c:pt>
                <c:pt idx="56">
                  <c:v>41.241135454342235</c:v>
                </c:pt>
                <c:pt idx="57">
                  <c:v>42.182268159562852</c:v>
                </c:pt>
                <c:pt idx="58">
                  <c:v>43.379575247961498</c:v>
                </c:pt>
                <c:pt idx="59">
                  <c:v>46.892299400441608</c:v>
                </c:pt>
                <c:pt idx="60">
                  <c:v>51.313650792254457</c:v>
                </c:pt>
                <c:pt idx="61">
                  <c:v>55.00004389760398</c:v>
                </c:pt>
                <c:pt idx="62">
                  <c:v>53.994074490677569</c:v>
                </c:pt>
                <c:pt idx="63">
                  <c:v>51.374573606465788</c:v>
                </c:pt>
                <c:pt idx="64">
                  <c:v>49.956570392731948</c:v>
                </c:pt>
                <c:pt idx="65">
                  <c:v>45.069471346183256</c:v>
                </c:pt>
                <c:pt idx="66">
                  <c:v>42.121285697025236</c:v>
                </c:pt>
                <c:pt idx="67">
                  <c:v>39.827460240197695</c:v>
                </c:pt>
                <c:pt idx="68">
                  <c:v>39.26811465326513</c:v>
                </c:pt>
                <c:pt idx="69">
                  <c:v>40.629918126801165</c:v>
                </c:pt>
                <c:pt idx="70">
                  <c:v>42.610716031017972</c:v>
                </c:pt>
                <c:pt idx="71">
                  <c:v>47.111894351170626</c:v>
                </c:pt>
                <c:pt idx="72">
                  <c:v>46.914835579268392</c:v>
                </c:pt>
                <c:pt idx="73">
                  <c:v>47.120367723437674</c:v>
                </c:pt>
                <c:pt idx="74">
                  <c:v>49.213241850903124</c:v>
                </c:pt>
                <c:pt idx="75">
                  <c:v>50.886208761677459</c:v>
                </c:pt>
                <c:pt idx="76">
                  <c:v>50.94319599119487</c:v>
                </c:pt>
                <c:pt idx="77">
                  <c:v>50.952139051586663</c:v>
                </c:pt>
                <c:pt idx="78">
                  <c:v>51.15071629633465</c:v>
                </c:pt>
                <c:pt idx="79">
                  <c:v>51.28945100127941</c:v>
                </c:pt>
                <c:pt idx="80">
                  <c:v>51.290110191884004</c:v>
                </c:pt>
                <c:pt idx="81">
                  <c:v>51.289679626535673</c:v>
                </c:pt>
                <c:pt idx="82">
                  <c:v>51.289077455278658</c:v>
                </c:pt>
                <c:pt idx="83">
                  <c:v>51.288328129258339</c:v>
                </c:pt>
                <c:pt idx="84">
                  <c:v>51.288093043266542</c:v>
                </c:pt>
                <c:pt idx="85">
                  <c:v>51.288094444898285</c:v>
                </c:pt>
                <c:pt idx="86">
                  <c:v>51.288102458766197</c:v>
                </c:pt>
                <c:pt idx="87">
                  <c:v>51.288111565662938</c:v>
                </c:pt>
                <c:pt idx="88">
                  <c:v>51.288115314373016</c:v>
                </c:pt>
                <c:pt idx="89">
                  <c:v>51.288115720502951</c:v>
                </c:pt>
              </c:numCache>
            </c:numRef>
          </c:yVal>
          <c:smooth val="0"/>
          <c:extLst>
            <c:ext xmlns:c16="http://schemas.microsoft.com/office/drawing/2014/chart" uri="{C3380CC4-5D6E-409C-BE32-E72D297353CC}">
              <c16:uniqueId val="{00000002-4ABE-4636-9592-59DBC9FE2649}"/>
            </c:ext>
          </c:extLst>
        </c:ser>
        <c:ser>
          <c:idx val="3"/>
          <c:order val="3"/>
          <c:tx>
            <c:strRef>
              <c:f>'Retrospective Run1'!$FM$13</c:f>
              <c:strCache>
                <c:ptCount val="1"/>
                <c:pt idx="0">
                  <c:v>chums killed per predator</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Run1'!$FM$14:$FM$103</c:f>
              <c:numCache>
                <c:formatCode>0</c:formatCode>
                <c:ptCount val="90"/>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pt idx="66">
                  <c:v>51.280415683631389</c:v>
                </c:pt>
                <c:pt idx="67">
                  <c:v>49.222506622340063</c:v>
                </c:pt>
                <c:pt idx="68">
                  <c:v>38.726867791022073</c:v>
                </c:pt>
                <c:pt idx="69">
                  <c:v>41.252842802526892</c:v>
                </c:pt>
                <c:pt idx="70">
                  <c:v>50.949782607576978</c:v>
                </c:pt>
                <c:pt idx="71">
                  <c:v>51.238950599926362</c:v>
                </c:pt>
                <c:pt idx="72">
                  <c:v>50.098063052218009</c:v>
                </c:pt>
                <c:pt idx="73">
                  <c:v>50.455699487355709</c:v>
                </c:pt>
                <c:pt idx="74">
                  <c:v>51.284112555814801</c:v>
                </c:pt>
                <c:pt idx="75">
                  <c:v>51.29064426717288</c:v>
                </c:pt>
                <c:pt idx="76">
                  <c:v>51.291705984681478</c:v>
                </c:pt>
                <c:pt idx="77">
                  <c:v>51.292608962277086</c:v>
                </c:pt>
                <c:pt idx="78">
                  <c:v>51.289526520705962</c:v>
                </c:pt>
                <c:pt idx="79">
                  <c:v>51.288107717024218</c:v>
                </c:pt>
                <c:pt idx="80">
                  <c:v>51.288067699442394</c:v>
                </c:pt>
                <c:pt idx="81">
                  <c:v>51.288060875082884</c:v>
                </c:pt>
                <c:pt idx="82">
                  <c:v>51.288092957139405</c:v>
                </c:pt>
                <c:pt idx="83">
                  <c:v>51.288113006155186</c:v>
                </c:pt>
                <c:pt idx="84">
                  <c:v>51.288116004755132</c:v>
                </c:pt>
                <c:pt idx="85">
                  <c:v>51.288116126814643</c:v>
                </c:pt>
                <c:pt idx="86">
                  <c:v>51.288115782649918</c:v>
                </c:pt>
                <c:pt idx="87">
                  <c:v>51.288115516463307</c:v>
                </c:pt>
                <c:pt idx="88">
                  <c:v>51.288115449399854</c:v>
                </c:pt>
                <c:pt idx="89">
                  <c:v>51.288115442934838</c:v>
                </c:pt>
              </c:numCache>
            </c:numRef>
          </c:yVal>
          <c:smooth val="0"/>
          <c:extLst>
            <c:ext xmlns:c16="http://schemas.microsoft.com/office/drawing/2014/chart" uri="{C3380CC4-5D6E-409C-BE32-E72D297353CC}">
              <c16:uniqueId val="{00000003-4ABE-4636-9592-59DBC9FE2649}"/>
            </c:ext>
          </c:extLst>
        </c:ser>
        <c:dLbls>
          <c:showLegendKey val="0"/>
          <c:showVal val="0"/>
          <c:showCatName val="0"/>
          <c:showSerName val="0"/>
          <c:showPercent val="0"/>
          <c:showBubbleSize val="0"/>
        </c:dLbls>
        <c:axId val="1298105311"/>
        <c:axId val="1298101567"/>
      </c:scatterChart>
      <c:valAx>
        <c:axId val="1298096159"/>
        <c:scaling>
          <c:orientation val="minMax"/>
          <c:max val="204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6749934383202095"/>
          <c:y val="0.28116797900262469"/>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run killed by predators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5603674540683"/>
          <c:y val="0.17171296296296296"/>
          <c:w val="0.63971894138232721"/>
          <c:h val="0.62271617089530473"/>
        </c:manualLayout>
      </c:layout>
      <c:scatterChart>
        <c:scatterStyle val="lineMarker"/>
        <c:varyColors val="0"/>
        <c:ser>
          <c:idx val="0"/>
          <c:order val="0"/>
          <c:tx>
            <c:strRef>
              <c:f>'Retrospective Run1'!$FI$13</c:f>
              <c:strCache>
                <c:ptCount val="1"/>
                <c:pt idx="0">
                  <c:v>fraction of run killed by predators</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Run1'!$FD$14:$FD$79</c:f>
              <c:numCache>
                <c:formatCode>#,##0</c:formatCode>
                <c:ptCount val="66"/>
                <c:pt idx="0">
                  <c:v>493491.60241446015</c:v>
                </c:pt>
                <c:pt idx="1">
                  <c:v>623775.31416408368</c:v>
                </c:pt>
                <c:pt idx="2">
                  <c:v>624852.06663876155</c:v>
                </c:pt>
                <c:pt idx="3">
                  <c:v>73441.164457549574</c:v>
                </c:pt>
                <c:pt idx="4">
                  <c:v>714191.79541674536</c:v>
                </c:pt>
                <c:pt idx="5">
                  <c:v>286115.81678290729</c:v>
                </c:pt>
                <c:pt idx="6">
                  <c:v>324342.45765689609</c:v>
                </c:pt>
                <c:pt idx="7">
                  <c:v>73847.895786552937</c:v>
                </c:pt>
                <c:pt idx="8">
                  <c:v>336480.7665495628</c:v>
                </c:pt>
                <c:pt idx="9">
                  <c:v>1095655.3255096907</c:v>
                </c:pt>
                <c:pt idx="10">
                  <c:v>716627.00665595336</c:v>
                </c:pt>
                <c:pt idx="11">
                  <c:v>233570.00216889649</c:v>
                </c:pt>
                <c:pt idx="12">
                  <c:v>492491.48035961424</c:v>
                </c:pt>
                <c:pt idx="13">
                  <c:v>1123284.7425670177</c:v>
                </c:pt>
                <c:pt idx="14">
                  <c:v>1120218.7531834841</c:v>
                </c:pt>
                <c:pt idx="15">
                  <c:v>607814.06686765945</c:v>
                </c:pt>
                <c:pt idx="16">
                  <c:v>866844.98018714518</c:v>
                </c:pt>
                <c:pt idx="17">
                  <c:v>1463931.257273223</c:v>
                </c:pt>
                <c:pt idx="18">
                  <c:v>1755990.6980449294</c:v>
                </c:pt>
                <c:pt idx="19">
                  <c:v>709805.84646260517</c:v>
                </c:pt>
                <c:pt idx="20">
                  <c:v>1928723.2583236066</c:v>
                </c:pt>
                <c:pt idx="21">
                  <c:v>1023390.2104015896</c:v>
                </c:pt>
                <c:pt idx="22">
                  <c:v>485835.63028430799</c:v>
                </c:pt>
                <c:pt idx="23">
                  <c:v>1640510.5310472115</c:v>
                </c:pt>
                <c:pt idx="24">
                  <c:v>2138519.9917023615</c:v>
                </c:pt>
                <c:pt idx="25">
                  <c:v>606983.8103278724</c:v>
                </c:pt>
                <c:pt idx="26">
                  <c:v>1497486.5503682415</c:v>
                </c:pt>
                <c:pt idx="27">
                  <c:v>539907.17927684577</c:v>
                </c:pt>
                <c:pt idx="28">
                  <c:v>2210355.7089244896</c:v>
                </c:pt>
                <c:pt idx="29">
                  <c:v>297623.75146931713</c:v>
                </c:pt>
                <c:pt idx="30">
                  <c:v>1290562.0401391126</c:v>
                </c:pt>
                <c:pt idx="31">
                  <c:v>651906.12514923769</c:v>
                </c:pt>
                <c:pt idx="32">
                  <c:v>2035278.4578809098</c:v>
                </c:pt>
                <c:pt idx="33">
                  <c:v>1327057.7408969142</c:v>
                </c:pt>
                <c:pt idx="34">
                  <c:v>1644434.8479940284</c:v>
                </c:pt>
                <c:pt idx="35">
                  <c:v>1223662.7709588378</c:v>
                </c:pt>
                <c:pt idx="36">
                  <c:v>2407881.866365598</c:v>
                </c:pt>
                <c:pt idx="37">
                  <c:v>1785938.7190605476</c:v>
                </c:pt>
                <c:pt idx="38">
                  <c:v>2171218.8875173102</c:v>
                </c:pt>
                <c:pt idx="39">
                  <c:v>1876206.9813081098</c:v>
                </c:pt>
                <c:pt idx="40">
                  <c:v>2836635.1049793945</c:v>
                </c:pt>
                <c:pt idx="41">
                  <c:v>2170645.1094859769</c:v>
                </c:pt>
                <c:pt idx="42">
                  <c:v>2182552.7160187014</c:v>
                </c:pt>
                <c:pt idx="43">
                  <c:v>2382207.96328077</c:v>
                </c:pt>
                <c:pt idx="44">
                  <c:v>2057589.981882639</c:v>
                </c:pt>
                <c:pt idx="45">
                  <c:v>2135171.4385694358</c:v>
                </c:pt>
                <c:pt idx="46">
                  <c:v>2433710.3929094174</c:v>
                </c:pt>
                <c:pt idx="47">
                  <c:v>3762677.3391756839</c:v>
                </c:pt>
                <c:pt idx="48">
                  <c:v>3813332.0052658212</c:v>
                </c:pt>
                <c:pt idx="49">
                  <c:v>3598020.1659969883</c:v>
                </c:pt>
                <c:pt idx="50">
                  <c:v>3402993.2351830276</c:v>
                </c:pt>
                <c:pt idx="51">
                  <c:v>2495441.4913855083</c:v>
                </c:pt>
                <c:pt idx="52">
                  <c:v>2335657.1150440336</c:v>
                </c:pt>
                <c:pt idx="53">
                  <c:v>1878171.1009738813</c:v>
                </c:pt>
                <c:pt idx="54">
                  <c:v>2454336.2172501353</c:v>
                </c:pt>
                <c:pt idx="55">
                  <c:v>2363295.161123035</c:v>
                </c:pt>
                <c:pt idx="56">
                  <c:v>2782649.7433142918</c:v>
                </c:pt>
                <c:pt idx="57">
                  <c:v>2821988.9090041039</c:v>
                </c:pt>
                <c:pt idx="58">
                  <c:v>2751090.066894717</c:v>
                </c:pt>
                <c:pt idx="59">
                  <c:v>3096990.7152916784</c:v>
                </c:pt>
                <c:pt idx="60">
                  <c:v>3988424.7377871284</c:v>
                </c:pt>
                <c:pt idx="61">
                  <c:v>3642373.1723336889</c:v>
                </c:pt>
                <c:pt idx="62">
                  <c:v>2433605.7559861429</c:v>
                </c:pt>
                <c:pt idx="63">
                  <c:v>1913093.4424625693</c:v>
                </c:pt>
                <c:pt idx="64">
                  <c:v>2259081.5700578</c:v>
                </c:pt>
                <c:pt idx="65">
                  <c:v>1401300.4428739464</c:v>
                </c:pt>
              </c:numCache>
            </c:numRef>
          </c:xVal>
          <c:yVal>
            <c:numRef>
              <c:f>'Retrospective Run1'!$FI$14:$FI$79</c:f>
              <c:numCache>
                <c:formatCode>#,##0.00</c:formatCode>
                <c:ptCount val="66"/>
                <c:pt idx="0">
                  <c:v>0.29337580489279491</c:v>
                </c:pt>
                <c:pt idx="1">
                  <c:v>0.28507655702348972</c:v>
                </c:pt>
                <c:pt idx="2">
                  <c:v>0.23185411175492959</c:v>
                </c:pt>
                <c:pt idx="3">
                  <c:v>0.17512804643419178</c:v>
                </c:pt>
                <c:pt idx="4">
                  <c:v>0.14526176186715317</c:v>
                </c:pt>
                <c:pt idx="5">
                  <c:v>0.14791946222235272</c:v>
                </c:pt>
                <c:pt idx="6">
                  <c:v>0.14568558155766123</c:v>
                </c:pt>
                <c:pt idx="7">
                  <c:v>0.1421244641746075</c:v>
                </c:pt>
                <c:pt idx="8">
                  <c:v>0.13854850265836099</c:v>
                </c:pt>
                <c:pt idx="9">
                  <c:v>0.13495763513275588</c:v>
                </c:pt>
                <c:pt idx="10">
                  <c:v>0.1313517994637016</c:v>
                </c:pt>
                <c:pt idx="11">
                  <c:v>0.12773093325810936</c:v>
                </c:pt>
                <c:pt idx="12">
                  <c:v>0.12409497386281099</c:v>
                </c:pt>
                <c:pt idx="13">
                  <c:v>0.1204438583634745</c:v>
                </c:pt>
                <c:pt idx="14">
                  <c:v>0.11678283778894973</c:v>
                </c:pt>
                <c:pt idx="15">
                  <c:v>0.11358937092372995</c:v>
                </c:pt>
                <c:pt idx="16">
                  <c:v>0.11287620970606325</c:v>
                </c:pt>
                <c:pt idx="17">
                  <c:v>0.11084828659342613</c:v>
                </c:pt>
                <c:pt idx="18">
                  <c:v>0.11041125726870697</c:v>
                </c:pt>
                <c:pt idx="19">
                  <c:v>0.11751948788421636</c:v>
                </c:pt>
                <c:pt idx="20">
                  <c:v>0.12436259448734512</c:v>
                </c:pt>
                <c:pt idx="21">
                  <c:v>0.13097551026299359</c:v>
                </c:pt>
                <c:pt idx="22">
                  <c:v>0.13672293830093799</c:v>
                </c:pt>
                <c:pt idx="23">
                  <c:v>0.13714352701230642</c:v>
                </c:pt>
                <c:pt idx="24">
                  <c:v>0.1356747520074657</c:v>
                </c:pt>
                <c:pt idx="25">
                  <c:v>0.13421090197843369</c:v>
                </c:pt>
                <c:pt idx="26">
                  <c:v>0.13375704225323276</c:v>
                </c:pt>
                <c:pt idx="27">
                  <c:v>0.13444950052194132</c:v>
                </c:pt>
                <c:pt idx="28">
                  <c:v>0.13444950052194124</c:v>
                </c:pt>
                <c:pt idx="29">
                  <c:v>0.13444950052194132</c:v>
                </c:pt>
                <c:pt idx="30">
                  <c:v>0.1344495005219413</c:v>
                </c:pt>
                <c:pt idx="31">
                  <c:v>0.13444950052194121</c:v>
                </c:pt>
                <c:pt idx="32">
                  <c:v>0.13444950052194118</c:v>
                </c:pt>
                <c:pt idx="33">
                  <c:v>0.13444950052194121</c:v>
                </c:pt>
                <c:pt idx="34">
                  <c:v>0.1344495005219411</c:v>
                </c:pt>
                <c:pt idx="35">
                  <c:v>0.13444950052194124</c:v>
                </c:pt>
                <c:pt idx="36">
                  <c:v>0.13444950052194113</c:v>
                </c:pt>
                <c:pt idx="37">
                  <c:v>0.1344495005219411</c:v>
                </c:pt>
                <c:pt idx="38">
                  <c:v>0.13444950052194116</c:v>
                </c:pt>
                <c:pt idx="39">
                  <c:v>0.13444950052194121</c:v>
                </c:pt>
                <c:pt idx="40">
                  <c:v>0.13444950052194132</c:v>
                </c:pt>
                <c:pt idx="41">
                  <c:v>0.13444950052194121</c:v>
                </c:pt>
                <c:pt idx="42">
                  <c:v>0.13444950052194113</c:v>
                </c:pt>
                <c:pt idx="43">
                  <c:v>0.13444950052194127</c:v>
                </c:pt>
                <c:pt idx="44">
                  <c:v>0.13444950052194121</c:v>
                </c:pt>
                <c:pt idx="45">
                  <c:v>0.13444950052194105</c:v>
                </c:pt>
                <c:pt idx="46">
                  <c:v>0.13444950052194116</c:v>
                </c:pt>
                <c:pt idx="47">
                  <c:v>0.13444950052194124</c:v>
                </c:pt>
                <c:pt idx="48">
                  <c:v>0.13444950052194127</c:v>
                </c:pt>
                <c:pt idx="49">
                  <c:v>0.13444950052194124</c:v>
                </c:pt>
                <c:pt idx="50">
                  <c:v>0.13444950052194127</c:v>
                </c:pt>
                <c:pt idx="51">
                  <c:v>0.13444950052194113</c:v>
                </c:pt>
                <c:pt idx="52">
                  <c:v>0.13444950052194132</c:v>
                </c:pt>
                <c:pt idx="53">
                  <c:v>0.13444950052194124</c:v>
                </c:pt>
                <c:pt idx="54">
                  <c:v>0.13444950052194113</c:v>
                </c:pt>
                <c:pt idx="55">
                  <c:v>0.13444950052194124</c:v>
                </c:pt>
                <c:pt idx="56">
                  <c:v>0.13444950052194116</c:v>
                </c:pt>
                <c:pt idx="57">
                  <c:v>0.13444950052194113</c:v>
                </c:pt>
                <c:pt idx="58">
                  <c:v>0.13444950052194124</c:v>
                </c:pt>
                <c:pt idx="59">
                  <c:v>0.13444950052194107</c:v>
                </c:pt>
                <c:pt idx="60">
                  <c:v>0.1344495005219413</c:v>
                </c:pt>
                <c:pt idx="61">
                  <c:v>0.13444950052194116</c:v>
                </c:pt>
                <c:pt idx="62">
                  <c:v>0.13444950052194116</c:v>
                </c:pt>
                <c:pt idx="63">
                  <c:v>0.13444950052194107</c:v>
                </c:pt>
                <c:pt idx="64">
                  <c:v>0.13444950052194121</c:v>
                </c:pt>
                <c:pt idx="65">
                  <c:v>0.13444950052194124</c:v>
                </c:pt>
              </c:numCache>
            </c:numRef>
          </c:yVal>
          <c:smooth val="0"/>
          <c:extLst>
            <c:ext xmlns:c16="http://schemas.microsoft.com/office/drawing/2014/chart" uri="{C3380CC4-5D6E-409C-BE32-E72D297353CC}">
              <c16:uniqueId val="{00000000-5091-498B-B35E-388DA3DB3D8E}"/>
            </c:ext>
          </c:extLst>
        </c:ser>
        <c:dLbls>
          <c:showLegendKey val="0"/>
          <c:showVal val="0"/>
          <c:showCatName val="0"/>
          <c:showSerName val="0"/>
          <c:showPercent val="0"/>
          <c:showBubbleSize val="0"/>
        </c:dLbls>
        <c:axId val="391313600"/>
        <c:axId val="391311520"/>
      </c:scatterChart>
      <c:valAx>
        <c:axId val="39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run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1520"/>
        <c:crosses val="autoZero"/>
        <c:crossBetween val="midCat"/>
      </c:valAx>
      <c:valAx>
        <c:axId val="39131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3600"/>
        <c:crosses val="autoZero"/>
        <c:crossBetween val="midCat"/>
      </c:valAx>
      <c:spPr>
        <a:noFill/>
        <a:ln>
          <a:noFill/>
        </a:ln>
        <a:effectLst/>
      </c:spPr>
    </c:plotArea>
    <c:legend>
      <c:legendPos val="r"/>
      <c:layout>
        <c:manualLayout>
          <c:xMode val="edge"/>
          <c:yMode val="edge"/>
          <c:x val="0.64307764654418198"/>
          <c:y val="0.61652704870224551"/>
          <c:w val="0.28470013123359578"/>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Steller sea lion abundance versus Chum Salmon</a:t>
            </a:r>
            <a:r>
              <a:rPr lang="en-US" baseline="0"/>
              <a:t>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48381452318461"/>
          <c:y val="0.17171296296296296"/>
          <c:w val="0.69194138232720914"/>
          <c:h val="0.62271617089530473"/>
        </c:manualLayout>
      </c:layout>
      <c:scatterChart>
        <c:scatterStyle val="lineMarker"/>
        <c:varyColors val="0"/>
        <c:ser>
          <c:idx val="0"/>
          <c:order val="0"/>
          <c:tx>
            <c:strRef>
              <c:f>'Retrospective Run1'!$FK$13</c:f>
              <c:strCache>
                <c:ptCount val="1"/>
                <c:pt idx="0">
                  <c:v>Steller sea lion abundance</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Run1'!$FD$14:$FD$79</c:f>
              <c:numCache>
                <c:formatCode>#,##0</c:formatCode>
                <c:ptCount val="66"/>
                <c:pt idx="0">
                  <c:v>493491.60241446015</c:v>
                </c:pt>
                <c:pt idx="1">
                  <c:v>623775.31416408368</c:v>
                </c:pt>
                <c:pt idx="2">
                  <c:v>624852.06663876155</c:v>
                </c:pt>
                <c:pt idx="3">
                  <c:v>73441.164457549574</c:v>
                </c:pt>
                <c:pt idx="4">
                  <c:v>714191.79541674536</c:v>
                </c:pt>
                <c:pt idx="5">
                  <c:v>286115.81678290729</c:v>
                </c:pt>
                <c:pt idx="6">
                  <c:v>324342.45765689609</c:v>
                </c:pt>
                <c:pt idx="7">
                  <c:v>73847.895786552937</c:v>
                </c:pt>
                <c:pt idx="8">
                  <c:v>336480.7665495628</c:v>
                </c:pt>
                <c:pt idx="9">
                  <c:v>1095655.3255096907</c:v>
                </c:pt>
                <c:pt idx="10">
                  <c:v>716627.00665595336</c:v>
                </c:pt>
                <c:pt idx="11">
                  <c:v>233570.00216889649</c:v>
                </c:pt>
                <c:pt idx="12">
                  <c:v>492491.48035961424</c:v>
                </c:pt>
                <c:pt idx="13">
                  <c:v>1123284.7425670177</c:v>
                </c:pt>
                <c:pt idx="14">
                  <c:v>1120218.7531834841</c:v>
                </c:pt>
                <c:pt idx="15">
                  <c:v>607814.06686765945</c:v>
                </c:pt>
                <c:pt idx="16">
                  <c:v>866844.98018714518</c:v>
                </c:pt>
                <c:pt idx="17">
                  <c:v>1463931.257273223</c:v>
                </c:pt>
                <c:pt idx="18">
                  <c:v>1755990.6980449294</c:v>
                </c:pt>
                <c:pt idx="19">
                  <c:v>709805.84646260517</c:v>
                </c:pt>
                <c:pt idx="20">
                  <c:v>1928723.2583236066</c:v>
                </c:pt>
                <c:pt idx="21">
                  <c:v>1023390.2104015896</c:v>
                </c:pt>
                <c:pt idx="22">
                  <c:v>485835.63028430799</c:v>
                </c:pt>
                <c:pt idx="23">
                  <c:v>1640510.5310472115</c:v>
                </c:pt>
                <c:pt idx="24">
                  <c:v>2138519.9917023615</c:v>
                </c:pt>
                <c:pt idx="25">
                  <c:v>606983.8103278724</c:v>
                </c:pt>
                <c:pt idx="26">
                  <c:v>1497486.5503682415</c:v>
                </c:pt>
                <c:pt idx="27">
                  <c:v>539907.17927684577</c:v>
                </c:pt>
                <c:pt idx="28">
                  <c:v>2210355.7089244896</c:v>
                </c:pt>
                <c:pt idx="29">
                  <c:v>297623.75146931713</c:v>
                </c:pt>
                <c:pt idx="30">
                  <c:v>1290562.0401391126</c:v>
                </c:pt>
                <c:pt idx="31">
                  <c:v>651906.12514923769</c:v>
                </c:pt>
                <c:pt idx="32">
                  <c:v>2035278.4578809098</c:v>
                </c:pt>
                <c:pt idx="33">
                  <c:v>1327057.7408969142</c:v>
                </c:pt>
                <c:pt idx="34">
                  <c:v>1644434.8479940284</c:v>
                </c:pt>
                <c:pt idx="35">
                  <c:v>1223662.7709588378</c:v>
                </c:pt>
                <c:pt idx="36">
                  <c:v>2407881.866365598</c:v>
                </c:pt>
                <c:pt idx="37">
                  <c:v>1785938.7190605476</c:v>
                </c:pt>
                <c:pt idx="38">
                  <c:v>2171218.8875173102</c:v>
                </c:pt>
                <c:pt idx="39">
                  <c:v>1876206.9813081098</c:v>
                </c:pt>
                <c:pt idx="40">
                  <c:v>2836635.1049793945</c:v>
                </c:pt>
                <c:pt idx="41">
                  <c:v>2170645.1094859769</c:v>
                </c:pt>
                <c:pt idx="42">
                  <c:v>2182552.7160187014</c:v>
                </c:pt>
                <c:pt idx="43">
                  <c:v>2382207.96328077</c:v>
                </c:pt>
                <c:pt idx="44">
                  <c:v>2057589.981882639</c:v>
                </c:pt>
                <c:pt idx="45">
                  <c:v>2135171.4385694358</c:v>
                </c:pt>
                <c:pt idx="46">
                  <c:v>2433710.3929094174</c:v>
                </c:pt>
                <c:pt idx="47">
                  <c:v>3762677.3391756839</c:v>
                </c:pt>
                <c:pt idx="48">
                  <c:v>3813332.0052658212</c:v>
                </c:pt>
                <c:pt idx="49">
                  <c:v>3598020.1659969883</c:v>
                </c:pt>
                <c:pt idx="50">
                  <c:v>3402993.2351830276</c:v>
                </c:pt>
                <c:pt idx="51">
                  <c:v>2495441.4913855083</c:v>
                </c:pt>
                <c:pt idx="52">
                  <c:v>2335657.1150440336</c:v>
                </c:pt>
                <c:pt idx="53">
                  <c:v>1878171.1009738813</c:v>
                </c:pt>
                <c:pt idx="54">
                  <c:v>2454336.2172501353</c:v>
                </c:pt>
                <c:pt idx="55">
                  <c:v>2363295.161123035</c:v>
                </c:pt>
                <c:pt idx="56">
                  <c:v>2782649.7433142918</c:v>
                </c:pt>
                <c:pt idx="57">
                  <c:v>2821988.9090041039</c:v>
                </c:pt>
                <c:pt idx="58">
                  <c:v>2751090.066894717</c:v>
                </c:pt>
                <c:pt idx="59">
                  <c:v>3096990.7152916784</c:v>
                </c:pt>
                <c:pt idx="60">
                  <c:v>3988424.7377871284</c:v>
                </c:pt>
                <c:pt idx="61">
                  <c:v>3642373.1723336889</c:v>
                </c:pt>
                <c:pt idx="62">
                  <c:v>2433605.7559861429</c:v>
                </c:pt>
                <c:pt idx="63">
                  <c:v>1913093.4424625693</c:v>
                </c:pt>
                <c:pt idx="64">
                  <c:v>2259081.5700578</c:v>
                </c:pt>
                <c:pt idx="65">
                  <c:v>1401300.4428739464</c:v>
                </c:pt>
              </c:numCache>
            </c:numRef>
          </c:xVal>
          <c:yVal>
            <c:numRef>
              <c:f>'Retrospective Run1'!$FK$14:$FK$79</c:f>
              <c:numCache>
                <c:formatCode>0</c:formatCode>
                <c:ptCount val="66"/>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numCache>
            </c:numRef>
          </c:yVal>
          <c:smooth val="0"/>
          <c:extLst>
            <c:ext xmlns:c16="http://schemas.microsoft.com/office/drawing/2014/chart" uri="{C3380CC4-5D6E-409C-BE32-E72D297353CC}">
              <c16:uniqueId val="{00000000-343C-47A1-B83F-ED9D5109555B}"/>
            </c:ext>
          </c:extLst>
        </c:ser>
        <c:dLbls>
          <c:showLegendKey val="0"/>
          <c:showVal val="0"/>
          <c:showCatName val="0"/>
          <c:showSerName val="0"/>
          <c:showPercent val="0"/>
          <c:showBubbleSize val="0"/>
        </c:dLbls>
        <c:axId val="605638528"/>
        <c:axId val="605649344"/>
      </c:scatterChart>
      <c:valAx>
        <c:axId val="6056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49344"/>
        <c:crosses val="autoZero"/>
        <c:crossBetween val="midCat"/>
      </c:valAx>
      <c:valAx>
        <c:axId val="60564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 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38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a:t>
            </a:r>
            <a:r>
              <a:rPr lang="en-US" baseline="0"/>
              <a:t> </a:t>
            </a:r>
            <a:r>
              <a:rPr lang="en-US"/>
              <a:t>chum salmon killed per predator versus Chum</a:t>
            </a:r>
            <a:r>
              <a:rPr lang="en-US" baseline="0"/>
              <a:t> salmon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7171296296296296"/>
          <c:w val="0.64999737532808399"/>
          <c:h val="0.62271617089530473"/>
        </c:manualLayout>
      </c:layout>
      <c:scatterChart>
        <c:scatterStyle val="lineMarker"/>
        <c:varyColors val="0"/>
        <c:ser>
          <c:idx val="0"/>
          <c:order val="0"/>
          <c:tx>
            <c:strRef>
              <c:f>'Retrospective Run1'!$FM$13</c:f>
              <c:strCache>
                <c:ptCount val="1"/>
                <c:pt idx="0">
                  <c:v>chums killed per predator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317562668475751"/>
                  <c:y val="0.16496256837531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'Retrospective Run1'!$FD$14:$FD$79</c:f>
              <c:numCache>
                <c:formatCode>#,##0</c:formatCode>
                <c:ptCount val="66"/>
                <c:pt idx="0">
                  <c:v>493491.60241446015</c:v>
                </c:pt>
                <c:pt idx="1">
                  <c:v>623775.31416408368</c:v>
                </c:pt>
                <c:pt idx="2">
                  <c:v>624852.06663876155</c:v>
                </c:pt>
                <c:pt idx="3">
                  <c:v>73441.164457549574</c:v>
                </c:pt>
                <c:pt idx="4">
                  <c:v>714191.79541674536</c:v>
                </c:pt>
                <c:pt idx="5">
                  <c:v>286115.81678290729</c:v>
                </c:pt>
                <c:pt idx="6">
                  <c:v>324342.45765689609</c:v>
                </c:pt>
                <c:pt idx="7">
                  <c:v>73847.895786552937</c:v>
                </c:pt>
                <c:pt idx="8">
                  <c:v>336480.7665495628</c:v>
                </c:pt>
                <c:pt idx="9">
                  <c:v>1095655.3255096907</c:v>
                </c:pt>
                <c:pt idx="10">
                  <c:v>716627.00665595336</c:v>
                </c:pt>
                <c:pt idx="11">
                  <c:v>233570.00216889649</c:v>
                </c:pt>
                <c:pt idx="12">
                  <c:v>492491.48035961424</c:v>
                </c:pt>
                <c:pt idx="13">
                  <c:v>1123284.7425670177</c:v>
                </c:pt>
                <c:pt idx="14">
                  <c:v>1120218.7531834841</c:v>
                </c:pt>
                <c:pt idx="15">
                  <c:v>607814.06686765945</c:v>
                </c:pt>
                <c:pt idx="16">
                  <c:v>866844.98018714518</c:v>
                </c:pt>
                <c:pt idx="17">
                  <c:v>1463931.257273223</c:v>
                </c:pt>
                <c:pt idx="18">
                  <c:v>1755990.6980449294</c:v>
                </c:pt>
                <c:pt idx="19">
                  <c:v>709805.84646260517</c:v>
                </c:pt>
                <c:pt idx="20">
                  <c:v>1928723.2583236066</c:v>
                </c:pt>
                <c:pt idx="21">
                  <c:v>1023390.2104015896</c:v>
                </c:pt>
                <c:pt idx="22">
                  <c:v>485835.63028430799</c:v>
                </c:pt>
                <c:pt idx="23">
                  <c:v>1640510.5310472115</c:v>
                </c:pt>
                <c:pt idx="24">
                  <c:v>2138519.9917023615</c:v>
                </c:pt>
                <c:pt idx="25">
                  <c:v>606983.8103278724</c:v>
                </c:pt>
                <c:pt idx="26">
                  <c:v>1497486.5503682415</c:v>
                </c:pt>
                <c:pt idx="27">
                  <c:v>539907.17927684577</c:v>
                </c:pt>
                <c:pt idx="28">
                  <c:v>2210355.7089244896</c:v>
                </c:pt>
                <c:pt idx="29">
                  <c:v>297623.75146931713</c:v>
                </c:pt>
                <c:pt idx="30">
                  <c:v>1290562.0401391126</c:v>
                </c:pt>
                <c:pt idx="31">
                  <c:v>651906.12514923769</c:v>
                </c:pt>
                <c:pt idx="32">
                  <c:v>2035278.4578809098</c:v>
                </c:pt>
                <c:pt idx="33">
                  <c:v>1327057.7408969142</c:v>
                </c:pt>
                <c:pt idx="34">
                  <c:v>1644434.8479940284</c:v>
                </c:pt>
                <c:pt idx="35">
                  <c:v>1223662.7709588378</c:v>
                </c:pt>
                <c:pt idx="36">
                  <c:v>2407881.866365598</c:v>
                </c:pt>
                <c:pt idx="37">
                  <c:v>1785938.7190605476</c:v>
                </c:pt>
                <c:pt idx="38">
                  <c:v>2171218.8875173102</c:v>
                </c:pt>
                <c:pt idx="39">
                  <c:v>1876206.9813081098</c:v>
                </c:pt>
                <c:pt idx="40">
                  <c:v>2836635.1049793945</c:v>
                </c:pt>
                <c:pt idx="41">
                  <c:v>2170645.1094859769</c:v>
                </c:pt>
                <c:pt idx="42">
                  <c:v>2182552.7160187014</c:v>
                </c:pt>
                <c:pt idx="43">
                  <c:v>2382207.96328077</c:v>
                </c:pt>
                <c:pt idx="44">
                  <c:v>2057589.981882639</c:v>
                </c:pt>
                <c:pt idx="45">
                  <c:v>2135171.4385694358</c:v>
                </c:pt>
                <c:pt idx="46">
                  <c:v>2433710.3929094174</c:v>
                </c:pt>
                <c:pt idx="47">
                  <c:v>3762677.3391756839</c:v>
                </c:pt>
                <c:pt idx="48">
                  <c:v>3813332.0052658212</c:v>
                </c:pt>
                <c:pt idx="49">
                  <c:v>3598020.1659969883</c:v>
                </c:pt>
                <c:pt idx="50">
                  <c:v>3402993.2351830276</c:v>
                </c:pt>
                <c:pt idx="51">
                  <c:v>2495441.4913855083</c:v>
                </c:pt>
                <c:pt idx="52">
                  <c:v>2335657.1150440336</c:v>
                </c:pt>
                <c:pt idx="53">
                  <c:v>1878171.1009738813</c:v>
                </c:pt>
                <c:pt idx="54">
                  <c:v>2454336.2172501353</c:v>
                </c:pt>
                <c:pt idx="55">
                  <c:v>2363295.161123035</c:v>
                </c:pt>
                <c:pt idx="56">
                  <c:v>2782649.7433142918</c:v>
                </c:pt>
                <c:pt idx="57">
                  <c:v>2821988.9090041039</c:v>
                </c:pt>
                <c:pt idx="58">
                  <c:v>2751090.066894717</c:v>
                </c:pt>
                <c:pt idx="59">
                  <c:v>3096990.7152916784</c:v>
                </c:pt>
                <c:pt idx="60">
                  <c:v>3988424.7377871284</c:v>
                </c:pt>
                <c:pt idx="61">
                  <c:v>3642373.1723336889</c:v>
                </c:pt>
                <c:pt idx="62">
                  <c:v>2433605.7559861429</c:v>
                </c:pt>
                <c:pt idx="63">
                  <c:v>1913093.4424625693</c:v>
                </c:pt>
                <c:pt idx="64">
                  <c:v>2259081.5700578</c:v>
                </c:pt>
                <c:pt idx="65">
                  <c:v>1401300.4428739464</c:v>
                </c:pt>
              </c:numCache>
            </c:numRef>
          </c:xVal>
          <c:yVal>
            <c:numRef>
              <c:f>'Retrospective Run1'!$FM$14:$FM$79</c:f>
              <c:numCache>
                <c:formatCode>0</c:formatCode>
                <c:ptCount val="66"/>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numCache>
            </c:numRef>
          </c:yVal>
          <c:smooth val="0"/>
          <c:extLst>
            <c:ext xmlns:c16="http://schemas.microsoft.com/office/drawing/2014/chart" uri="{C3380CC4-5D6E-409C-BE32-E72D297353CC}">
              <c16:uniqueId val="{00000000-4D30-46AE-A72E-A847EBC55BBB}"/>
            </c:ext>
          </c:extLst>
        </c:ser>
        <c:dLbls>
          <c:showLegendKey val="0"/>
          <c:showVal val="0"/>
          <c:showCatName val="0"/>
          <c:showSerName val="0"/>
          <c:showPercent val="0"/>
          <c:showBubbleSize val="0"/>
        </c:dLbls>
        <c:axId val="435955504"/>
        <c:axId val="435984208"/>
      </c:scatterChart>
      <c:valAx>
        <c:axId val="4359555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Chum salmon abundance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4208"/>
        <c:crosses val="autoZero"/>
        <c:crossBetween val="midCat"/>
      </c:valAx>
      <c:valAx>
        <c:axId val="4359842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Chum salmon killed / predator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5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Chum Salmon Killed Per Predator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60706870587837003"/>
          <c:h val="0.57641987459900845"/>
        </c:manualLayout>
      </c:layout>
      <c:scatterChart>
        <c:scatterStyle val="lineMarker"/>
        <c:varyColors val="0"/>
        <c:ser>
          <c:idx val="0"/>
          <c:order val="0"/>
          <c:tx>
            <c:strRef>
              <c:f>'Retrospective Run1'!$FM$13</c:f>
              <c:strCache>
                <c:ptCount val="1"/>
                <c:pt idx="0">
                  <c:v>chums killed per predator</c:v>
                </c:pt>
              </c:strCache>
            </c:strRef>
          </c:tx>
          <c:spPr>
            <a:ln w="19050" cap="rnd">
              <a:solidFill>
                <a:schemeClr val="accent1"/>
              </a:solidFill>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Run1'!$FM$14:$FM$79</c:f>
              <c:numCache>
                <c:formatCode>0</c:formatCode>
                <c:ptCount val="66"/>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numCache>
            </c:numRef>
          </c:yVal>
          <c:smooth val="0"/>
          <c:extLst>
            <c:ext xmlns:c16="http://schemas.microsoft.com/office/drawing/2014/chart" uri="{C3380CC4-5D6E-409C-BE32-E72D297353CC}">
              <c16:uniqueId val="{00000000-2EEC-4391-BFD2-972F02E72ED9}"/>
            </c:ext>
          </c:extLst>
        </c:ser>
        <c:ser>
          <c:idx val="1"/>
          <c:order val="1"/>
          <c:tx>
            <c:strRef>
              <c:f>'Retrospective Run1'!$FP$13</c:f>
              <c:strCache>
                <c:ptCount val="1"/>
                <c:pt idx="0">
                  <c:v>running avg chums killed per predator</c:v>
                </c:pt>
              </c:strCache>
            </c:strRef>
          </c:tx>
          <c:spPr>
            <a:ln w="19050" cap="rnd">
              <a:solidFill>
                <a:schemeClr val="accent2"/>
              </a:solidFill>
              <a:prstDash val="dash"/>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Run1'!$FP$14:$FP$79</c:f>
              <c:numCache>
                <c:formatCode>0</c:formatCode>
                <c:ptCount val="66"/>
                <c:pt idx="0">
                  <c:v>7.7425921445833925</c:v>
                </c:pt>
                <c:pt idx="1">
                  <c:v>8.7916497586528735</c:v>
                </c:pt>
                <c:pt idx="2">
                  <c:v>9.2610189828422094</c:v>
                </c:pt>
                <c:pt idx="3">
                  <c:v>7.2559171238831119</c:v>
                </c:pt>
                <c:pt idx="4">
                  <c:v>8.2596664394011192</c:v>
                </c:pt>
                <c:pt idx="5">
                  <c:v>7.7013825471889339</c:v>
                </c:pt>
                <c:pt idx="6">
                  <c:v>7.3397937539093379</c:v>
                </c:pt>
                <c:pt idx="7">
                  <c:v>5.9115883872606974</c:v>
                </c:pt>
                <c:pt idx="8">
                  <c:v>5.1791472997667256</c:v>
                </c:pt>
                <c:pt idx="9">
                  <c:v>8.1292299908935188</c:v>
                </c:pt>
                <c:pt idx="10">
                  <c:v>8.152427065131981</c:v>
                </c:pt>
                <c:pt idx="11">
                  <c:v>8.0098115175471332</c:v>
                </c:pt>
                <c:pt idx="12">
                  <c:v>8.5086324984582546</c:v>
                </c:pt>
                <c:pt idx="13">
                  <c:v>11.559598123067437</c:v>
                </c:pt>
                <c:pt idx="14">
                  <c:v>13.852674399602007</c:v>
                </c:pt>
                <c:pt idx="15">
                  <c:v>12.468103706690187</c:v>
                </c:pt>
                <c:pt idx="16">
                  <c:v>12.927695449242234</c:v>
                </c:pt>
                <c:pt idx="17">
                  <c:v>16.52701785817148</c:v>
                </c:pt>
                <c:pt idx="18">
                  <c:v>20.228507478214944</c:v>
                </c:pt>
                <c:pt idx="19">
                  <c:v>19.030800875256251</c:v>
                </c:pt>
                <c:pt idx="20">
                  <c:v>21.360470896226659</c:v>
                </c:pt>
                <c:pt idx="21">
                  <c:v>22.54344583238829</c:v>
                </c:pt>
                <c:pt idx="22">
                  <c:v>21.413296854863798</c:v>
                </c:pt>
                <c:pt idx="23">
                  <c:v>21.859145081764087</c:v>
                </c:pt>
                <c:pt idx="24">
                  <c:v>22.889098363477387</c:v>
                </c:pt>
                <c:pt idx="25">
                  <c:v>22.573532300252698</c:v>
                </c:pt>
                <c:pt idx="26">
                  <c:v>21.300814077099222</c:v>
                </c:pt>
                <c:pt idx="27">
                  <c:v>19.901609148759011</c:v>
                </c:pt>
                <c:pt idx="28">
                  <c:v>24.873593185446897</c:v>
                </c:pt>
                <c:pt idx="29">
                  <c:v>21.010483574133367</c:v>
                </c:pt>
                <c:pt idx="30">
                  <c:v>18.570867347909395</c:v>
                </c:pt>
                <c:pt idx="31">
                  <c:v>18.700101324747358</c:v>
                </c:pt>
                <c:pt idx="32">
                  <c:v>20.248370931131557</c:v>
                </c:pt>
                <c:pt idx="33">
                  <c:v>22.516994406631468</c:v>
                </c:pt>
                <c:pt idx="34">
                  <c:v>20.885970542861873</c:v>
                </c:pt>
                <c:pt idx="35">
                  <c:v>23.55488035665789</c:v>
                </c:pt>
                <c:pt idx="36">
                  <c:v>26.775074956026458</c:v>
                </c:pt>
                <c:pt idx="37">
                  <c:v>30.043436931446109</c:v>
                </c:pt>
                <c:pt idx="38">
                  <c:v>30.435226844303386</c:v>
                </c:pt>
                <c:pt idx="39">
                  <c:v>32.017913713999221</c:v>
                </c:pt>
                <c:pt idx="40">
                  <c:v>35.453918999858985</c:v>
                </c:pt>
                <c:pt idx="41">
                  <c:v>38.183188937296201</c:v>
                </c:pt>
                <c:pt idx="42">
                  <c:v>37.533774422315325</c:v>
                </c:pt>
                <c:pt idx="43">
                  <c:v>39.252264468708127</c:v>
                </c:pt>
                <c:pt idx="44">
                  <c:v>38.924777942766219</c:v>
                </c:pt>
                <c:pt idx="45">
                  <c:v>39.671131786246924</c:v>
                </c:pt>
                <c:pt idx="46">
                  <c:v>38.509874327725036</c:v>
                </c:pt>
                <c:pt idx="47">
                  <c:v>43.09822357897005</c:v>
                </c:pt>
                <c:pt idx="48">
                  <c:v>47.79824459061836</c:v>
                </c:pt>
                <c:pt idx="49">
                  <c:v>51.30230117060028</c:v>
                </c:pt>
                <c:pt idx="50">
                  <c:v>55.179848304873197</c:v>
                </c:pt>
                <c:pt idx="51">
                  <c:v>56.218172024869006</c:v>
                </c:pt>
                <c:pt idx="52">
                  <c:v>55.93557555748253</c:v>
                </c:pt>
                <c:pt idx="53">
                  <c:v>50.504295570955428</c:v>
                </c:pt>
                <c:pt idx="54">
                  <c:v>46.587573792274952</c:v>
                </c:pt>
                <c:pt idx="55">
                  <c:v>43.029009181613077</c:v>
                </c:pt>
                <c:pt idx="56">
                  <c:v>41.241135454342235</c:v>
                </c:pt>
                <c:pt idx="57">
                  <c:v>42.182268159562852</c:v>
                </c:pt>
                <c:pt idx="58">
                  <c:v>43.379575247961498</c:v>
                </c:pt>
                <c:pt idx="59">
                  <c:v>46.892299400441608</c:v>
                </c:pt>
                <c:pt idx="60">
                  <c:v>51.313650792254457</c:v>
                </c:pt>
                <c:pt idx="61">
                  <c:v>55.00004389760398</c:v>
                </c:pt>
                <c:pt idx="62">
                  <c:v>53.994074490677569</c:v>
                </c:pt>
                <c:pt idx="63">
                  <c:v>51.374573606465788</c:v>
                </c:pt>
                <c:pt idx="64">
                  <c:v>49.956570392731948</c:v>
                </c:pt>
                <c:pt idx="65">
                  <c:v>45.069471346183256</c:v>
                </c:pt>
              </c:numCache>
            </c:numRef>
          </c:yVal>
          <c:smooth val="0"/>
          <c:extLst>
            <c:ext xmlns:c16="http://schemas.microsoft.com/office/drawing/2014/chart" uri="{C3380CC4-5D6E-409C-BE32-E72D297353CC}">
              <c16:uniqueId val="{00000003-2EEC-4391-BFD2-972F02E72ED9}"/>
            </c:ext>
          </c:extLst>
        </c:ser>
        <c:ser>
          <c:idx val="2"/>
          <c:order val="2"/>
          <c:tx>
            <c:strRef>
              <c:f>'Retrospective Run1'!$FJ$13</c:f>
              <c:strCache>
                <c:ptCount val="1"/>
                <c:pt idx="0">
                  <c:v>percentage killed by predators</c:v>
                </c:pt>
              </c:strCache>
            </c:strRef>
          </c:tx>
          <c:spPr>
            <a:ln w="19050" cap="rnd">
              <a:solidFill>
                <a:srgbClr val="FF0000"/>
              </a:solidFill>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#,##0.00</c:formatCode>
                <c:ptCount val="66"/>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numCache>
            </c:numRef>
          </c:yVal>
          <c:smooth val="0"/>
          <c:extLst>
            <c:ext xmlns:c16="http://schemas.microsoft.com/office/drawing/2014/chart" uri="{C3380CC4-5D6E-409C-BE32-E72D297353CC}">
              <c16:uniqueId val="{00000002-CC7C-4CA7-A3D9-A22D34CF7A3D}"/>
            </c:ext>
          </c:extLst>
        </c:ser>
        <c:dLbls>
          <c:showLegendKey val="0"/>
          <c:showVal val="0"/>
          <c:showCatName val="0"/>
          <c:showSerName val="0"/>
          <c:showPercent val="0"/>
          <c:showBubbleSize val="0"/>
        </c:dLbls>
        <c:axId val="426894736"/>
        <c:axId val="426886416"/>
      </c:scatterChart>
      <c:valAx>
        <c:axId val="426894736"/>
        <c:scaling>
          <c:orientation val="minMax"/>
          <c:max val="2020"/>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spPr>
        <a:noFill/>
        <a:ln>
          <a:noFill/>
        </a:ln>
        <a:effectLst/>
      </c:spPr>
    </c:plotArea>
    <c:legend>
      <c:legendPos val="r"/>
      <c:layout>
        <c:manualLayout>
          <c:xMode val="edge"/>
          <c:yMode val="edge"/>
          <c:x val="0.70719400699912516"/>
          <c:y val="0.18134186351706039"/>
          <c:w val="0.29280605157406076"/>
          <c:h val="0.4850231413625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Frequency distribution of chum salmon killed per SSL per year</a:t>
            </a:r>
          </a:p>
        </c:rich>
      </c:tx>
      <c:overlay val="0"/>
    </c:title>
    <c:autoTitleDeleted val="0"/>
    <c:plotArea>
      <c:layout/>
      <c:barChart>
        <c:barDir val="col"/>
        <c:grouping val="clustered"/>
        <c:varyColors val="0"/>
        <c:ser>
          <c:idx val="0"/>
          <c:order val="0"/>
          <c:invertIfNegative val="0"/>
          <c:cat>
            <c:numRef>
              <c:f>'Retrospective Run1'!$GU$11:$GU$27</c:f>
              <c:numCache>
                <c:formatCode>General</c:formatCode>
                <c:ptCount val="17"/>
                <c:pt idx="0">
                  <c:v>0</c:v>
                </c:pt>
                <c:pt idx="1">
                  <c:v>4</c:v>
                </c:pt>
                <c:pt idx="2">
                  <c:v>8</c:v>
                </c:pt>
                <c:pt idx="3">
                  <c:v>12</c:v>
                </c:pt>
                <c:pt idx="4">
                  <c:v>16</c:v>
                </c:pt>
                <c:pt idx="5">
                  <c:v>20</c:v>
                </c:pt>
                <c:pt idx="6">
                  <c:v>24</c:v>
                </c:pt>
                <c:pt idx="7">
                  <c:v>28</c:v>
                </c:pt>
                <c:pt idx="8">
                  <c:v>32</c:v>
                </c:pt>
                <c:pt idx="9">
                  <c:v>36</c:v>
                </c:pt>
                <c:pt idx="10">
                  <c:v>40</c:v>
                </c:pt>
                <c:pt idx="11">
                  <c:v>44</c:v>
                </c:pt>
                <c:pt idx="12">
                  <c:v>48</c:v>
                </c:pt>
                <c:pt idx="13">
                  <c:v>52</c:v>
                </c:pt>
                <c:pt idx="14">
                  <c:v>56</c:v>
                </c:pt>
                <c:pt idx="15">
                  <c:v>60</c:v>
                </c:pt>
                <c:pt idx="16">
                  <c:v>64</c:v>
                </c:pt>
              </c:numCache>
            </c:numRef>
          </c:cat>
          <c:val>
            <c:numRef>
              <c:f>'Retrospective Run1'!$GV$11:$GV$27</c:f>
              <c:numCache>
                <c:formatCode>General</c:formatCode>
                <c:ptCount val="17"/>
                <c:pt idx="0">
                  <c:v>2</c:v>
                </c:pt>
                <c:pt idx="1">
                  <c:v>6</c:v>
                </c:pt>
                <c:pt idx="2">
                  <c:v>8</c:v>
                </c:pt>
                <c:pt idx="3">
                  <c:v>4</c:v>
                </c:pt>
                <c:pt idx="4">
                  <c:v>4</c:v>
                </c:pt>
                <c:pt idx="5">
                  <c:v>4</c:v>
                </c:pt>
                <c:pt idx="6">
                  <c:v>6</c:v>
                </c:pt>
                <c:pt idx="7">
                  <c:v>6</c:v>
                </c:pt>
                <c:pt idx="8">
                  <c:v>11</c:v>
                </c:pt>
                <c:pt idx="9">
                  <c:v>8</c:v>
                </c:pt>
                <c:pt idx="10">
                  <c:v>1</c:v>
                </c:pt>
                <c:pt idx="11">
                  <c:v>0</c:v>
                </c:pt>
                <c:pt idx="12">
                  <c:v>2</c:v>
                </c:pt>
                <c:pt idx="13">
                  <c:v>2</c:v>
                </c:pt>
                <c:pt idx="14">
                  <c:v>1</c:v>
                </c:pt>
                <c:pt idx="15">
                  <c:v>1</c:v>
                </c:pt>
                <c:pt idx="16">
                  <c:v>0</c:v>
                </c:pt>
              </c:numCache>
            </c:numRef>
          </c:val>
          <c:extLst>
            <c:ext xmlns:c16="http://schemas.microsoft.com/office/drawing/2014/chart" uri="{C3380CC4-5D6E-409C-BE32-E72D297353CC}">
              <c16:uniqueId val="{00000000-7676-4F83-B229-0AFDC30CB1F7}"/>
            </c:ext>
          </c:extLst>
        </c:ser>
        <c:dLbls>
          <c:showLegendKey val="0"/>
          <c:showVal val="0"/>
          <c:showCatName val="0"/>
          <c:showSerName val="0"/>
          <c:showPercent val="0"/>
          <c:showBubbleSize val="0"/>
        </c:dLbls>
        <c:gapWidth val="150"/>
        <c:axId val="405730480"/>
        <c:axId val="405745040"/>
      </c:barChart>
      <c:catAx>
        <c:axId val="405730480"/>
        <c:scaling>
          <c:orientation val="minMax"/>
        </c:scaling>
        <c:delete val="0"/>
        <c:axPos val="b"/>
        <c:title>
          <c:tx>
            <c:rich>
              <a:bodyPr/>
              <a:lstStyle/>
              <a:p>
                <a:pPr>
                  <a:defRPr/>
                </a:pPr>
                <a:r>
                  <a:rPr lang="en-US"/>
                  <a:t>chum salmon eaten per predator  per year</a:t>
                </a:r>
              </a:p>
            </c:rich>
          </c:tx>
          <c:overlay val="0"/>
        </c:title>
        <c:numFmt formatCode="General" sourceLinked="1"/>
        <c:majorTickMark val="out"/>
        <c:minorTickMark val="none"/>
        <c:tickLblPos val="nextTo"/>
        <c:crossAx val="405745040"/>
        <c:crosses val="autoZero"/>
        <c:auto val="1"/>
        <c:lblAlgn val="ctr"/>
        <c:lblOffset val="100"/>
        <c:noMultiLvlLbl val="0"/>
      </c:catAx>
      <c:valAx>
        <c:axId val="40574504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057304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bg2"/>
      </a:solidFill>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Chum and Thompson and Chilcotin River Steelhead Spawner Abundance (Fits</a:t>
            </a:r>
            <a:r>
              <a:rPr lang="en-US" baseline="0"/>
              <a:t> onlly to final 3-4 spawner counts in each time series</a:t>
            </a:r>
            <a:r>
              <a:rPr lang="en-US"/>
              <a:t>)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7032-4832-8E4E-57628FCF6CA8}"/>
            </c:ext>
          </c:extLst>
        </c:ser>
        <c:ser>
          <c:idx val="0"/>
          <c:order val="5"/>
          <c:tx>
            <c:strRef>
              <c:f>'Retrospective Run1'!$AP$13</c:f>
              <c:strCache>
                <c:ptCount val="1"/>
                <c:pt idx="0">
                  <c:v>Predicted chum spawners</c:v>
                </c:pt>
              </c:strCache>
            </c:strRef>
          </c:tx>
          <c:spPr>
            <a:ln w="22225" cap="rnd">
              <a:solidFill>
                <a:schemeClr val="accent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Run1'!$AP$14:$AP$103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0-7032-4832-8E4E-57628FCF6CA8}"/>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5-7032-4832-8E4E-57628FCF6CA8}"/>
            </c:ext>
          </c:extLst>
        </c:ser>
        <c:ser>
          <c:idx val="3"/>
          <c:order val="1"/>
          <c:tx>
            <c:strRef>
              <c:f>'Retrospective Run1'!$BA$13</c:f>
              <c:strCache>
                <c:ptCount val="1"/>
                <c:pt idx="0">
                  <c:v>Thomp. SH spawners count</c:v>
                </c:pt>
              </c:strCache>
            </c:strRef>
          </c:tx>
          <c:spPr>
            <a:ln w="19050" cap="rnd">
              <a:noFill/>
              <a:round/>
            </a:ln>
            <a:effectLst/>
          </c:spPr>
          <c:marker>
            <c:symbol val="triangle"/>
            <c:size val="10"/>
            <c:spPr>
              <a:noFill/>
              <a:ln w="1587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7032-4832-8E4E-57628FCF6CA8}"/>
            </c:ext>
          </c:extLst>
        </c:ser>
        <c:ser>
          <c:idx val="1"/>
          <c:order val="3"/>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2-7032-4832-8E4E-57628FCF6CA8}"/>
            </c:ext>
          </c:extLst>
        </c:ser>
        <c:ser>
          <c:idx val="2"/>
          <c:order val="4"/>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3-7032-4832-8E4E-57628FCF6CA8}"/>
            </c:ext>
          </c:extLst>
        </c:ser>
        <c:dLbls>
          <c:showLegendKey val="0"/>
          <c:showVal val="0"/>
          <c:showCatName val="0"/>
          <c:showSerName val="0"/>
          <c:showPercent val="0"/>
          <c:showBubbleSize val="0"/>
        </c:dLbls>
        <c:axId val="1260689951"/>
        <c:axId val="1260694943"/>
      </c:scatterChart>
      <c:valAx>
        <c:axId val="1260687455"/>
        <c:scaling>
          <c:orientation val="minMax"/>
          <c:max val="2026"/>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7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Thompson and Chilcotin River Steelhead Spawner Abundance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3"/>
          <c:order val="1"/>
          <c:tx>
            <c:strRef>
              <c:f>'Retrospective Run1'!$BA$13</c:f>
              <c:strCache>
                <c:ptCount val="1"/>
                <c:pt idx="0">
                  <c:v>Thomp. SH spawners count</c:v>
                </c:pt>
              </c:strCache>
            </c:strRef>
          </c:tx>
          <c:spPr>
            <a:ln w="19050" cap="rnd">
              <a:noFill/>
              <a:round/>
            </a:ln>
            <a:effectLst/>
          </c:spPr>
          <c:marker>
            <c:symbol val="triangle"/>
            <c:size val="10"/>
            <c:spPr>
              <a:no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4050-431F-8F0F-1493D4107593}"/>
            </c:ext>
          </c:extLst>
        </c:ser>
        <c:ser>
          <c:idx val="1"/>
          <c:order val="2"/>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4-4050-431F-8F0F-1493D4107593}"/>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4050-431F-8F0F-1493D4107593}"/>
            </c:ext>
          </c:extLst>
        </c:ser>
        <c:ser>
          <c:idx val="2"/>
          <c:order val="3"/>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5-4050-431F-8F0F-1493D4107593}"/>
            </c:ext>
          </c:extLst>
        </c:ser>
        <c:dLbls>
          <c:showLegendKey val="0"/>
          <c:showVal val="0"/>
          <c:showCatName val="0"/>
          <c:showSerName val="0"/>
          <c:showPercent val="0"/>
          <c:showBubbleSize val="0"/>
        </c:dLbls>
        <c:axId val="791417471"/>
        <c:axId val="791417055"/>
      </c:scatterChart>
      <c:valAx>
        <c:axId val="1260687455"/>
        <c:scaling>
          <c:orientation val="minMax"/>
          <c:max val="2040"/>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1500"/>
          <c:min val="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Thompson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majorUnit val="200"/>
        <c:minorUnit val="50"/>
      </c:valAx>
      <c:valAx>
        <c:axId val="791417055"/>
        <c:scaling>
          <c:orientation val="minMax"/>
          <c:max val="120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1417471"/>
        <c:crosses val="max"/>
        <c:crossBetween val="midCat"/>
      </c:valAx>
      <c:valAx>
        <c:axId val="791417471"/>
        <c:scaling>
          <c:orientation val="minMax"/>
        </c:scaling>
        <c:delete val="1"/>
        <c:axPos val="b"/>
        <c:numFmt formatCode="General" sourceLinked="1"/>
        <c:majorTickMark val="out"/>
        <c:minorTickMark val="none"/>
        <c:tickLblPos val="nextTo"/>
        <c:crossAx val="791417055"/>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94637277612799"/>
          <c:y val="0.10689181286753995"/>
          <c:w val="0.70860853909658517"/>
          <c:h val="0.6649258335213899"/>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5.7113605203403819E-2"/>
                  <c:y val="0.1832063868462393"/>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Run1'!$J$60:$J$79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Run1'!$BV$60:$BV$79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2-E1CE-43EF-B4D0-ECDDAB4194A1}"/>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Thompson River steelhead harvest rate</a:t>
                </a:r>
              </a:p>
            </c:rich>
          </c:tx>
          <c:layout>
            <c:manualLayout>
              <c:xMode val="edge"/>
              <c:yMode val="edge"/>
              <c:x val="5.2621416049286295E-2"/>
              <c:y val="3.9531139508824913E-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Chilcotin steelhead bycatch rates versus Fraser Chum harvest rates</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31404855643044621"/>
                  <c:y val="-3.0724701079031788E-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Run1'!$J$60:$J$79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Run1'!$EA$60:$EA$79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#N/A</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9CA5-42E3-BE8E-5EDB53A1C457}"/>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River steelhead harvest 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79362175056774"/>
          <c:y val="8.9184089600199232E-2"/>
          <c:w val="0.75495656030813463"/>
          <c:h val="0.7614864125064533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olid"/>
              </a:ln>
              <a:effectLst/>
            </c:spPr>
            <c:trendlineType val="linear"/>
            <c:intercept val="0"/>
            <c:dispRSqr val="1"/>
            <c:dispEq val="1"/>
            <c:trendlineLbl>
              <c:layout>
                <c:manualLayout>
                  <c:x val="2.9793344317401913E-2"/>
                  <c:y val="0.2147460245306063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Run1'!$J$60:$J$79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Run1'!$EA$60:$EA$79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#N/A</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C595-404C-A66F-94BCC01C71ED}"/>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Chilcotin River steelhead 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Chum fishery harvest rates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1407740314418833"/>
          <c:w val="0.32241454283775872"/>
          <c:h val="0.60582074089450622"/>
        </c:manualLayout>
      </c:layout>
      <c:scatterChart>
        <c:scatterStyle val="lineMarker"/>
        <c:varyColors val="0"/>
        <c:ser>
          <c:idx val="2"/>
          <c:order val="1"/>
          <c:tx>
            <c:strRef>
              <c:f>'Retrospective Run1'!$AU$13</c:f>
              <c:strCache>
                <c:ptCount val="1"/>
                <c:pt idx="0">
                  <c:v>Chum base alpha(y) (SSL, PDO smolt, PDO adult, NPGO)</c:v>
                </c:pt>
              </c:strCache>
            </c:strRef>
          </c:tx>
          <c:spPr>
            <a:ln w="19050" cap="rnd">
              <a:solidFill>
                <a:schemeClr val="accent3"/>
              </a:solidFill>
              <a:round/>
            </a:ln>
            <a:effectLst/>
          </c:spPr>
          <c:marker>
            <c:symbol val="none"/>
          </c:marker>
          <c:xVal>
            <c:numRef>
              <c:f>'Retrospective Run1'!$AH$14:$AH$79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Run1'!$AU$14:$AU$79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A88A-4F25-A09C-F5AEF44F49FB}"/>
            </c:ext>
          </c:extLst>
        </c:ser>
        <c:ser>
          <c:idx val="5"/>
          <c:order val="3"/>
          <c:tx>
            <c:strRef>
              <c:f>'Retrospective Run1'!$CV$13</c:f>
              <c:strCache>
                <c:ptCount val="1"/>
                <c:pt idx="0">
                  <c:v>SH TH base alpha(y) (SSL+SST)</c:v>
                </c:pt>
              </c:strCache>
            </c:strRef>
          </c:tx>
          <c:spPr>
            <a:ln w="19050" cap="rnd">
              <a:solidFill>
                <a:schemeClr val="accent2"/>
              </a:solidFill>
              <a:prstDash val="sysDash"/>
              <a:round/>
            </a:ln>
            <a:effectLst/>
          </c:spPr>
          <c:marker>
            <c:symbol val="none"/>
          </c:marker>
          <c:xVal>
            <c:numRef>
              <c:f>'Retrospective Run1'!$AH$14:$AH$81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Run1'!$CV$14:$CV$103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2.1800422333136753</c:v>
                </c:pt>
                <c:pt idx="69">
                  <c:v>2.1800422333136753</c:v>
                </c:pt>
                <c:pt idx="70">
                  <c:v>2.1800422333136753</c:v>
                </c:pt>
                <c:pt idx="71">
                  <c:v>2.1800422333136753</c:v>
                </c:pt>
                <c:pt idx="72">
                  <c:v>2.1800422333136753</c:v>
                </c:pt>
                <c:pt idx="73">
                  <c:v>2.1800422333136753</c:v>
                </c:pt>
                <c:pt idx="74">
                  <c:v>2.1800422333136753</c:v>
                </c:pt>
                <c:pt idx="75">
                  <c:v>2.1800422333136753</c:v>
                </c:pt>
                <c:pt idx="76">
                  <c:v>2.1800422333136753</c:v>
                </c:pt>
                <c:pt idx="77">
                  <c:v>2.1800422333136753</c:v>
                </c:pt>
                <c:pt idx="78">
                  <c:v>2.1800422333136753</c:v>
                </c:pt>
                <c:pt idx="79">
                  <c:v>2.1800422333136753</c:v>
                </c:pt>
                <c:pt idx="80">
                  <c:v>2.1800422333136753</c:v>
                </c:pt>
                <c:pt idx="81">
                  <c:v>2.1800422333136753</c:v>
                </c:pt>
                <c:pt idx="82">
                  <c:v>2.1800422333136753</c:v>
                </c:pt>
                <c:pt idx="83">
                  <c:v>2.1800422333136753</c:v>
                </c:pt>
                <c:pt idx="84">
                  <c:v>2.1800422333136753</c:v>
                </c:pt>
                <c:pt idx="85">
                  <c:v>2.1800422333136753</c:v>
                </c:pt>
                <c:pt idx="86">
                  <c:v>2.1800422333136753</c:v>
                </c:pt>
                <c:pt idx="87">
                  <c:v>2.1800422333136753</c:v>
                </c:pt>
                <c:pt idx="88">
                  <c:v>2.1800422333136753</c:v>
                </c:pt>
                <c:pt idx="89">
                  <c:v>2.1800422333136753</c:v>
                </c:pt>
              </c:numCache>
            </c:numRef>
          </c:yVal>
          <c:smooth val="0"/>
          <c:extLst>
            <c:ext xmlns:c16="http://schemas.microsoft.com/office/drawing/2014/chart" uri="{C3380CC4-5D6E-409C-BE32-E72D297353CC}">
              <c16:uniqueId val="{00000002-A88A-4F25-A09C-F5AEF44F49FB}"/>
            </c:ext>
          </c:extLst>
        </c:ser>
        <c:ser>
          <c:idx val="6"/>
          <c:order val="4"/>
          <c:tx>
            <c:strRef>
              <c:f>'Retrospective Run1'!$DT$13</c:f>
              <c:strCache>
                <c:ptCount val="1"/>
                <c:pt idx="0">
                  <c:v>SH CH Base alpha(SSL, NPGO, PDO smolt)</c:v>
                </c:pt>
              </c:strCache>
            </c:strRef>
          </c:tx>
          <c:spPr>
            <a:ln w="19050" cap="rnd">
              <a:solidFill>
                <a:schemeClr val="accent1">
                  <a:lumMod val="60000"/>
                </a:schemeClr>
              </a:solidFill>
              <a:prstDash val="sysDash"/>
              <a:round/>
            </a:ln>
            <a:effectLst/>
          </c:spPr>
          <c:marker>
            <c:symbol val="none"/>
          </c:marker>
          <c:xVal>
            <c:numRef>
              <c:f>'Retrospective Run1'!$AH$14:$AH$80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Run1'!$DT$14:$DT$103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3-A88A-4F25-A09C-F5AEF44F49F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Run1'!$AI$13</c:f>
              <c:strCache>
                <c:ptCount val="1"/>
                <c:pt idx="0">
                  <c:v>Chum commercial fishery harvest rate</c:v>
                </c:pt>
              </c:strCache>
            </c:strRef>
          </c:tx>
          <c:spPr>
            <a:ln w="19050" cap="rnd">
              <a:solidFill>
                <a:srgbClr val="FF0000"/>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5-A88A-4F25-A09C-F5AEF44F49FB}"/>
            </c:ext>
          </c:extLst>
        </c:ser>
        <c:ser>
          <c:idx val="3"/>
          <c:order val="2"/>
          <c:tx>
            <c:strRef>
              <c:f>'Retrospective Run1'!$CB$13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Run1'!$AH$14:$AH$80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Run1'!$CB$14:$CB$80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0.13799999999999998</c:v>
                </c:pt>
                <c:pt idx="41">
                  <c:v>0.13799999999999998</c:v>
                </c:pt>
                <c:pt idx="42">
                  <c:v>0.13799999999999998</c:v>
                </c:pt>
                <c:pt idx="43">
                  <c:v>0.13799999999999998</c:v>
                </c:pt>
                <c:pt idx="44">
                  <c:v>0.13799999999999998</c:v>
                </c:pt>
                <c:pt idx="45">
                  <c:v>0.13799999999999998</c:v>
                </c:pt>
                <c:pt idx="46">
                  <c:v>0.13799999999999998</c:v>
                </c:pt>
                <c:pt idx="47">
                  <c:v>0.13799999999999998</c:v>
                </c:pt>
                <c:pt idx="48">
                  <c:v>0.13799999999999998</c:v>
                </c:pt>
                <c:pt idx="49">
                  <c:v>0.13799999999999998</c:v>
                </c:pt>
                <c:pt idx="50">
                  <c:v>0.13799999999999998</c:v>
                </c:pt>
                <c:pt idx="51">
                  <c:v>0.13799999999999998</c:v>
                </c:pt>
                <c:pt idx="52">
                  <c:v>0.13799999999999998</c:v>
                </c:pt>
                <c:pt idx="53">
                  <c:v>0.13799999999999998</c:v>
                </c:pt>
                <c:pt idx="54">
                  <c:v>0.13799999999999998</c:v>
                </c:pt>
                <c:pt idx="55">
                  <c:v>0.13799999999999998</c:v>
                </c:pt>
                <c:pt idx="56">
                  <c:v>0.13799999999999998</c:v>
                </c:pt>
                <c:pt idx="57">
                  <c:v>0.13799999999999998</c:v>
                </c:pt>
                <c:pt idx="58">
                  <c:v>0.13799999999999998</c:v>
                </c:pt>
                <c:pt idx="59">
                  <c:v>0.13799999999999998</c:v>
                </c:pt>
                <c:pt idx="60">
                  <c:v>0.13799999999999998</c:v>
                </c:pt>
                <c:pt idx="61">
                  <c:v>0.13799999999999998</c:v>
                </c:pt>
                <c:pt idx="62">
                  <c:v>0.13799999999999998</c:v>
                </c:pt>
                <c:pt idx="63">
                  <c:v>0.13799999999999998</c:v>
                </c:pt>
                <c:pt idx="64">
                  <c:v>0.13799999999999998</c:v>
                </c:pt>
                <c:pt idx="65">
                  <c:v>0.13799999999999998</c:v>
                </c:pt>
                <c:pt idx="66">
                  <c:v>0.13799999999999998</c:v>
                </c:pt>
              </c:numCache>
            </c:numRef>
          </c:yVal>
          <c:smooth val="0"/>
          <c:extLst>
            <c:ext xmlns:c16="http://schemas.microsoft.com/office/drawing/2014/chart" uri="{C3380CC4-5D6E-409C-BE32-E72D297353CC}">
              <c16:uniqueId val="{00000006-A88A-4F25-A09C-F5AEF44F49FB}"/>
            </c:ext>
          </c:extLst>
        </c:ser>
        <c:dLbls>
          <c:showLegendKey val="0"/>
          <c:showVal val="0"/>
          <c:showCatName val="0"/>
          <c:showSerName val="0"/>
          <c:showPercent val="0"/>
          <c:showBubbleSize val="0"/>
        </c:dLbls>
        <c:axId val="1253577008"/>
        <c:axId val="1253571600"/>
      </c:scatterChart>
      <c:valAx>
        <c:axId val="724598304"/>
        <c:scaling>
          <c:orientation val="minMax"/>
          <c:max val="2025"/>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0"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10606656586396E-2"/>
          <c:y val="0.21407740314418833"/>
          <c:w val="0.37374448321779519"/>
          <c:h val="0.60582074089450622"/>
        </c:manualLayout>
      </c:layout>
      <c:scatterChart>
        <c:scatterStyle val="lineMarker"/>
        <c:varyColors val="0"/>
        <c:ser>
          <c:idx val="2"/>
          <c:order val="1"/>
          <c:tx>
            <c:strRef>
              <c:f>'Retrospective Run1'!$AU$13</c:f>
              <c:strCache>
                <c:ptCount val="1"/>
                <c:pt idx="0">
                  <c:v>Chum base alpha(y) (SSL, PDO smolt, PDO adult, NPGO)</c:v>
                </c:pt>
              </c:strCache>
            </c:strRef>
          </c:tx>
          <c:spPr>
            <a:ln w="19050" cap="rnd">
              <a:solidFill>
                <a:schemeClr val="accent3"/>
              </a:solidFill>
              <a:round/>
            </a:ln>
            <a:effectLst/>
          </c:spPr>
          <c:marker>
            <c:symbol val="none"/>
          </c:marker>
          <c:xVal>
            <c:numRef>
              <c:f>'Retrospective Run1'!$AH$14:$AH$79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Run1'!$AU$14:$AU$79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39E6-4506-B658-3B4A7C822065}"/>
            </c:ext>
          </c:extLst>
        </c:ser>
        <c:ser>
          <c:idx val="5"/>
          <c:order val="3"/>
          <c:tx>
            <c:strRef>
              <c:f>'Retrospective Run1'!$CV$13</c:f>
              <c:strCache>
                <c:ptCount val="1"/>
                <c:pt idx="0">
                  <c:v>SH TH base alpha(y) (SSL+SST)</c:v>
                </c:pt>
              </c:strCache>
            </c:strRef>
          </c:tx>
          <c:spPr>
            <a:ln w="19050" cap="rnd">
              <a:solidFill>
                <a:schemeClr val="accent2"/>
              </a:solidFill>
              <a:prstDash val="sysDash"/>
              <a:round/>
            </a:ln>
            <a:effectLst/>
          </c:spPr>
          <c:marker>
            <c:symbol val="none"/>
          </c:marker>
          <c:xVal>
            <c:numRef>
              <c:f>'Retrospective Run1'!$AH$14:$AH$81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Run1'!$CV$14:$CV$103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2.1800422333136753</c:v>
                </c:pt>
                <c:pt idx="69">
                  <c:v>2.1800422333136753</c:v>
                </c:pt>
                <c:pt idx="70">
                  <c:v>2.1800422333136753</c:v>
                </c:pt>
                <c:pt idx="71">
                  <c:v>2.1800422333136753</c:v>
                </c:pt>
                <c:pt idx="72">
                  <c:v>2.1800422333136753</c:v>
                </c:pt>
                <c:pt idx="73">
                  <c:v>2.1800422333136753</c:v>
                </c:pt>
                <c:pt idx="74">
                  <c:v>2.1800422333136753</c:v>
                </c:pt>
                <c:pt idx="75">
                  <c:v>2.1800422333136753</c:v>
                </c:pt>
                <c:pt idx="76">
                  <c:v>2.1800422333136753</c:v>
                </c:pt>
                <c:pt idx="77">
                  <c:v>2.1800422333136753</c:v>
                </c:pt>
                <c:pt idx="78">
                  <c:v>2.1800422333136753</c:v>
                </c:pt>
                <c:pt idx="79">
                  <c:v>2.1800422333136753</c:v>
                </c:pt>
                <c:pt idx="80">
                  <c:v>2.1800422333136753</c:v>
                </c:pt>
                <c:pt idx="81">
                  <c:v>2.1800422333136753</c:v>
                </c:pt>
                <c:pt idx="82">
                  <c:v>2.1800422333136753</c:v>
                </c:pt>
                <c:pt idx="83">
                  <c:v>2.1800422333136753</c:v>
                </c:pt>
                <c:pt idx="84">
                  <c:v>2.1800422333136753</c:v>
                </c:pt>
                <c:pt idx="85">
                  <c:v>2.1800422333136753</c:v>
                </c:pt>
                <c:pt idx="86">
                  <c:v>2.1800422333136753</c:v>
                </c:pt>
                <c:pt idx="87">
                  <c:v>2.1800422333136753</c:v>
                </c:pt>
                <c:pt idx="88">
                  <c:v>2.1800422333136753</c:v>
                </c:pt>
                <c:pt idx="89">
                  <c:v>2.1800422333136753</c:v>
                </c:pt>
              </c:numCache>
            </c:numRef>
          </c:yVal>
          <c:smooth val="0"/>
          <c:extLst>
            <c:ext xmlns:c16="http://schemas.microsoft.com/office/drawing/2014/chart" uri="{C3380CC4-5D6E-409C-BE32-E72D297353CC}">
              <c16:uniqueId val="{00000001-39E6-4506-B658-3B4A7C822065}"/>
            </c:ext>
          </c:extLst>
        </c:ser>
        <c:ser>
          <c:idx val="6"/>
          <c:order val="4"/>
          <c:tx>
            <c:strRef>
              <c:f>'Retrospective Run1'!$DT$13</c:f>
              <c:strCache>
                <c:ptCount val="1"/>
                <c:pt idx="0">
                  <c:v>SH CH Base alpha(SSL, NPGO, PDO smolt)</c:v>
                </c:pt>
              </c:strCache>
            </c:strRef>
          </c:tx>
          <c:spPr>
            <a:ln w="19050" cap="rnd">
              <a:solidFill>
                <a:schemeClr val="accent1">
                  <a:lumMod val="60000"/>
                </a:schemeClr>
              </a:solidFill>
              <a:prstDash val="sysDash"/>
              <a:round/>
            </a:ln>
            <a:effectLst/>
          </c:spPr>
          <c:marker>
            <c:symbol val="none"/>
          </c:marker>
          <c:xVal>
            <c:numRef>
              <c:f>'Retrospective Run1'!$AH$14:$AH$80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Run1'!$DT$14:$DT$103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2-39E6-4506-B658-3B4A7C822065}"/>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Run1'!$AI$13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3-39E6-4506-B658-3B4A7C822065}"/>
            </c:ext>
          </c:extLst>
        </c:ser>
        <c:ser>
          <c:idx val="3"/>
          <c:order val="2"/>
          <c:tx>
            <c:strRef>
              <c:f>'Retrospective Run1'!$CB$13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Run1'!$AH$14:$AH$80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Run1'!$CB$14:$CB$80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0.13799999999999998</c:v>
                </c:pt>
                <c:pt idx="41">
                  <c:v>0.13799999999999998</c:v>
                </c:pt>
                <c:pt idx="42">
                  <c:v>0.13799999999999998</c:v>
                </c:pt>
                <c:pt idx="43">
                  <c:v>0.13799999999999998</c:v>
                </c:pt>
                <c:pt idx="44">
                  <c:v>0.13799999999999998</c:v>
                </c:pt>
                <c:pt idx="45">
                  <c:v>0.13799999999999998</c:v>
                </c:pt>
                <c:pt idx="46">
                  <c:v>0.13799999999999998</c:v>
                </c:pt>
                <c:pt idx="47">
                  <c:v>0.13799999999999998</c:v>
                </c:pt>
                <c:pt idx="48">
                  <c:v>0.13799999999999998</c:v>
                </c:pt>
                <c:pt idx="49">
                  <c:v>0.13799999999999998</c:v>
                </c:pt>
                <c:pt idx="50">
                  <c:v>0.13799999999999998</c:v>
                </c:pt>
                <c:pt idx="51">
                  <c:v>0.13799999999999998</c:v>
                </c:pt>
                <c:pt idx="52">
                  <c:v>0.13799999999999998</c:v>
                </c:pt>
                <c:pt idx="53">
                  <c:v>0.13799999999999998</c:v>
                </c:pt>
                <c:pt idx="54">
                  <c:v>0.13799999999999998</c:v>
                </c:pt>
                <c:pt idx="55">
                  <c:v>0.13799999999999998</c:v>
                </c:pt>
                <c:pt idx="56">
                  <c:v>0.13799999999999998</c:v>
                </c:pt>
                <c:pt idx="57">
                  <c:v>0.13799999999999998</c:v>
                </c:pt>
                <c:pt idx="58">
                  <c:v>0.13799999999999998</c:v>
                </c:pt>
                <c:pt idx="59">
                  <c:v>0.13799999999999998</c:v>
                </c:pt>
                <c:pt idx="60">
                  <c:v>0.13799999999999998</c:v>
                </c:pt>
                <c:pt idx="61">
                  <c:v>0.13799999999999998</c:v>
                </c:pt>
                <c:pt idx="62">
                  <c:v>0.13799999999999998</c:v>
                </c:pt>
                <c:pt idx="63">
                  <c:v>0.13799999999999998</c:v>
                </c:pt>
                <c:pt idx="64">
                  <c:v>0.13799999999999998</c:v>
                </c:pt>
                <c:pt idx="65">
                  <c:v>0.13799999999999998</c:v>
                </c:pt>
                <c:pt idx="66">
                  <c:v>0.13799999999999998</c:v>
                </c:pt>
              </c:numCache>
            </c:numRef>
          </c:yVal>
          <c:smooth val="0"/>
          <c:extLst>
            <c:ext xmlns:c16="http://schemas.microsoft.com/office/drawing/2014/chart" uri="{C3380CC4-5D6E-409C-BE32-E72D297353CC}">
              <c16:uniqueId val="{00000004-39E6-4506-B658-3B4A7C822065}"/>
            </c:ext>
          </c:extLst>
        </c:ser>
        <c:dLbls>
          <c:showLegendKey val="0"/>
          <c:showVal val="0"/>
          <c:showCatName val="0"/>
          <c:showSerName val="0"/>
          <c:showPercent val="0"/>
          <c:showBubbleSize val="0"/>
        </c:dLbls>
        <c:axId val="1253577008"/>
        <c:axId val="1253571600"/>
      </c:scatterChart>
      <c:valAx>
        <c:axId val="724598304"/>
        <c:scaling>
          <c:orientation val="minMax"/>
          <c:max val="2025"/>
          <c:min val="197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1011876196"/>
          <c:y val="0.356323302894133"/>
          <c:w val="0.42505852708884895"/>
          <c:h val="0.494865494223641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3296596356949678"/>
          <c:w val="0.43684284010937774"/>
          <c:h val="0.68595467381505337"/>
        </c:manualLayout>
      </c:layout>
      <c:scatterChart>
        <c:scatterStyle val="lineMarker"/>
        <c:varyColors val="0"/>
        <c:ser>
          <c:idx val="5"/>
          <c:order val="4"/>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D4E6-48E6-9F21-5B88F8DAF9F9}"/>
            </c:ext>
          </c:extLst>
        </c:ser>
        <c:ser>
          <c:idx val="0"/>
          <c:order val="5"/>
          <c:tx>
            <c:strRef>
              <c:f>'Retrospective Run1'!$AP$13</c:f>
              <c:strCache>
                <c:ptCount val="1"/>
                <c:pt idx="0">
                  <c:v>Predicted chum spawners</c:v>
                </c:pt>
              </c:strCache>
            </c:strRef>
          </c:tx>
          <c:spPr>
            <a:ln w="22225" cap="rnd">
              <a:solidFill>
                <a:schemeClr val="accent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Run1'!$AP$14:$AP$103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1-D4E6-48E6-9F21-5B88F8DAF9F9}"/>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D4E6-48E6-9F21-5B88F8DAF9F9}"/>
            </c:ext>
          </c:extLst>
        </c:ser>
        <c:ser>
          <c:idx val="2"/>
          <c:order val="1"/>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5-D4E6-48E6-9F21-5B88F8DAF9F9}"/>
            </c:ext>
          </c:extLst>
        </c:ser>
        <c:ser>
          <c:idx val="3"/>
          <c:order val="2"/>
          <c:tx>
            <c:strRef>
              <c:f>'Retrospective Run1'!$BA$13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D4E6-48E6-9F21-5B88F8DAF9F9}"/>
            </c:ext>
          </c:extLst>
        </c:ser>
        <c:ser>
          <c:idx val="1"/>
          <c:order val="3"/>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4-D4E6-48E6-9F21-5B88F8DAF9F9}"/>
            </c:ext>
          </c:extLst>
        </c:ser>
        <c:dLbls>
          <c:showLegendKey val="0"/>
          <c:showVal val="0"/>
          <c:showCatName val="0"/>
          <c:showSerName val="0"/>
          <c:showPercent val="0"/>
          <c:showBubbleSize val="0"/>
        </c:dLbls>
        <c:axId val="1260689951"/>
        <c:axId val="1260694943"/>
      </c:scatterChart>
      <c:valAx>
        <c:axId val="1260687455"/>
        <c:scaling>
          <c:orientation val="minMax"/>
          <c:max val="2026"/>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2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6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Fraser River Chum salmon and Chilcotin River</a:t>
            </a:r>
            <a:r>
              <a:rPr lang="en-US" baseline="0"/>
              <a:t> steelhead estimates of Ricker alpha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867016622922"/>
                  <c:y val="6.411245601402905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Run1'!$GZ$36:$GZ$79</c:f>
              <c:numCache>
                <c:formatCode>0.00</c:formatCode>
                <c:ptCount val="44"/>
                <c:pt idx="0">
                  <c:v>1.3247023049419029</c:v>
                </c:pt>
                <c:pt idx="1">
                  <c:v>1.2616086380371405</c:v>
                </c:pt>
                <c:pt idx="2">
                  <c:v>1.501764940870687</c:v>
                </c:pt>
                <c:pt idx="3">
                  <c:v>1.3028563400297026</c:v>
                </c:pt>
                <c:pt idx="4">
                  <c:v>1.2757703955584772</c:v>
                </c:pt>
                <c:pt idx="5">
                  <c:v>1.2596042982800164</c:v>
                </c:pt>
                <c:pt idx="6">
                  <c:v>1.1407422139854011</c:v>
                </c:pt>
                <c:pt idx="7">
                  <c:v>1.0780404956817184</c:v>
                </c:pt>
                <c:pt idx="8">
                  <c:v>1.2208927209944005</c:v>
                </c:pt>
                <c:pt idx="9">
                  <c:v>1.2904874736483056</c:v>
                </c:pt>
                <c:pt idx="10">
                  <c:v>1.0650776048982746</c:v>
                </c:pt>
                <c:pt idx="11">
                  <c:v>1.0522952790674369</c:v>
                </c:pt>
                <c:pt idx="12">
                  <c:v>0.85440553806761843</c:v>
                </c:pt>
                <c:pt idx="13">
                  <c:v>0.86363593104462888</c:v>
                </c:pt>
                <c:pt idx="14">
                  <c:v>1.1577683430304049</c:v>
                </c:pt>
                <c:pt idx="15">
                  <c:v>1.3560688462332409</c:v>
                </c:pt>
                <c:pt idx="16">
                  <c:v>1.2865761692472459</c:v>
                </c:pt>
                <c:pt idx="17">
                  <c:v>1.1885599058057519</c:v>
                </c:pt>
                <c:pt idx="18">
                  <c:v>1.1525689423123351</c:v>
                </c:pt>
                <c:pt idx="19">
                  <c:v>0.92501089346488041</c:v>
                </c:pt>
                <c:pt idx="20">
                  <c:v>0.93237277448570433</c:v>
                </c:pt>
                <c:pt idx="21">
                  <c:v>0.95475556384029281</c:v>
                </c:pt>
                <c:pt idx="22">
                  <c:v>0.76948621763916059</c:v>
                </c:pt>
                <c:pt idx="23">
                  <c:v>0.84323355308114545</c:v>
                </c:pt>
                <c:pt idx="24">
                  <c:v>0.90034576495095786</c:v>
                </c:pt>
                <c:pt idx="25">
                  <c:v>1.3616191661229819</c:v>
                </c:pt>
                <c:pt idx="26">
                  <c:v>1.3204584401432218</c:v>
                </c:pt>
                <c:pt idx="27">
                  <c:v>1.2082871077352817</c:v>
                </c:pt>
                <c:pt idx="28">
                  <c:v>1.1957469679451336</c:v>
                </c:pt>
                <c:pt idx="29">
                  <c:v>0.84165585932684772</c:v>
                </c:pt>
                <c:pt idx="30">
                  <c:v>0.82856068084887169</c:v>
                </c:pt>
                <c:pt idx="31">
                  <c:v>0.61216385913785776</c:v>
                </c:pt>
                <c:pt idx="32">
                  <c:v>0.72899837380004806</c:v>
                </c:pt>
                <c:pt idx="33">
                  <c:v>0.67919860553797273</c:v>
                </c:pt>
                <c:pt idx="34">
                  <c:v>0.79239644344450089</c:v>
                </c:pt>
                <c:pt idx="35">
                  <c:v>0.82591960068558223</c:v>
                </c:pt>
                <c:pt idx="36">
                  <c:v>0.82691422066627984</c:v>
                </c:pt>
                <c:pt idx="37">
                  <c:v>0.99966341016454197</c:v>
                </c:pt>
                <c:pt idx="38">
                  <c:v>0.96261283681662957</c:v>
                </c:pt>
                <c:pt idx="39">
                  <c:v>0.80614775178678877</c:v>
                </c:pt>
                <c:pt idx="40">
                  <c:v>0.46603376969388977</c:v>
                </c:pt>
                <c:pt idx="41">
                  <c:v>0.13087593777832862</c:v>
                </c:pt>
                <c:pt idx="42">
                  <c:v>0.25837916488662593</c:v>
                </c:pt>
                <c:pt idx="43">
                  <c:v>0.17371489483451708</c:v>
                </c:pt>
              </c:numCache>
            </c:numRef>
          </c:xVal>
          <c:yVal>
            <c:numRef>
              <c:f>'Retrospective Run1'!$HA$36:$HA$79</c:f>
              <c:numCache>
                <c:formatCode>0.00</c:formatCode>
                <c:ptCount val="44"/>
                <c:pt idx="0">
                  <c:v>2.1698452123357095</c:v>
                </c:pt>
                <c:pt idx="1">
                  <c:v>1.9196340882901279</c:v>
                </c:pt>
                <c:pt idx="2">
                  <c:v>1.7279246571406723</c:v>
                </c:pt>
                <c:pt idx="3">
                  <c:v>2.0060370233422886</c:v>
                </c:pt>
                <c:pt idx="4">
                  <c:v>1.8740409739469639</c:v>
                </c:pt>
                <c:pt idx="5">
                  <c:v>1.8855757922111653</c:v>
                </c:pt>
                <c:pt idx="6">
                  <c:v>1.9525196834005532</c:v>
                </c:pt>
                <c:pt idx="7">
                  <c:v>2.03233297180613</c:v>
                </c:pt>
                <c:pt idx="8">
                  <c:v>1.9342153932575337</c:v>
                </c:pt>
                <c:pt idx="9">
                  <c:v>1.9611784375488188</c:v>
                </c:pt>
                <c:pt idx="10">
                  <c:v>1.9490561419168539</c:v>
                </c:pt>
                <c:pt idx="11">
                  <c:v>1.8875534407053938</c:v>
                </c:pt>
                <c:pt idx="12">
                  <c:v>1.444121244403761</c:v>
                </c:pt>
                <c:pt idx="13">
                  <c:v>1.2314724516403679</c:v>
                </c:pt>
                <c:pt idx="14">
                  <c:v>1.6051818868973244</c:v>
                </c:pt>
                <c:pt idx="15">
                  <c:v>1.3207879947602743</c:v>
                </c:pt>
                <c:pt idx="16">
                  <c:v>1.3683000601157485</c:v>
                </c:pt>
                <c:pt idx="17">
                  <c:v>1.1787605568899193</c:v>
                </c:pt>
                <c:pt idx="18">
                  <c:v>1.3581354138229949</c:v>
                </c:pt>
                <c:pt idx="19">
                  <c:v>1.2560880425488867</c:v>
                </c:pt>
                <c:pt idx="20">
                  <c:v>1.2931383595043155</c:v>
                </c:pt>
                <c:pt idx="21">
                  <c:v>1.1564809818738837</c:v>
                </c:pt>
                <c:pt idx="22">
                  <c:v>1.2844349054880517</c:v>
                </c:pt>
                <c:pt idx="23">
                  <c:v>1.4144951630128628</c:v>
                </c:pt>
                <c:pt idx="24">
                  <c:v>1.2872714199267605</c:v>
                </c:pt>
                <c:pt idx="25">
                  <c:v>1.4329875367100484</c:v>
                </c:pt>
                <c:pt idx="26">
                  <c:v>1.0704160520528734</c:v>
                </c:pt>
                <c:pt idx="27">
                  <c:v>0.78000501950296108</c:v>
                </c:pt>
                <c:pt idx="28">
                  <c:v>0.59220806026680961</c:v>
                </c:pt>
                <c:pt idx="29">
                  <c:v>0.75076951404380021</c:v>
                </c:pt>
                <c:pt idx="30">
                  <c:v>0.67133857791094298</c:v>
                </c:pt>
                <c:pt idx="31">
                  <c:v>0.76269461989779674</c:v>
                </c:pt>
                <c:pt idx="32">
                  <c:v>0.68500931132917398</c:v>
                </c:pt>
                <c:pt idx="33">
                  <c:v>0.47346340247683372</c:v>
                </c:pt>
                <c:pt idx="34">
                  <c:v>0.31043218950660445</c:v>
                </c:pt>
                <c:pt idx="35">
                  <c:v>0.45679682133369559</c:v>
                </c:pt>
                <c:pt idx="36">
                  <c:v>0.12295130793369946</c:v>
                </c:pt>
                <c:pt idx="37">
                  <c:v>0.18950166358229237</c:v>
                </c:pt>
                <c:pt idx="38">
                  <c:v>-0.15560431148387055</c:v>
                </c:pt>
                <c:pt idx="39">
                  <c:v>-0.39683307374954224</c:v>
                </c:pt>
                <c:pt idx="40">
                  <c:v>-0.38492031197136267</c:v>
                </c:pt>
                <c:pt idx="41">
                  <c:v>-0.88030356462845694</c:v>
                </c:pt>
                <c:pt idx="42">
                  <c:v>-1.3009509518543585</c:v>
                </c:pt>
                <c:pt idx="43">
                  <c:v>-1.3269581124006768</c:v>
                </c:pt>
              </c:numCache>
            </c:numRef>
          </c:yVal>
          <c:smooth val="0"/>
          <c:extLst>
            <c:ext xmlns:c16="http://schemas.microsoft.com/office/drawing/2014/chart" uri="{C3380CC4-5D6E-409C-BE32-E72D297353CC}">
              <c16:uniqueId val="{00000000-83A3-4A4C-87D0-1960988E7AAC}"/>
            </c:ext>
          </c:extLst>
        </c:ser>
        <c:dLbls>
          <c:showLegendKey val="0"/>
          <c:showVal val="0"/>
          <c:showCatName val="0"/>
          <c:showSerName val="0"/>
          <c:showPercent val="0"/>
          <c:showBubbleSize val="0"/>
        </c:dLbls>
        <c:axId val="1818609568"/>
        <c:axId val="1818613312"/>
      </c:scatterChart>
      <c:valAx>
        <c:axId val="1818609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Fraser Chum 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3312"/>
        <c:crossesAt val="-2"/>
        <c:crossBetween val="midCat"/>
      </c:valAx>
      <c:valAx>
        <c:axId val="1818613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 Steelhead 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09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Fraser River Chum salmon and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1995510443269712"/>
                  <c:y val="-2.16949407446475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Run1'!$GZ$41:$GZ$79</c:f>
              <c:numCache>
                <c:formatCode>0.00</c:formatCode>
                <c:ptCount val="39"/>
                <c:pt idx="0">
                  <c:v>1.2596042982800164</c:v>
                </c:pt>
                <c:pt idx="1">
                  <c:v>1.1407422139854011</c:v>
                </c:pt>
                <c:pt idx="2">
                  <c:v>1.0780404956817184</c:v>
                </c:pt>
                <c:pt idx="3">
                  <c:v>1.2208927209944005</c:v>
                </c:pt>
                <c:pt idx="4">
                  <c:v>1.2904874736483056</c:v>
                </c:pt>
                <c:pt idx="5">
                  <c:v>1.0650776048982746</c:v>
                </c:pt>
                <c:pt idx="6">
                  <c:v>1.0522952790674369</c:v>
                </c:pt>
                <c:pt idx="7">
                  <c:v>0.85440553806761843</c:v>
                </c:pt>
                <c:pt idx="8">
                  <c:v>0.86363593104462888</c:v>
                </c:pt>
                <c:pt idx="9">
                  <c:v>1.1577683430304049</c:v>
                </c:pt>
                <c:pt idx="10">
                  <c:v>1.3560688462332409</c:v>
                </c:pt>
                <c:pt idx="11">
                  <c:v>1.2865761692472459</c:v>
                </c:pt>
                <c:pt idx="12">
                  <c:v>1.1885599058057519</c:v>
                </c:pt>
                <c:pt idx="13">
                  <c:v>1.1525689423123351</c:v>
                </c:pt>
                <c:pt idx="14">
                  <c:v>0.92501089346488041</c:v>
                </c:pt>
                <c:pt idx="15">
                  <c:v>0.93237277448570433</c:v>
                </c:pt>
                <c:pt idx="16">
                  <c:v>0.95475556384029281</c:v>
                </c:pt>
                <c:pt idx="17">
                  <c:v>0.76948621763916059</c:v>
                </c:pt>
                <c:pt idx="18">
                  <c:v>0.84323355308114545</c:v>
                </c:pt>
                <c:pt idx="19">
                  <c:v>0.90034576495095786</c:v>
                </c:pt>
                <c:pt idx="20">
                  <c:v>1.3616191661229819</c:v>
                </c:pt>
                <c:pt idx="21">
                  <c:v>1.3204584401432218</c:v>
                </c:pt>
                <c:pt idx="22">
                  <c:v>1.2082871077352817</c:v>
                </c:pt>
                <c:pt idx="23">
                  <c:v>1.1957469679451336</c:v>
                </c:pt>
                <c:pt idx="24">
                  <c:v>0.84165585932684772</c:v>
                </c:pt>
                <c:pt idx="25">
                  <c:v>0.82856068084887169</c:v>
                </c:pt>
                <c:pt idx="26">
                  <c:v>0.61216385913785776</c:v>
                </c:pt>
                <c:pt idx="27">
                  <c:v>0.72899837380004806</c:v>
                </c:pt>
                <c:pt idx="28">
                  <c:v>0.67919860553797273</c:v>
                </c:pt>
                <c:pt idx="29">
                  <c:v>0.79239644344450089</c:v>
                </c:pt>
                <c:pt idx="30">
                  <c:v>0.82591960068558223</c:v>
                </c:pt>
                <c:pt idx="31">
                  <c:v>0.82691422066627984</c:v>
                </c:pt>
                <c:pt idx="32">
                  <c:v>0.99966341016454197</c:v>
                </c:pt>
                <c:pt idx="33">
                  <c:v>0.96261283681662957</c:v>
                </c:pt>
                <c:pt idx="34">
                  <c:v>0.80614775178678877</c:v>
                </c:pt>
                <c:pt idx="35">
                  <c:v>0.46603376969388977</c:v>
                </c:pt>
                <c:pt idx="36">
                  <c:v>0.13087593777832862</c:v>
                </c:pt>
                <c:pt idx="37">
                  <c:v>0.25837916488662593</c:v>
                </c:pt>
                <c:pt idx="38">
                  <c:v>0.17371489483451708</c:v>
                </c:pt>
              </c:numCache>
            </c:numRef>
          </c:xVal>
          <c:yVal>
            <c:numRef>
              <c:f>'Retrospective Run1'!$HB$41:$HB$79</c:f>
              <c:numCache>
                <c:formatCode>0.00</c:formatCode>
                <c:ptCount val="39"/>
                <c:pt idx="0">
                  <c:v>2.2991771484105246</c:v>
                </c:pt>
                <c:pt idx="1">
                  <c:v>2.3256958040456484</c:v>
                </c:pt>
                <c:pt idx="2">
                  <c:v>2.5068378932693349</c:v>
                </c:pt>
                <c:pt idx="3">
                  <c:v>2.2514780694124035</c:v>
                </c:pt>
                <c:pt idx="4">
                  <c:v>2.3877350327328268</c:v>
                </c:pt>
                <c:pt idx="5">
                  <c:v>2.3600894766455083</c:v>
                </c:pt>
                <c:pt idx="6">
                  <c:v>2.3200990153734695</c:v>
                </c:pt>
                <c:pt idx="7">
                  <c:v>2.4094346460236844</c:v>
                </c:pt>
                <c:pt idx="8">
                  <c:v>2.5219144265222866</c:v>
                </c:pt>
                <c:pt idx="9">
                  <c:v>2.1289315014471195</c:v>
                </c:pt>
                <c:pt idx="10">
                  <c:v>2.257511180011635</c:v>
                </c:pt>
                <c:pt idx="11">
                  <c:v>2.4025333382167364</c:v>
                </c:pt>
                <c:pt idx="12">
                  <c:v>2.301507831848066</c:v>
                </c:pt>
                <c:pt idx="13">
                  <c:v>2.1459594856984734</c:v>
                </c:pt>
                <c:pt idx="14">
                  <c:v>2.2626900607521687</c:v>
                </c:pt>
                <c:pt idx="15">
                  <c:v>2.3675088950729926</c:v>
                </c:pt>
                <c:pt idx="16">
                  <c:v>2.3228137487541334</c:v>
                </c:pt>
                <c:pt idx="17">
                  <c:v>2.0131109903296598</c:v>
                </c:pt>
                <c:pt idx="18">
                  <c:v>2.281864670680557</c:v>
                </c:pt>
                <c:pt idx="19">
                  <c:v>2.443996235260455</c:v>
                </c:pt>
                <c:pt idx="20">
                  <c:v>2.1458276824115892</c:v>
                </c:pt>
                <c:pt idx="21">
                  <c:v>2.4026509192486847</c:v>
                </c:pt>
                <c:pt idx="22">
                  <c:v>2.163734216946759</c:v>
                </c:pt>
                <c:pt idx="23">
                  <c:v>2.2518187648939501</c:v>
                </c:pt>
                <c:pt idx="24">
                  <c:v>2.0510051235381948</c:v>
                </c:pt>
                <c:pt idx="25">
                  <c:v>2.0779782997548635</c:v>
                </c:pt>
                <c:pt idx="26">
                  <c:v>2.3810084101018809</c:v>
                </c:pt>
                <c:pt idx="27">
                  <c:v>2.3281450350265072</c:v>
                </c:pt>
                <c:pt idx="28">
                  <c:v>2.5317540139324333</c:v>
                </c:pt>
                <c:pt idx="29">
                  <c:v>2.290957286966238</c:v>
                </c:pt>
                <c:pt idx="30">
                  <c:v>2.248829353094564</c:v>
                </c:pt>
                <c:pt idx="31">
                  <c:v>2.3569780181670299</c:v>
                </c:pt>
                <c:pt idx="32">
                  <c:v>2.4524441228355105</c:v>
                </c:pt>
                <c:pt idx="33">
                  <c:v>2.0783620616638054</c:v>
                </c:pt>
                <c:pt idx="34">
                  <c:v>1.8751040901038154</c:v>
                </c:pt>
                <c:pt idx="35">
                  <c:v>1.9396287218488191</c:v>
                </c:pt>
                <c:pt idx="36">
                  <c:v>1.8914033638734078</c:v>
                </c:pt>
                <c:pt idx="37">
                  <c:v>2.2918506777043377</c:v>
                </c:pt>
                <c:pt idx="38">
                  <c:v>2.1352915758299713</c:v>
                </c:pt>
              </c:numCache>
            </c:numRef>
          </c:yVal>
          <c:smooth val="0"/>
          <c:extLst>
            <c:ext xmlns:c16="http://schemas.microsoft.com/office/drawing/2014/chart" uri="{C3380CC4-5D6E-409C-BE32-E72D297353CC}">
              <c16:uniqueId val="{00000000-E0C0-42E9-A0B9-D8F79B867E98}"/>
            </c:ext>
          </c:extLst>
        </c:ser>
        <c:dLbls>
          <c:showLegendKey val="0"/>
          <c:showVal val="0"/>
          <c:showCatName val="0"/>
          <c:showSerName val="0"/>
          <c:showPercent val="0"/>
          <c:showBubbleSize val="0"/>
        </c:dLbls>
        <c:axId val="1818599168"/>
        <c:axId val="1818617056"/>
      </c:scatterChart>
      <c:valAx>
        <c:axId val="181859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Fraser chum 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7056"/>
        <c:crossesAt val="-0.5"/>
        <c:crossBetween val="midCat"/>
      </c:valAx>
      <c:valAx>
        <c:axId val="18186170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Thompson steelhead 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599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Chilcotin and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5966535433070873E-2"/>
                  <c:y val="0.213220691163604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Run1'!$HA$41:$HA$80</c:f>
              <c:numCache>
                <c:formatCode>0.00</c:formatCode>
                <c:ptCount val="40"/>
                <c:pt idx="0">
                  <c:v>1.8855757922111653</c:v>
                </c:pt>
                <c:pt idx="1">
                  <c:v>1.9525196834005532</c:v>
                </c:pt>
                <c:pt idx="2">
                  <c:v>2.03233297180613</c:v>
                </c:pt>
                <c:pt idx="3">
                  <c:v>1.9342153932575337</c:v>
                </c:pt>
                <c:pt idx="4">
                  <c:v>1.9611784375488188</c:v>
                </c:pt>
                <c:pt idx="5">
                  <c:v>1.9490561419168539</c:v>
                </c:pt>
                <c:pt idx="6">
                  <c:v>1.8875534407053938</c:v>
                </c:pt>
                <c:pt idx="7">
                  <c:v>1.444121244403761</c:v>
                </c:pt>
                <c:pt idx="8">
                  <c:v>1.2314724516403679</c:v>
                </c:pt>
                <c:pt idx="9">
                  <c:v>1.6051818868973244</c:v>
                </c:pt>
                <c:pt idx="10">
                  <c:v>1.3207879947602743</c:v>
                </c:pt>
                <c:pt idx="11">
                  <c:v>1.3683000601157485</c:v>
                </c:pt>
                <c:pt idx="12">
                  <c:v>1.1787605568899193</c:v>
                </c:pt>
                <c:pt idx="13">
                  <c:v>1.3581354138229949</c:v>
                </c:pt>
                <c:pt idx="14">
                  <c:v>1.2560880425488867</c:v>
                </c:pt>
                <c:pt idx="15">
                  <c:v>1.2931383595043155</c:v>
                </c:pt>
                <c:pt idx="16">
                  <c:v>1.1564809818738837</c:v>
                </c:pt>
                <c:pt idx="17">
                  <c:v>1.2844349054880517</c:v>
                </c:pt>
                <c:pt idx="18">
                  <c:v>1.4144951630128628</c:v>
                </c:pt>
                <c:pt idx="19">
                  <c:v>1.2872714199267605</c:v>
                </c:pt>
                <c:pt idx="20">
                  <c:v>1.4329875367100484</c:v>
                </c:pt>
                <c:pt idx="21">
                  <c:v>1.0704160520528734</c:v>
                </c:pt>
                <c:pt idx="22">
                  <c:v>0.78000501950296108</c:v>
                </c:pt>
                <c:pt idx="23">
                  <c:v>0.59220806026680961</c:v>
                </c:pt>
                <c:pt idx="24">
                  <c:v>0.75076951404380021</c:v>
                </c:pt>
                <c:pt idx="25">
                  <c:v>0.67133857791094298</c:v>
                </c:pt>
                <c:pt idx="26">
                  <c:v>0.76269461989779674</c:v>
                </c:pt>
                <c:pt idx="27">
                  <c:v>0.68500931132917398</c:v>
                </c:pt>
                <c:pt idx="28">
                  <c:v>0.47346340247683372</c:v>
                </c:pt>
                <c:pt idx="29">
                  <c:v>0.31043218950660445</c:v>
                </c:pt>
                <c:pt idx="30">
                  <c:v>0.45679682133369559</c:v>
                </c:pt>
                <c:pt idx="31">
                  <c:v>0.12295130793369946</c:v>
                </c:pt>
                <c:pt idx="32">
                  <c:v>0.18950166358229237</c:v>
                </c:pt>
                <c:pt idx="33">
                  <c:v>-0.15560431148387055</c:v>
                </c:pt>
                <c:pt idx="34">
                  <c:v>-0.39683307374954224</c:v>
                </c:pt>
                <c:pt idx="35">
                  <c:v>-0.38492031197136267</c:v>
                </c:pt>
                <c:pt idx="36">
                  <c:v>-0.88030356462845694</c:v>
                </c:pt>
                <c:pt idx="37">
                  <c:v>-1.3009509518543585</c:v>
                </c:pt>
                <c:pt idx="38">
                  <c:v>-1.3269581124006768</c:v>
                </c:pt>
                <c:pt idx="39">
                  <c:v>-1.5294225055735928</c:v>
                </c:pt>
              </c:numCache>
            </c:numRef>
          </c:xVal>
          <c:yVal>
            <c:numRef>
              <c:f>'Retrospective Run1'!$HB$41:$HB$80</c:f>
              <c:numCache>
                <c:formatCode>0.00</c:formatCode>
                <c:ptCount val="40"/>
                <c:pt idx="0">
                  <c:v>2.2991771484105246</c:v>
                </c:pt>
                <c:pt idx="1">
                  <c:v>2.3256958040456484</c:v>
                </c:pt>
                <c:pt idx="2">
                  <c:v>2.5068378932693349</c:v>
                </c:pt>
                <c:pt idx="3">
                  <c:v>2.2514780694124035</c:v>
                </c:pt>
                <c:pt idx="4">
                  <c:v>2.3877350327328268</c:v>
                </c:pt>
                <c:pt idx="5">
                  <c:v>2.3600894766455083</c:v>
                </c:pt>
                <c:pt idx="6">
                  <c:v>2.3200990153734695</c:v>
                </c:pt>
                <c:pt idx="7">
                  <c:v>2.4094346460236844</c:v>
                </c:pt>
                <c:pt idx="8">
                  <c:v>2.5219144265222866</c:v>
                </c:pt>
                <c:pt idx="9">
                  <c:v>2.1289315014471195</c:v>
                </c:pt>
                <c:pt idx="10">
                  <c:v>2.257511180011635</c:v>
                </c:pt>
                <c:pt idx="11">
                  <c:v>2.4025333382167364</c:v>
                </c:pt>
                <c:pt idx="12">
                  <c:v>2.301507831848066</c:v>
                </c:pt>
                <c:pt idx="13">
                  <c:v>2.1459594856984734</c:v>
                </c:pt>
                <c:pt idx="14">
                  <c:v>2.2626900607521687</c:v>
                </c:pt>
                <c:pt idx="15">
                  <c:v>2.3675088950729926</c:v>
                </c:pt>
                <c:pt idx="16">
                  <c:v>2.3228137487541334</c:v>
                </c:pt>
                <c:pt idx="17">
                  <c:v>2.0131109903296598</c:v>
                </c:pt>
                <c:pt idx="18">
                  <c:v>2.281864670680557</c:v>
                </c:pt>
                <c:pt idx="19">
                  <c:v>2.443996235260455</c:v>
                </c:pt>
                <c:pt idx="20">
                  <c:v>2.1458276824115892</c:v>
                </c:pt>
                <c:pt idx="21">
                  <c:v>2.4026509192486847</c:v>
                </c:pt>
                <c:pt idx="22">
                  <c:v>2.163734216946759</c:v>
                </c:pt>
                <c:pt idx="23">
                  <c:v>2.2518187648939501</c:v>
                </c:pt>
                <c:pt idx="24">
                  <c:v>2.0510051235381948</c:v>
                </c:pt>
                <c:pt idx="25">
                  <c:v>2.0779782997548635</c:v>
                </c:pt>
                <c:pt idx="26">
                  <c:v>2.3810084101018809</c:v>
                </c:pt>
                <c:pt idx="27">
                  <c:v>2.3281450350265072</c:v>
                </c:pt>
                <c:pt idx="28">
                  <c:v>2.5317540139324333</c:v>
                </c:pt>
                <c:pt idx="29">
                  <c:v>2.290957286966238</c:v>
                </c:pt>
                <c:pt idx="30">
                  <c:v>2.248829353094564</c:v>
                </c:pt>
                <c:pt idx="31">
                  <c:v>2.3569780181670299</c:v>
                </c:pt>
                <c:pt idx="32">
                  <c:v>2.4524441228355105</c:v>
                </c:pt>
                <c:pt idx="33">
                  <c:v>2.0783620616638054</c:v>
                </c:pt>
                <c:pt idx="34">
                  <c:v>1.8751040901038154</c:v>
                </c:pt>
                <c:pt idx="35">
                  <c:v>1.9396287218488191</c:v>
                </c:pt>
                <c:pt idx="36">
                  <c:v>1.8914033638734078</c:v>
                </c:pt>
                <c:pt idx="37">
                  <c:v>2.2918506777043377</c:v>
                </c:pt>
                <c:pt idx="38">
                  <c:v>2.1352915758299713</c:v>
                </c:pt>
                <c:pt idx="39">
                  <c:v>1.8541069740108707</c:v>
                </c:pt>
              </c:numCache>
            </c:numRef>
          </c:yVal>
          <c:smooth val="0"/>
          <c:extLst>
            <c:ext xmlns:c16="http://schemas.microsoft.com/office/drawing/2014/chart" uri="{C3380CC4-5D6E-409C-BE32-E72D297353CC}">
              <c16:uniqueId val="{00000000-9FE6-462A-AA62-33B6DFB6D307}"/>
            </c:ext>
          </c:extLst>
        </c:ser>
        <c:dLbls>
          <c:showLegendKey val="0"/>
          <c:showVal val="0"/>
          <c:showCatName val="0"/>
          <c:showSerName val="0"/>
          <c:showPercent val="0"/>
          <c:showBubbleSize val="0"/>
        </c:dLbls>
        <c:axId val="1737527328"/>
        <c:axId val="1737527744"/>
      </c:scatterChart>
      <c:valAx>
        <c:axId val="173752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 steelhead</a:t>
                </a:r>
                <a:r>
                  <a:rPr lang="en-US" baseline="0"/>
                  <a:t> alpha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744"/>
        <c:crossesAt val="-1"/>
        <c:crossBetween val="midCat"/>
      </c:valAx>
      <c:valAx>
        <c:axId val="1737527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Thompson steelhead 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328"/>
        <c:crossesAt val="-2"/>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Run1'!$FN$13</c:f>
              <c:strCache>
                <c:ptCount val="1"/>
                <c:pt idx="0">
                  <c:v>Fraction killed</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Run1'!$FM$14:$FM$79</c:f>
              <c:numCache>
                <c:formatCode>0</c:formatCode>
                <c:ptCount val="66"/>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numCache>
            </c:numRef>
          </c:xVal>
          <c:yVal>
            <c:numRef>
              <c:f>'Retrospective Run1'!$FN$14:$FN$79</c:f>
              <c:numCache>
                <c:formatCode>0.00</c:formatCode>
                <c:ptCount val="66"/>
                <c:pt idx="0">
                  <c:v>0.29337580489279491</c:v>
                </c:pt>
                <c:pt idx="1">
                  <c:v>0.28507655702348972</c:v>
                </c:pt>
                <c:pt idx="2">
                  <c:v>0.23185411175492959</c:v>
                </c:pt>
                <c:pt idx="3">
                  <c:v>0.17512804643419178</c:v>
                </c:pt>
                <c:pt idx="4">
                  <c:v>0.14526176186715317</c:v>
                </c:pt>
                <c:pt idx="5">
                  <c:v>0.14791946222235272</c:v>
                </c:pt>
                <c:pt idx="6">
                  <c:v>0.14568558155766123</c:v>
                </c:pt>
                <c:pt idx="7">
                  <c:v>0.1421244641746075</c:v>
                </c:pt>
                <c:pt idx="8">
                  <c:v>0.13854850265836099</c:v>
                </c:pt>
                <c:pt idx="9">
                  <c:v>0.13495763513275588</c:v>
                </c:pt>
                <c:pt idx="10">
                  <c:v>0.1313517994637016</c:v>
                </c:pt>
                <c:pt idx="11">
                  <c:v>0.12773093325810936</c:v>
                </c:pt>
                <c:pt idx="12">
                  <c:v>0.12409497386281099</c:v>
                </c:pt>
                <c:pt idx="13">
                  <c:v>0.1204438583634745</c:v>
                </c:pt>
                <c:pt idx="14">
                  <c:v>0.11678283778894973</c:v>
                </c:pt>
                <c:pt idx="15">
                  <c:v>0.11358937092372995</c:v>
                </c:pt>
                <c:pt idx="16">
                  <c:v>0.11287620970606325</c:v>
                </c:pt>
                <c:pt idx="17">
                  <c:v>0.11084828659342613</c:v>
                </c:pt>
                <c:pt idx="18">
                  <c:v>0.11041125726870697</c:v>
                </c:pt>
                <c:pt idx="19">
                  <c:v>0.11751948788421636</c:v>
                </c:pt>
                <c:pt idx="20">
                  <c:v>0.12436259448734512</c:v>
                </c:pt>
                <c:pt idx="21">
                  <c:v>0.13097551026299359</c:v>
                </c:pt>
                <c:pt idx="22">
                  <c:v>0.13672293830093799</c:v>
                </c:pt>
                <c:pt idx="23">
                  <c:v>0.13714352701230642</c:v>
                </c:pt>
                <c:pt idx="24">
                  <c:v>0.1356747520074657</c:v>
                </c:pt>
                <c:pt idx="25">
                  <c:v>0.13421090197843369</c:v>
                </c:pt>
                <c:pt idx="26">
                  <c:v>0.13375704225323276</c:v>
                </c:pt>
                <c:pt idx="27">
                  <c:v>0.13444950052194132</c:v>
                </c:pt>
                <c:pt idx="28">
                  <c:v>0.13444950052194124</c:v>
                </c:pt>
                <c:pt idx="29">
                  <c:v>0.13444950052194132</c:v>
                </c:pt>
                <c:pt idx="30">
                  <c:v>0.1344495005219413</c:v>
                </c:pt>
                <c:pt idx="31">
                  <c:v>0.13444950052194121</c:v>
                </c:pt>
                <c:pt idx="32">
                  <c:v>0.13444950052194118</c:v>
                </c:pt>
                <c:pt idx="33">
                  <c:v>0.13444950052194121</c:v>
                </c:pt>
                <c:pt idx="34">
                  <c:v>0.1344495005219411</c:v>
                </c:pt>
                <c:pt idx="35">
                  <c:v>0.13444950052194124</c:v>
                </c:pt>
                <c:pt idx="36">
                  <c:v>0.13444950052194113</c:v>
                </c:pt>
                <c:pt idx="37">
                  <c:v>0.1344495005219411</c:v>
                </c:pt>
                <c:pt idx="38">
                  <c:v>0.13444950052194116</c:v>
                </c:pt>
                <c:pt idx="39">
                  <c:v>0.13444950052194121</c:v>
                </c:pt>
                <c:pt idx="40">
                  <c:v>0.13444950052194132</c:v>
                </c:pt>
                <c:pt idx="41">
                  <c:v>0.13444950052194121</c:v>
                </c:pt>
                <c:pt idx="42">
                  <c:v>0.13444950052194113</c:v>
                </c:pt>
                <c:pt idx="43">
                  <c:v>0.13444950052194127</c:v>
                </c:pt>
                <c:pt idx="44">
                  <c:v>0.13444950052194121</c:v>
                </c:pt>
                <c:pt idx="45">
                  <c:v>0.13444950052194105</c:v>
                </c:pt>
                <c:pt idx="46">
                  <c:v>0.13444950052194116</c:v>
                </c:pt>
                <c:pt idx="47">
                  <c:v>0.13444950052194124</c:v>
                </c:pt>
                <c:pt idx="48">
                  <c:v>0.13444950052194127</c:v>
                </c:pt>
                <c:pt idx="49">
                  <c:v>0.13444950052194124</c:v>
                </c:pt>
                <c:pt idx="50">
                  <c:v>0.13444950052194127</c:v>
                </c:pt>
                <c:pt idx="51">
                  <c:v>0.13444950052194113</c:v>
                </c:pt>
                <c:pt idx="52">
                  <c:v>0.13444950052194132</c:v>
                </c:pt>
                <c:pt idx="53">
                  <c:v>0.13444950052194124</c:v>
                </c:pt>
                <c:pt idx="54">
                  <c:v>0.13444950052194113</c:v>
                </c:pt>
                <c:pt idx="55">
                  <c:v>0.13444950052194124</c:v>
                </c:pt>
                <c:pt idx="56">
                  <c:v>0.13444950052194116</c:v>
                </c:pt>
                <c:pt idx="57">
                  <c:v>0.13444950052194113</c:v>
                </c:pt>
                <c:pt idx="58">
                  <c:v>0.13444950052194124</c:v>
                </c:pt>
                <c:pt idx="59">
                  <c:v>0.13444950052194107</c:v>
                </c:pt>
                <c:pt idx="60">
                  <c:v>0.1344495005219413</c:v>
                </c:pt>
                <c:pt idx="61">
                  <c:v>0.13444950052194116</c:v>
                </c:pt>
                <c:pt idx="62">
                  <c:v>0.13444950052194116</c:v>
                </c:pt>
                <c:pt idx="63">
                  <c:v>0.13444950052194107</c:v>
                </c:pt>
                <c:pt idx="64">
                  <c:v>0.13444950052194121</c:v>
                </c:pt>
                <c:pt idx="65">
                  <c:v>0.13444950052194124</c:v>
                </c:pt>
              </c:numCache>
            </c:numRef>
          </c:yVal>
          <c:smooth val="0"/>
          <c:extLst>
            <c:ext xmlns:c16="http://schemas.microsoft.com/office/drawing/2014/chart" uri="{C3380CC4-5D6E-409C-BE32-E72D297353CC}">
              <c16:uniqueId val="{00000000-9236-495C-8C11-4E4F15DF04B3}"/>
            </c:ext>
          </c:extLst>
        </c:ser>
        <c:dLbls>
          <c:showLegendKey val="0"/>
          <c:showVal val="0"/>
          <c:showCatName val="0"/>
          <c:showSerName val="0"/>
          <c:showPercent val="0"/>
          <c:showBubbleSize val="0"/>
        </c:dLbls>
        <c:axId val="436713215"/>
        <c:axId val="436729023"/>
      </c:scatterChart>
      <c:valAx>
        <c:axId val="436713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Chums</a:t>
                </a:r>
                <a:r>
                  <a:rPr lang="en-US" baseline="0"/>
                  <a:t> per SSL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29023"/>
        <c:crosses val="autoZero"/>
        <c:crossBetween val="midCat"/>
      </c:valAx>
      <c:valAx>
        <c:axId val="436729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132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Chilcotin versus Thompson Steelhead runs killed by marine predators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Run1'!$GH$13</c:f>
              <c:strCache>
                <c:ptCount val="1"/>
                <c:pt idx="0">
                  <c:v>Fraction of Chilcotin run killed by predators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1"/>
            <c:dispEq val="1"/>
            <c:trendlineLbl>
              <c:layout>
                <c:manualLayout>
                  <c:x val="0.3624103237095363"/>
                  <c:y val="1.3298337707786526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Run1'!$FX$14:$FX$80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0.42370272774549189</c:v>
                </c:pt>
                <c:pt idx="28" formatCode="0%">
                  <c:v>0.42370272774549195</c:v>
                </c:pt>
                <c:pt idx="29" formatCode="0%">
                  <c:v>0.42370272774549184</c:v>
                </c:pt>
                <c:pt idx="30" formatCode="0%">
                  <c:v>0.42370272774549195</c:v>
                </c:pt>
                <c:pt idx="31" formatCode="0%">
                  <c:v>0.42370272774549195</c:v>
                </c:pt>
                <c:pt idx="32" formatCode="0%">
                  <c:v>0.42370272774549189</c:v>
                </c:pt>
                <c:pt idx="33" formatCode="0%">
                  <c:v>0.42370272774549206</c:v>
                </c:pt>
                <c:pt idx="34" formatCode="0%">
                  <c:v>0.42370272774549189</c:v>
                </c:pt>
                <c:pt idx="35" formatCode="0%">
                  <c:v>0.42370272774549178</c:v>
                </c:pt>
                <c:pt idx="36" formatCode="0%">
                  <c:v>0.423702727745492</c:v>
                </c:pt>
                <c:pt idx="37" formatCode="0%">
                  <c:v>0.42370272774549195</c:v>
                </c:pt>
                <c:pt idx="38" formatCode="0%">
                  <c:v>0.423702727745492</c:v>
                </c:pt>
                <c:pt idx="39" formatCode="0%">
                  <c:v>0.42370272774549195</c:v>
                </c:pt>
                <c:pt idx="40" formatCode="0%">
                  <c:v>0.42370272774549206</c:v>
                </c:pt>
                <c:pt idx="41" formatCode="0%">
                  <c:v>0.42370272774549195</c:v>
                </c:pt>
                <c:pt idx="42" formatCode="0%">
                  <c:v>0.423702727745492</c:v>
                </c:pt>
                <c:pt idx="43" formatCode="0%">
                  <c:v>0.42370272774549189</c:v>
                </c:pt>
                <c:pt idx="44" formatCode="0%">
                  <c:v>0.423702727745492</c:v>
                </c:pt>
                <c:pt idx="45" formatCode="0%">
                  <c:v>0.42370272774549189</c:v>
                </c:pt>
                <c:pt idx="46" formatCode="0%">
                  <c:v>0.42370272774549189</c:v>
                </c:pt>
                <c:pt idx="47" formatCode="0%">
                  <c:v>0.42370272774549189</c:v>
                </c:pt>
                <c:pt idx="48" formatCode="0%">
                  <c:v>0.423702727745492</c:v>
                </c:pt>
                <c:pt idx="49" formatCode="0%">
                  <c:v>0.42370272774549189</c:v>
                </c:pt>
                <c:pt idx="50" formatCode="0%">
                  <c:v>0.423702727745492</c:v>
                </c:pt>
                <c:pt idx="51" formatCode="0%">
                  <c:v>0.42370272774549189</c:v>
                </c:pt>
                <c:pt idx="52" formatCode="0%">
                  <c:v>0.423702727745492</c:v>
                </c:pt>
                <c:pt idx="53" formatCode="0%">
                  <c:v>0.42370272774549184</c:v>
                </c:pt>
                <c:pt idx="54" formatCode="0%">
                  <c:v>0.423702727745492</c:v>
                </c:pt>
                <c:pt idx="55" formatCode="0%">
                  <c:v>0.423702727745492</c:v>
                </c:pt>
                <c:pt idx="56" formatCode="0%">
                  <c:v>0.423702727745492</c:v>
                </c:pt>
                <c:pt idx="57" formatCode="0%">
                  <c:v>0.42370272774549206</c:v>
                </c:pt>
                <c:pt idx="58" formatCode="0%">
                  <c:v>0.42370272774549184</c:v>
                </c:pt>
                <c:pt idx="59" formatCode="0%">
                  <c:v>0.42370272774549206</c:v>
                </c:pt>
                <c:pt idx="60" formatCode="0%">
                  <c:v>0.423702727745492</c:v>
                </c:pt>
                <c:pt idx="61" formatCode="0%">
                  <c:v>0.42370272774549195</c:v>
                </c:pt>
                <c:pt idx="62" formatCode="0%">
                  <c:v>0.423702727745492</c:v>
                </c:pt>
                <c:pt idx="63" formatCode="0%">
                  <c:v>0.42370272774549189</c:v>
                </c:pt>
                <c:pt idx="64" formatCode="0%">
                  <c:v>0.42370272774549189</c:v>
                </c:pt>
                <c:pt idx="65" formatCode="0%">
                  <c:v>0.42370272774549184</c:v>
                </c:pt>
                <c:pt idx="66" formatCode="0%">
                  <c:v>0.42370272774549195</c:v>
                </c:pt>
              </c:numCache>
            </c:numRef>
          </c:xVal>
          <c:yVal>
            <c:numRef>
              <c:f>'Retrospective Run1'!$GH$14:$GH$80</c:f>
              <c:numCache>
                <c:formatCode>0%</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0.33385968150399925</c:v>
                </c:pt>
                <c:pt idx="23">
                  <c:v>0.34620587010468978</c:v>
                </c:pt>
                <c:pt idx="24">
                  <c:v>0.35879310736583048</c:v>
                </c:pt>
                <c:pt idx="25">
                  <c:v>0.37162031826367875</c:v>
                </c:pt>
                <c:pt idx="26">
                  <c:v>0.38468597235827462</c:v>
                </c:pt>
                <c:pt idx="27">
                  <c:v>0.39798804775917174</c:v>
                </c:pt>
                <c:pt idx="28">
                  <c:v>0.39798804775917168</c:v>
                </c:pt>
                <c:pt idx="29">
                  <c:v>0.39798804775917163</c:v>
                </c:pt>
                <c:pt idx="30">
                  <c:v>0.39798804775917163</c:v>
                </c:pt>
                <c:pt idx="31">
                  <c:v>0.39798804775917168</c:v>
                </c:pt>
                <c:pt idx="32">
                  <c:v>0.39798804775917174</c:v>
                </c:pt>
                <c:pt idx="33">
                  <c:v>0.39798804775917185</c:v>
                </c:pt>
                <c:pt idx="34">
                  <c:v>0.39798804775917174</c:v>
                </c:pt>
                <c:pt idx="35">
                  <c:v>0.39798804775917168</c:v>
                </c:pt>
                <c:pt idx="36">
                  <c:v>0.39798804775917179</c:v>
                </c:pt>
                <c:pt idx="37">
                  <c:v>0.39798804775917168</c:v>
                </c:pt>
                <c:pt idx="38">
                  <c:v>0.39798804775917185</c:v>
                </c:pt>
                <c:pt idx="39">
                  <c:v>0.39798804775917168</c:v>
                </c:pt>
                <c:pt idx="40">
                  <c:v>0.39798804775917179</c:v>
                </c:pt>
                <c:pt idx="41">
                  <c:v>0.39798804775917179</c:v>
                </c:pt>
                <c:pt idx="42">
                  <c:v>0.39798804775917168</c:v>
                </c:pt>
                <c:pt idx="43">
                  <c:v>0.39798804775917163</c:v>
                </c:pt>
                <c:pt idx="44">
                  <c:v>0.39798804775917174</c:v>
                </c:pt>
                <c:pt idx="45">
                  <c:v>0.39798804775917174</c:v>
                </c:pt>
                <c:pt idx="46">
                  <c:v>0.39798804775917185</c:v>
                </c:pt>
                <c:pt idx="47">
                  <c:v>0.39798804775917163</c:v>
                </c:pt>
                <c:pt idx="48">
                  <c:v>0.39798804775917179</c:v>
                </c:pt>
                <c:pt idx="49">
                  <c:v>0.39798804775917179</c:v>
                </c:pt>
                <c:pt idx="50">
                  <c:v>0.39798804775917174</c:v>
                </c:pt>
                <c:pt idx="51">
                  <c:v>0.39798804775917168</c:v>
                </c:pt>
                <c:pt idx="52">
                  <c:v>0.39798804775917168</c:v>
                </c:pt>
                <c:pt idx="53">
                  <c:v>0.39798804775917174</c:v>
                </c:pt>
                <c:pt idx="54">
                  <c:v>0.39798804775917179</c:v>
                </c:pt>
                <c:pt idx="55">
                  <c:v>0.39798804775917174</c:v>
                </c:pt>
                <c:pt idx="56">
                  <c:v>0.39798804775917179</c:v>
                </c:pt>
                <c:pt idx="57">
                  <c:v>0.39798804775917185</c:v>
                </c:pt>
                <c:pt idx="58">
                  <c:v>0.39798804775917179</c:v>
                </c:pt>
                <c:pt idx="59">
                  <c:v>0.39798804775917174</c:v>
                </c:pt>
                <c:pt idx="60">
                  <c:v>0.39798804775917174</c:v>
                </c:pt>
                <c:pt idx="61">
                  <c:v>0.39798804775917163</c:v>
                </c:pt>
                <c:pt idx="62">
                  <c:v>0.39798804775917179</c:v>
                </c:pt>
                <c:pt idx="63">
                  <c:v>0.39798804775917174</c:v>
                </c:pt>
                <c:pt idx="64">
                  <c:v>0.39798804775917168</c:v>
                </c:pt>
                <c:pt idx="65">
                  <c:v>0.39798804775917185</c:v>
                </c:pt>
                <c:pt idx="66">
                  <c:v>0.39798804775917174</c:v>
                </c:pt>
              </c:numCache>
            </c:numRef>
          </c:yVal>
          <c:smooth val="0"/>
          <c:extLst>
            <c:ext xmlns:c16="http://schemas.microsoft.com/office/drawing/2014/chart" uri="{C3380CC4-5D6E-409C-BE32-E72D297353CC}">
              <c16:uniqueId val="{00000000-DC95-4DEC-BAA6-44A7C427DC1A}"/>
            </c:ext>
          </c:extLst>
        </c:ser>
        <c:dLbls>
          <c:showLegendKey val="0"/>
          <c:showVal val="0"/>
          <c:showCatName val="0"/>
          <c:showSerName val="0"/>
          <c:showPercent val="0"/>
          <c:showBubbleSize val="0"/>
        </c:dLbls>
        <c:axId val="92878223"/>
        <c:axId val="92861583"/>
      </c:scatterChart>
      <c:valAx>
        <c:axId val="92878223"/>
        <c:scaling>
          <c:orientation val="minMax"/>
          <c:min val="0.4"/>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Fraction of Thompson steelhead run killed</a:t>
                </a:r>
                <a:r>
                  <a:rPr lang="en-US" sz="1200" b="1" baseline="0"/>
                  <a:t> by Predators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1583"/>
        <c:crosses val="autoZero"/>
        <c:crossBetween val="midCat"/>
      </c:valAx>
      <c:valAx>
        <c:axId val="92861583"/>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Fraction of Chilcotin steelhead run killed by Predators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78223"/>
        <c:crosses val="autoZero"/>
        <c:crossBetween val="midCat"/>
      </c:valAx>
      <c:spPr>
        <a:noFill/>
        <a:ln>
          <a:noFill/>
        </a:ln>
        <a:effectLst/>
      </c:spPr>
    </c:plotArea>
    <c:legend>
      <c:legendPos val="r"/>
      <c:layout>
        <c:manualLayout>
          <c:xMode val="edge"/>
          <c:yMode val="edge"/>
          <c:x val="0.62428688560266188"/>
          <c:y val="0.24531604233173568"/>
          <c:w val="0.33699310463479171"/>
          <c:h val="0.17757565008485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Thompson and Chilcotin</a:t>
            </a:r>
            <a:r>
              <a:rPr lang="en-US" baseline="0"/>
              <a:t> Steelhead Runs Killed by Marine Predators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Run1'!$FX$13</c:f>
              <c:strCache>
                <c:ptCount val="1"/>
                <c:pt idx="0">
                  <c:v>Fraction of Thompson run killed by predators</c:v>
                </c:pt>
              </c:strCache>
            </c:strRef>
          </c:tx>
          <c:spPr>
            <a:ln w="19050" cap="rnd">
              <a:solidFill>
                <a:schemeClr val="accent1"/>
              </a:solidFill>
              <a:round/>
            </a:ln>
            <a:effectLst/>
          </c:spPr>
          <c:marker>
            <c:symbol val="triangle"/>
            <c:size val="5"/>
            <c:spPr>
              <a:noFill/>
              <a:ln w="9525">
                <a:solidFill>
                  <a:schemeClr val="accent1"/>
                </a:solidFill>
                <a:prstDash val="sysDot"/>
              </a:ln>
              <a:effectLst/>
            </c:spPr>
          </c:marker>
          <c:xVal>
            <c:numRef>
              <c:f>'Retrospective Run1'!$FS$14:$FS$80</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Run1'!$FX$14:$FX$80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0.42370272774549189</c:v>
                </c:pt>
                <c:pt idx="28" formatCode="0%">
                  <c:v>0.42370272774549195</c:v>
                </c:pt>
                <c:pt idx="29" formatCode="0%">
                  <c:v>0.42370272774549184</c:v>
                </c:pt>
                <c:pt idx="30" formatCode="0%">
                  <c:v>0.42370272774549195</c:v>
                </c:pt>
                <c:pt idx="31" formatCode="0%">
                  <c:v>0.42370272774549195</c:v>
                </c:pt>
                <c:pt idx="32" formatCode="0%">
                  <c:v>0.42370272774549189</c:v>
                </c:pt>
                <c:pt idx="33" formatCode="0%">
                  <c:v>0.42370272774549206</c:v>
                </c:pt>
                <c:pt idx="34" formatCode="0%">
                  <c:v>0.42370272774549189</c:v>
                </c:pt>
                <c:pt idx="35" formatCode="0%">
                  <c:v>0.42370272774549178</c:v>
                </c:pt>
                <c:pt idx="36" formatCode="0%">
                  <c:v>0.423702727745492</c:v>
                </c:pt>
                <c:pt idx="37" formatCode="0%">
                  <c:v>0.42370272774549195</c:v>
                </c:pt>
                <c:pt idx="38" formatCode="0%">
                  <c:v>0.423702727745492</c:v>
                </c:pt>
                <c:pt idx="39" formatCode="0%">
                  <c:v>0.42370272774549195</c:v>
                </c:pt>
                <c:pt idx="40" formatCode="0%">
                  <c:v>0.42370272774549206</c:v>
                </c:pt>
                <c:pt idx="41" formatCode="0%">
                  <c:v>0.42370272774549195</c:v>
                </c:pt>
                <c:pt idx="42" formatCode="0%">
                  <c:v>0.423702727745492</c:v>
                </c:pt>
                <c:pt idx="43" formatCode="0%">
                  <c:v>0.42370272774549189</c:v>
                </c:pt>
                <c:pt idx="44" formatCode="0%">
                  <c:v>0.423702727745492</c:v>
                </c:pt>
                <c:pt idx="45" formatCode="0%">
                  <c:v>0.42370272774549189</c:v>
                </c:pt>
                <c:pt idx="46" formatCode="0%">
                  <c:v>0.42370272774549189</c:v>
                </c:pt>
                <c:pt idx="47" formatCode="0%">
                  <c:v>0.42370272774549189</c:v>
                </c:pt>
                <c:pt idx="48" formatCode="0%">
                  <c:v>0.423702727745492</c:v>
                </c:pt>
                <c:pt idx="49" formatCode="0%">
                  <c:v>0.42370272774549189</c:v>
                </c:pt>
                <c:pt idx="50" formatCode="0%">
                  <c:v>0.423702727745492</c:v>
                </c:pt>
                <c:pt idx="51" formatCode="0%">
                  <c:v>0.42370272774549189</c:v>
                </c:pt>
                <c:pt idx="52" formatCode="0%">
                  <c:v>0.423702727745492</c:v>
                </c:pt>
                <c:pt idx="53" formatCode="0%">
                  <c:v>0.42370272774549184</c:v>
                </c:pt>
                <c:pt idx="54" formatCode="0%">
                  <c:v>0.423702727745492</c:v>
                </c:pt>
                <c:pt idx="55" formatCode="0%">
                  <c:v>0.423702727745492</c:v>
                </c:pt>
                <c:pt idx="56" formatCode="0%">
                  <c:v>0.423702727745492</c:v>
                </c:pt>
                <c:pt idx="57" formatCode="0%">
                  <c:v>0.42370272774549206</c:v>
                </c:pt>
                <c:pt idx="58" formatCode="0%">
                  <c:v>0.42370272774549184</c:v>
                </c:pt>
                <c:pt idx="59" formatCode="0%">
                  <c:v>0.42370272774549206</c:v>
                </c:pt>
                <c:pt idx="60" formatCode="0%">
                  <c:v>0.423702727745492</c:v>
                </c:pt>
                <c:pt idx="61" formatCode="0%">
                  <c:v>0.42370272774549195</c:v>
                </c:pt>
                <c:pt idx="62" formatCode="0%">
                  <c:v>0.423702727745492</c:v>
                </c:pt>
                <c:pt idx="63" formatCode="0%">
                  <c:v>0.42370272774549189</c:v>
                </c:pt>
                <c:pt idx="64" formatCode="0%">
                  <c:v>0.42370272774549189</c:v>
                </c:pt>
                <c:pt idx="65" formatCode="0%">
                  <c:v>0.42370272774549184</c:v>
                </c:pt>
                <c:pt idx="66" formatCode="0%">
                  <c:v>0.42370272774549195</c:v>
                </c:pt>
              </c:numCache>
            </c:numRef>
          </c:yVal>
          <c:smooth val="0"/>
          <c:extLst>
            <c:ext xmlns:c16="http://schemas.microsoft.com/office/drawing/2014/chart" uri="{C3380CC4-5D6E-409C-BE32-E72D297353CC}">
              <c16:uniqueId val="{00000000-8074-4220-B7DC-7F125AB67C27}"/>
            </c:ext>
          </c:extLst>
        </c:ser>
        <c:ser>
          <c:idx val="1"/>
          <c:order val="1"/>
          <c:tx>
            <c:strRef>
              <c:f>'Retrospective Run1'!$GH$13</c:f>
              <c:strCache>
                <c:ptCount val="1"/>
                <c:pt idx="0">
                  <c:v>Fraction of Chilcotin run killed by predators</c:v>
                </c:pt>
              </c:strCache>
            </c:strRef>
          </c:tx>
          <c:spPr>
            <a:ln w="19050" cap="rnd">
              <a:solidFill>
                <a:schemeClr val="accent2"/>
              </a:solidFill>
              <a:round/>
            </a:ln>
            <a:effectLst/>
          </c:spPr>
          <c:marker>
            <c:symbol val="square"/>
            <c:size val="5"/>
            <c:spPr>
              <a:noFill/>
              <a:ln w="9525">
                <a:solidFill>
                  <a:schemeClr val="accent2"/>
                </a:solidFill>
              </a:ln>
              <a:effectLst/>
            </c:spPr>
          </c:marker>
          <c:xVal>
            <c:numRef>
              <c:f>'Retrospective Run1'!$FS$14:$FS$80</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Run1'!$GH$14:$GH$80</c:f>
              <c:numCache>
                <c:formatCode>0%</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0.33385968150399925</c:v>
                </c:pt>
                <c:pt idx="23">
                  <c:v>0.34620587010468978</c:v>
                </c:pt>
                <c:pt idx="24">
                  <c:v>0.35879310736583048</c:v>
                </c:pt>
                <c:pt idx="25">
                  <c:v>0.37162031826367875</c:v>
                </c:pt>
                <c:pt idx="26">
                  <c:v>0.38468597235827462</c:v>
                </c:pt>
                <c:pt idx="27">
                  <c:v>0.39798804775917174</c:v>
                </c:pt>
                <c:pt idx="28">
                  <c:v>0.39798804775917168</c:v>
                </c:pt>
                <c:pt idx="29">
                  <c:v>0.39798804775917163</c:v>
                </c:pt>
                <c:pt idx="30">
                  <c:v>0.39798804775917163</c:v>
                </c:pt>
                <c:pt idx="31">
                  <c:v>0.39798804775917168</c:v>
                </c:pt>
                <c:pt idx="32">
                  <c:v>0.39798804775917174</c:v>
                </c:pt>
                <c:pt idx="33">
                  <c:v>0.39798804775917185</c:v>
                </c:pt>
                <c:pt idx="34">
                  <c:v>0.39798804775917174</c:v>
                </c:pt>
                <c:pt idx="35">
                  <c:v>0.39798804775917168</c:v>
                </c:pt>
                <c:pt idx="36">
                  <c:v>0.39798804775917179</c:v>
                </c:pt>
                <c:pt idx="37">
                  <c:v>0.39798804775917168</c:v>
                </c:pt>
                <c:pt idx="38">
                  <c:v>0.39798804775917185</c:v>
                </c:pt>
                <c:pt idx="39">
                  <c:v>0.39798804775917168</c:v>
                </c:pt>
                <c:pt idx="40">
                  <c:v>0.39798804775917179</c:v>
                </c:pt>
                <c:pt idx="41">
                  <c:v>0.39798804775917179</c:v>
                </c:pt>
                <c:pt idx="42">
                  <c:v>0.39798804775917168</c:v>
                </c:pt>
                <c:pt idx="43">
                  <c:v>0.39798804775917163</c:v>
                </c:pt>
                <c:pt idx="44">
                  <c:v>0.39798804775917174</c:v>
                </c:pt>
                <c:pt idx="45">
                  <c:v>0.39798804775917174</c:v>
                </c:pt>
                <c:pt idx="46">
                  <c:v>0.39798804775917185</c:v>
                </c:pt>
                <c:pt idx="47">
                  <c:v>0.39798804775917163</c:v>
                </c:pt>
                <c:pt idx="48">
                  <c:v>0.39798804775917179</c:v>
                </c:pt>
                <c:pt idx="49">
                  <c:v>0.39798804775917179</c:v>
                </c:pt>
                <c:pt idx="50">
                  <c:v>0.39798804775917174</c:v>
                </c:pt>
                <c:pt idx="51">
                  <c:v>0.39798804775917168</c:v>
                </c:pt>
                <c:pt idx="52">
                  <c:v>0.39798804775917168</c:v>
                </c:pt>
                <c:pt idx="53">
                  <c:v>0.39798804775917174</c:v>
                </c:pt>
                <c:pt idx="54">
                  <c:v>0.39798804775917179</c:v>
                </c:pt>
                <c:pt idx="55">
                  <c:v>0.39798804775917174</c:v>
                </c:pt>
                <c:pt idx="56">
                  <c:v>0.39798804775917179</c:v>
                </c:pt>
                <c:pt idx="57">
                  <c:v>0.39798804775917185</c:v>
                </c:pt>
                <c:pt idx="58">
                  <c:v>0.39798804775917179</c:v>
                </c:pt>
                <c:pt idx="59">
                  <c:v>0.39798804775917174</c:v>
                </c:pt>
                <c:pt idx="60">
                  <c:v>0.39798804775917174</c:v>
                </c:pt>
                <c:pt idx="61">
                  <c:v>0.39798804775917163</c:v>
                </c:pt>
                <c:pt idx="62">
                  <c:v>0.39798804775917179</c:v>
                </c:pt>
                <c:pt idx="63">
                  <c:v>0.39798804775917174</c:v>
                </c:pt>
                <c:pt idx="64">
                  <c:v>0.39798804775917168</c:v>
                </c:pt>
                <c:pt idx="65">
                  <c:v>0.39798804775917185</c:v>
                </c:pt>
                <c:pt idx="66">
                  <c:v>0.39798804775917174</c:v>
                </c:pt>
              </c:numCache>
            </c:numRef>
          </c:yVal>
          <c:smooth val="0"/>
          <c:extLst>
            <c:ext xmlns:c16="http://schemas.microsoft.com/office/drawing/2014/chart" uri="{C3380CC4-5D6E-409C-BE32-E72D297353CC}">
              <c16:uniqueId val="{00000001-8074-4220-B7DC-7F125AB67C27}"/>
            </c:ext>
          </c:extLst>
        </c:ser>
        <c:dLbls>
          <c:showLegendKey val="0"/>
          <c:showVal val="0"/>
          <c:showCatName val="0"/>
          <c:showSerName val="0"/>
          <c:showPercent val="0"/>
          <c:showBubbleSize val="0"/>
        </c:dLbls>
        <c:axId val="268206271"/>
        <c:axId val="268203359"/>
      </c:scatterChart>
      <c:scatterChart>
        <c:scatterStyle val="lineMarker"/>
        <c:varyColors val="0"/>
        <c:ser>
          <c:idx val="2"/>
          <c:order val="2"/>
          <c:tx>
            <c:strRef>
              <c:f>'Retrospective Run1'!$FK$13</c:f>
              <c:strCache>
                <c:ptCount val="1"/>
                <c:pt idx="0">
                  <c:v>Steller sea lion abundance</c:v>
                </c:pt>
              </c:strCache>
            </c:strRef>
          </c:tx>
          <c:spPr>
            <a:ln w="19050" cap="rnd">
              <a:solidFill>
                <a:srgbClr val="FF0000"/>
              </a:solidFill>
              <a:round/>
            </a:ln>
            <a:effectLst/>
          </c:spPr>
          <c:marker>
            <c:symbol val="circle"/>
            <c:size val="5"/>
            <c:spPr>
              <a:solidFill>
                <a:srgbClr val="FF0000"/>
              </a:solidFill>
              <a:ln w="9525">
                <a:solidFill>
                  <a:srgbClr val="FF0000"/>
                </a:solidFill>
              </a:ln>
              <a:effectLst/>
            </c:spPr>
          </c:marker>
          <c:xVal>
            <c:numRef>
              <c:f>'Retrospective Run1'!$FS$14:$FS$79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Run1'!$FK$14:$FK$79</c:f>
              <c:numCache>
                <c:formatCode>0</c:formatCode>
                <c:ptCount val="66"/>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numCache>
            </c:numRef>
          </c:yVal>
          <c:smooth val="0"/>
          <c:extLst>
            <c:ext xmlns:c16="http://schemas.microsoft.com/office/drawing/2014/chart" uri="{C3380CC4-5D6E-409C-BE32-E72D297353CC}">
              <c16:uniqueId val="{00000003-8074-4220-B7DC-7F125AB67C27}"/>
            </c:ext>
          </c:extLst>
        </c:ser>
        <c:dLbls>
          <c:showLegendKey val="0"/>
          <c:showVal val="0"/>
          <c:showCatName val="0"/>
          <c:showSerName val="0"/>
          <c:showPercent val="0"/>
          <c:showBubbleSize val="0"/>
        </c:dLbls>
        <c:axId val="268131807"/>
        <c:axId val="268106431"/>
      </c:scatterChart>
      <c:valAx>
        <c:axId val="268206271"/>
        <c:scaling>
          <c:orientation val="minMax"/>
          <c:min val="197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03359"/>
        <c:crosses val="autoZero"/>
        <c:crossBetween val="midCat"/>
      </c:valAx>
      <c:valAx>
        <c:axId val="268203359"/>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Fraction of run killed by predators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06271"/>
        <c:crosses val="autoZero"/>
        <c:crossBetween val="midCat"/>
      </c:valAx>
      <c:valAx>
        <c:axId val="2681064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BC Steller sea lion 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31807"/>
        <c:crosses val="max"/>
        <c:crossBetween val="midCat"/>
      </c:valAx>
      <c:valAx>
        <c:axId val="268131807"/>
        <c:scaling>
          <c:orientation val="minMax"/>
        </c:scaling>
        <c:delete val="1"/>
        <c:axPos val="b"/>
        <c:numFmt formatCode="General" sourceLinked="1"/>
        <c:majorTickMark val="out"/>
        <c:minorTickMark val="none"/>
        <c:tickLblPos val="nextTo"/>
        <c:crossAx val="2681064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Number of Chum Salmon Killed Per Predator and percentage of run killed by marine predators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48172907481417138"/>
          <c:h val="0.57641987459900845"/>
        </c:manualLayout>
      </c:layout>
      <c:scatterChart>
        <c:scatterStyle val="lineMarker"/>
        <c:varyColors val="0"/>
        <c:ser>
          <c:idx val="0"/>
          <c:order val="0"/>
          <c:tx>
            <c:strRef>
              <c:f>'Retrospective Run1'!$FM$13</c:f>
              <c:strCache>
                <c:ptCount val="1"/>
                <c:pt idx="0">
                  <c:v>chums killed per predator</c:v>
                </c:pt>
              </c:strCache>
            </c:strRef>
          </c:tx>
          <c:spPr>
            <a:ln w="19050" cap="rnd">
              <a:solidFill>
                <a:schemeClr val="accent1"/>
              </a:solidFill>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Run1'!$FM$14:$FM$79</c:f>
              <c:numCache>
                <c:formatCode>0</c:formatCode>
                <c:ptCount val="66"/>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numCache>
            </c:numRef>
          </c:yVal>
          <c:smooth val="0"/>
          <c:extLst>
            <c:ext xmlns:c16="http://schemas.microsoft.com/office/drawing/2014/chart" uri="{C3380CC4-5D6E-409C-BE32-E72D297353CC}">
              <c16:uniqueId val="{00000000-02FC-4736-80E9-4541EF4757AC}"/>
            </c:ext>
          </c:extLst>
        </c:ser>
        <c:dLbls>
          <c:showLegendKey val="0"/>
          <c:showVal val="0"/>
          <c:showCatName val="0"/>
          <c:showSerName val="0"/>
          <c:showPercent val="0"/>
          <c:showBubbleSize val="0"/>
        </c:dLbls>
        <c:axId val="426894736"/>
        <c:axId val="426886416"/>
      </c:scatterChart>
      <c:scatterChart>
        <c:scatterStyle val="lineMarker"/>
        <c:varyColors val="0"/>
        <c:ser>
          <c:idx val="2"/>
          <c:order val="1"/>
          <c:tx>
            <c:strRef>
              <c:f>'Retrospective Run1'!$FJ$13</c:f>
              <c:strCache>
                <c:ptCount val="1"/>
                <c:pt idx="0">
                  <c:v>percentage killed by predators</c:v>
                </c:pt>
              </c:strCache>
            </c:strRef>
          </c:tx>
          <c:spPr>
            <a:ln w="19050" cap="rnd">
              <a:solidFill>
                <a:srgbClr val="FF0000"/>
              </a:solidFill>
              <a:prstDash val="dash"/>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#,##0.00</c:formatCode>
                <c:ptCount val="66"/>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numCache>
            </c:numRef>
          </c:yVal>
          <c:smooth val="0"/>
          <c:extLst>
            <c:ext xmlns:c16="http://schemas.microsoft.com/office/drawing/2014/chart" uri="{C3380CC4-5D6E-409C-BE32-E72D297353CC}">
              <c16:uniqueId val="{00000002-02FC-4736-80E9-4541EF4757AC}"/>
            </c:ext>
          </c:extLst>
        </c:ser>
        <c:dLbls>
          <c:showLegendKey val="0"/>
          <c:showVal val="0"/>
          <c:showCatName val="0"/>
          <c:showSerName val="0"/>
          <c:showPercent val="0"/>
          <c:showBubbleSize val="0"/>
        </c:dLbls>
        <c:axId val="302767711"/>
        <c:axId val="302774367"/>
      </c:scatterChart>
      <c:valAx>
        <c:axId val="426894736"/>
        <c:scaling>
          <c:orientation val="minMax"/>
          <c:max val="2020"/>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valAx>
        <c:axId val="302774367"/>
        <c:scaling>
          <c:orientation val="minMax"/>
          <c:max val="100"/>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67711"/>
        <c:crosses val="max"/>
        <c:crossBetween val="midCat"/>
      </c:valAx>
      <c:valAx>
        <c:axId val="302767711"/>
        <c:scaling>
          <c:orientation val="minMax"/>
        </c:scaling>
        <c:delete val="1"/>
        <c:axPos val="b"/>
        <c:numFmt formatCode="General" sourceLinked="1"/>
        <c:majorTickMark val="out"/>
        <c:minorTickMark val="none"/>
        <c:tickLblPos val="nextTo"/>
        <c:crossAx val="302774367"/>
        <c:crosses val="autoZero"/>
        <c:crossBetween val="midCat"/>
      </c:valAx>
      <c:spPr>
        <a:noFill/>
        <a:ln>
          <a:noFill/>
        </a:ln>
        <a:effectLst/>
      </c:spPr>
    </c:plotArea>
    <c:legend>
      <c:legendPos val="r"/>
      <c:layout>
        <c:manualLayout>
          <c:xMode val="edge"/>
          <c:yMode val="edge"/>
          <c:x val="0.70719400699912516"/>
          <c:y val="0.18134186351706039"/>
          <c:w val="0.29280605157406076"/>
          <c:h val="0.4850231413625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Thompson and Chilcotin River Steelhead Spawner Abundance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3"/>
          <c:order val="1"/>
          <c:tx>
            <c:strRef>
              <c:f>'Retrospective Run1'!$BA$13</c:f>
              <c:strCache>
                <c:ptCount val="1"/>
                <c:pt idx="0">
                  <c:v>Thomp. SH spawners count</c:v>
                </c:pt>
              </c:strCache>
            </c:strRef>
          </c:tx>
          <c:spPr>
            <a:ln w="19050" cap="rnd">
              <a:noFill/>
              <a:round/>
            </a:ln>
            <a:effectLst/>
          </c:spPr>
          <c:marker>
            <c:symbol val="triangle"/>
            <c:size val="10"/>
            <c:spPr>
              <a:no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0-7942-4B59-980A-30950BF3C2D2}"/>
            </c:ext>
          </c:extLst>
        </c:ser>
        <c:ser>
          <c:idx val="1"/>
          <c:order val="2"/>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1-7942-4B59-980A-30950BF3C2D2}"/>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7942-4B59-980A-30950BF3C2D2}"/>
            </c:ext>
          </c:extLst>
        </c:ser>
        <c:ser>
          <c:idx val="2"/>
          <c:order val="3"/>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3-7942-4B59-980A-30950BF3C2D2}"/>
            </c:ext>
          </c:extLst>
        </c:ser>
        <c:dLbls>
          <c:showLegendKey val="0"/>
          <c:showVal val="0"/>
          <c:showCatName val="0"/>
          <c:showSerName val="0"/>
          <c:showPercent val="0"/>
          <c:showBubbleSize val="0"/>
        </c:dLbls>
        <c:axId val="791417471"/>
        <c:axId val="791417055"/>
      </c:scatterChart>
      <c:valAx>
        <c:axId val="1260687455"/>
        <c:scaling>
          <c:orientation val="minMax"/>
          <c:max val="2040"/>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1400"/>
          <c:min val="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Thompson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majorUnit val="200"/>
        <c:minorUnit val="50"/>
      </c:valAx>
      <c:valAx>
        <c:axId val="791417055"/>
        <c:scaling>
          <c:orientation val="minMax"/>
          <c:max val="60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1417471"/>
        <c:crosses val="max"/>
        <c:crossBetween val="midCat"/>
      </c:valAx>
      <c:valAx>
        <c:axId val="791417471"/>
        <c:scaling>
          <c:orientation val="minMax"/>
        </c:scaling>
        <c:delete val="1"/>
        <c:axPos val="b"/>
        <c:numFmt formatCode="General" sourceLinked="1"/>
        <c:majorTickMark val="out"/>
        <c:minorTickMark val="none"/>
        <c:tickLblPos val="nextTo"/>
        <c:crossAx val="791417055"/>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4948921388224881"/>
          <c:w val="0.48852337222260656"/>
          <c:h val="0.66943139764629245"/>
        </c:manualLayout>
      </c:layout>
      <c:scatterChart>
        <c:scatterStyle val="lineMarker"/>
        <c:varyColors val="0"/>
        <c:ser>
          <c:idx val="5"/>
          <c:order val="4"/>
          <c:tx>
            <c:strRef>
              <c:f>'Retrospective Run1'!$D$13</c:f>
              <c:strCache>
                <c:ptCount val="1"/>
                <c:pt idx="0">
                  <c:v>Chum Spawner Count</c:v>
                </c:pt>
              </c:strCache>
            </c:strRef>
          </c:tx>
          <c:spPr>
            <a:ln w="19050" cap="rnd">
              <a:noFill/>
              <a:round/>
            </a:ln>
            <a:effectLst/>
          </c:spPr>
          <c:marker>
            <c:symbol val="circle"/>
            <c:size val="8"/>
            <c:spPr>
              <a:noFill/>
              <a:ln w="9525">
                <a:solidFill>
                  <a:srgbClr val="00B0F0"/>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34B4-4F0C-871C-45A58A651A52}"/>
            </c:ext>
          </c:extLst>
        </c:ser>
        <c:ser>
          <c:idx val="0"/>
          <c:order val="5"/>
          <c:tx>
            <c:strRef>
              <c:f>'Retrospective Run1'!$AP$13</c:f>
              <c:strCache>
                <c:ptCount val="1"/>
                <c:pt idx="0">
                  <c:v>Predicted chum spawners</c:v>
                </c:pt>
              </c:strCache>
            </c:strRef>
          </c:tx>
          <c:spPr>
            <a:ln w="22225" cap="rnd">
              <a:solidFill>
                <a:schemeClr val="accent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Run1'!$AP$14:$AP$103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1-34B4-4F0C-871C-45A58A651A52}"/>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34B4-4F0C-871C-45A58A651A52}"/>
            </c:ext>
          </c:extLst>
        </c:ser>
        <c:ser>
          <c:idx val="2"/>
          <c:order val="1"/>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5-34B4-4F0C-871C-45A58A651A52}"/>
            </c:ext>
          </c:extLst>
        </c:ser>
        <c:ser>
          <c:idx val="3"/>
          <c:order val="2"/>
          <c:tx>
            <c:strRef>
              <c:f>'Retrospective Run1'!$BA$13</c:f>
              <c:strCache>
                <c:ptCount val="1"/>
                <c:pt idx="0">
                  <c:v>Thomp. SH spawners count</c:v>
                </c:pt>
              </c:strCache>
            </c:strRef>
          </c:tx>
          <c:spPr>
            <a:ln w="19050" cap="rnd">
              <a:noFill/>
              <a:round/>
            </a:ln>
            <a:effectLst/>
          </c:spPr>
          <c:marker>
            <c:symbol val="triangle"/>
            <c:size val="10"/>
            <c:spPr>
              <a:noFill/>
              <a:ln w="1587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34B4-4F0C-871C-45A58A651A52}"/>
            </c:ext>
          </c:extLst>
        </c:ser>
        <c:ser>
          <c:idx val="1"/>
          <c:order val="3"/>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4-34B4-4F0C-871C-45A58A651A52}"/>
            </c:ext>
          </c:extLst>
        </c:ser>
        <c:dLbls>
          <c:showLegendKey val="0"/>
          <c:showVal val="0"/>
          <c:showCatName val="0"/>
          <c:showSerName val="0"/>
          <c:showPercent val="0"/>
          <c:showBubbleSize val="0"/>
        </c:dLbls>
        <c:axId val="1260689951"/>
        <c:axId val="1260694943"/>
      </c:scatterChart>
      <c:valAx>
        <c:axId val="1260687455"/>
        <c:scaling>
          <c:orientation val="minMax"/>
          <c:max val="2026"/>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25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7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5483674215"/>
          <c:y val="0.34551033424794864"/>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Run1'!$AO$13</c:f>
              <c:strCache>
                <c:ptCount val="1"/>
                <c:pt idx="0">
                  <c:v>Chum catch</c:v>
                </c:pt>
              </c:strCache>
            </c:strRef>
          </c:tx>
          <c:spPr>
            <a:ln w="28575" cap="rnd">
              <a:solidFill>
                <a:schemeClr val="accent1"/>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422417.1360488066</c:v>
                </c:pt>
                <c:pt idx="20">
                  <c:v>105452.91661301795</c:v>
                </c:pt>
                <c:pt idx="21">
                  <c:v>1017290.3197477594</c:v>
                </c:pt>
                <c:pt idx="22">
                  <c:v>2365479.8136458248</c:v>
                </c:pt>
                <c:pt idx="23">
                  <c:v>408948.79854673904</c:v>
                </c:pt>
                <c:pt idx="24">
                  <c:v>456188.13534022722</c:v>
                </c:pt>
                <c:pt idx="25">
                  <c:v>527899.38962651009</c:v>
                </c:pt>
                <c:pt idx="26">
                  <c:v>77063.199423982252</c:v>
                </c:pt>
                <c:pt idx="27">
                  <c:v>1085935.8215967023</c:v>
                </c:pt>
                <c:pt idx="28">
                  <c:v>98790.22104604372</c:v>
                </c:pt>
                <c:pt idx="29">
                  <c:v>409845.30802361527</c:v>
                </c:pt>
                <c:pt idx="30">
                  <c:v>45397.513277832295</c:v>
                </c:pt>
                <c:pt idx="31">
                  <c:v>271780.314244434</c:v>
                </c:pt>
                <c:pt idx="32">
                  <c:v>197786.75040788148</c:v>
                </c:pt>
                <c:pt idx="33">
                  <c:v>46806.12199735851</c:v>
                </c:pt>
                <c:pt idx="34">
                  <c:v>390661.24376841611</c:v>
                </c:pt>
                <c:pt idx="35">
                  <c:v>402817.42295294127</c:v>
                </c:pt>
                <c:pt idx="36">
                  <c:v>175797.06389743296</c:v>
                </c:pt>
                <c:pt idx="37">
                  <c:v>530125.77294076781</c:v>
                </c:pt>
                <c:pt idx="38">
                  <c:v>305878.7856827639</c:v>
                </c:pt>
                <c:pt idx="39">
                  <c:v>661125.85665369546</c:v>
                </c:pt>
                <c:pt idx="40">
                  <c:v>547451.1133181745</c:v>
                </c:pt>
                <c:pt idx="41">
                  <c:v>347569.47930846794</c:v>
                </c:pt>
                <c:pt idx="42">
                  <c:v>326082.46697227686</c:v>
                </c:pt>
                <c:pt idx="43">
                  <c:v>376870.41345463943</c:v>
                </c:pt>
                <c:pt idx="44">
                  <c:v>417606.66674286313</c:v>
                </c:pt>
                <c:pt idx="45">
                  <c:v>336462.49731937307</c:v>
                </c:pt>
                <c:pt idx="46">
                  <c:v>413119.57913311018</c:v>
                </c:pt>
                <c:pt idx="47">
                  <c:v>718189.98722739681</c:v>
                </c:pt>
                <c:pt idx="48">
                  <c:v>639008.93837492447</c:v>
                </c:pt>
                <c:pt idx="49">
                  <c:v>434617.48269741656</c:v>
                </c:pt>
                <c:pt idx="50">
                  <c:v>751738.71831313183</c:v>
                </c:pt>
                <c:pt idx="51">
                  <c:v>723533.35192440019</c:v>
                </c:pt>
                <c:pt idx="52">
                  <c:v>792622.34329599934</c:v>
                </c:pt>
                <c:pt idx="53">
                  <c:v>790787.94451033324</c:v>
                </c:pt>
                <c:pt idx="54">
                  <c:v>582702.94930581178</c:v>
                </c:pt>
                <c:pt idx="55">
                  <c:v>692637.04929466476</c:v>
                </c:pt>
                <c:pt idx="56">
                  <c:v>372573.91127043567</c:v>
                </c:pt>
                <c:pt idx="57">
                  <c:v>310286.60211681208</c:v>
                </c:pt>
                <c:pt idx="58">
                  <c:v>258129.21244217735</c:v>
                </c:pt>
                <c:pt idx="59">
                  <c:v>215293.31692215666</c:v>
                </c:pt>
                <c:pt idx="60">
                  <c:v>641659.22982503555</c:v>
                </c:pt>
                <c:pt idx="61">
                  <c:v>581265.6939628378</c:v>
                </c:pt>
                <c:pt idx="62">
                  <c:v>795734.82389410061</c:v>
                </c:pt>
                <c:pt idx="63">
                  <c:v>718046.58243955486</c:v>
                </c:pt>
                <c:pt idx="64">
                  <c:v>654220.77049815655</c:v>
                </c:pt>
                <c:pt idx="65">
                  <c:v>1127367.4740617969</c:v>
                </c:pt>
                <c:pt idx="66">
                  <c:v>493929.19104183785</c:v>
                </c:pt>
                <c:pt idx="67">
                  <c:v>373500.8675543436</c:v>
                </c:pt>
                <c:pt idx="68">
                  <c:v>214456.98072241258</c:v>
                </c:pt>
                <c:pt idx="69">
                  <c:v>240571.15469734569</c:v>
                </c:pt>
                <c:pt idx="70">
                  <c:v>448662.58976996638</c:v>
                </c:pt>
                <c:pt idx="71">
                  <c:v>482136.55446441099</c:v>
                </c:pt>
                <c:pt idx="72">
                  <c:v>403078.99275871908</c:v>
                </c:pt>
                <c:pt idx="73">
                  <c:v>418772.0824508178</c:v>
                </c:pt>
                <c:pt idx="74">
                  <c:v>495714.19736500451</c:v>
                </c:pt>
                <c:pt idx="75">
                  <c:v>509473.51053421153</c:v>
                </c:pt>
                <c:pt idx="76">
                  <c:v>501734.06498563179</c:v>
                </c:pt>
                <c:pt idx="77">
                  <c:v>503834.72689649859</c:v>
                </c:pt>
                <c:pt idx="78">
                  <c:v>510571.49142268253</c:v>
                </c:pt>
                <c:pt idx="79">
                  <c:v>511716.92848196439</c:v>
                </c:pt>
                <c:pt idx="80">
                  <c:v>511746.48624524841</c:v>
                </c:pt>
                <c:pt idx="81">
                  <c:v>511751.51427421236</c:v>
                </c:pt>
                <c:pt idx="82">
                  <c:v>511727.84513619414</c:v>
                </c:pt>
                <c:pt idx="83">
                  <c:v>511713.01234689908</c:v>
                </c:pt>
                <c:pt idx="84">
                  <c:v>511710.79115976859</c:v>
                </c:pt>
                <c:pt idx="85">
                  <c:v>511710.7007300593</c:v>
                </c:pt>
                <c:pt idx="86">
                  <c:v>511710.95570678008</c:v>
                </c:pt>
                <c:pt idx="87">
                  <c:v>511711.15290651075</c:v>
                </c:pt>
                <c:pt idx="88">
                  <c:v>511711.20258835127</c:v>
                </c:pt>
                <c:pt idx="89">
                  <c:v>511711.20737775211</c:v>
                </c:pt>
              </c:numCache>
            </c:numRef>
          </c:yVal>
          <c:smooth val="0"/>
          <c:extLst>
            <c:ext xmlns:c16="http://schemas.microsoft.com/office/drawing/2014/chart" uri="{C3380CC4-5D6E-409C-BE32-E72D297353CC}">
              <c16:uniqueId val="{00000000-6343-4F10-B7CD-8E21AE00A41C}"/>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6343-4F10-B7CD-8E21AE00A41C}"/>
            </c:ext>
          </c:extLst>
        </c:ser>
        <c:ser>
          <c:idx val="3"/>
          <c:order val="3"/>
          <c:tx>
            <c:strRef>
              <c:f>'Retrospective Run1'!$AN$13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Run1'!$G$14:$G$103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6343-4F10-B7CD-8E21AE00A41C}"/>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Run1'!$AI$13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3-6343-4F10-B7CD-8E21AE00A41C}"/>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layout>
        <c:manualLayout>
          <c:xMode val="edge"/>
          <c:yMode val="edge"/>
          <c:x val="0.1086176434428211"/>
          <c:y val="4.9342356305650641E-2"/>
          <c:w val="0.81980127263241698"/>
          <c:h val="0.130726717442855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Number of Chum Salmon Killed Per Predator and percentage of run killed by marine predators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48172907481417138"/>
          <c:h val="0.57641987459900845"/>
        </c:manualLayout>
      </c:layout>
      <c:scatterChart>
        <c:scatterStyle val="lineMarker"/>
        <c:varyColors val="0"/>
        <c:ser>
          <c:idx val="0"/>
          <c:order val="0"/>
          <c:tx>
            <c:strRef>
              <c:f>'Retrospective Run1'!$FZ$13</c:f>
              <c:strCache>
                <c:ptCount val="1"/>
                <c:pt idx="0">
                  <c:v># TH SH killed per predator</c:v>
                </c:pt>
              </c:strCache>
            </c:strRef>
          </c:tx>
          <c:spPr>
            <a:ln w="19050" cap="rnd">
              <a:solidFill>
                <a:schemeClr val="accent1"/>
              </a:solidFill>
              <a:round/>
            </a:ln>
            <a:effectLst/>
          </c:spPr>
          <c:marker>
            <c:symbol val="none"/>
          </c:marker>
          <c:xVal>
            <c:numRef>
              <c:f>'Retrospective Run1'!$FB$14:$FB$81</c:f>
              <c:numCache>
                <c:formatCode>General</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Run1'!$FZ$14:$FZ$81</c:f>
              <c:numCache>
                <c:formatCode>General</c:formatCode>
                <c:ptCount val="6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0.30590927164748044</c:v>
                </c:pt>
                <c:pt idx="28" formatCode="0.00">
                  <c:v>0.28972167956148204</c:v>
                </c:pt>
                <c:pt idx="29" formatCode="0.00">
                  <c:v>0.34249858709523523</c:v>
                </c:pt>
                <c:pt idx="30" formatCode="0.00">
                  <c:v>0.28106305732394321</c:v>
                </c:pt>
                <c:pt idx="31" formatCode="0.00">
                  <c:v>0.30079558541727219</c:v>
                </c:pt>
                <c:pt idx="32" formatCode="0.00">
                  <c:v>0.26527088667559745</c:v>
                </c:pt>
                <c:pt idx="33" formatCode="0.00">
                  <c:v>0.24829817287820166</c:v>
                </c:pt>
                <c:pt idx="34" formatCode="0.00">
                  <c:v>0.27906961518311385</c:v>
                </c:pt>
                <c:pt idx="35" formatCode="0.00">
                  <c:v>0.29785220377550015</c:v>
                </c:pt>
                <c:pt idx="36" formatCode="0.00">
                  <c:v>0.12836541121780692</c:v>
                </c:pt>
                <c:pt idx="37" formatCode="0.00">
                  <c:v>0.17672304954687651</c:v>
                </c:pt>
                <c:pt idx="38" formatCode="0.00">
                  <c:v>0.17459185952172937</c:v>
                </c:pt>
                <c:pt idx="39" formatCode="0.00">
                  <c:v>0.13221162246704654</c:v>
                </c:pt>
                <c:pt idx="40" formatCode="0.00">
                  <c:v>4.0786118940295865E-2</c:v>
                </c:pt>
                <c:pt idx="41" formatCode="0.00">
                  <c:v>0.12344169030197769</c:v>
                </c:pt>
                <c:pt idx="42" formatCode="0.00">
                  <c:v>0.11103809761663642</c:v>
                </c:pt>
                <c:pt idx="43" formatCode="0.00">
                  <c:v>8.8941705676970947E-2</c:v>
                </c:pt>
                <c:pt idx="44" formatCode="0.00">
                  <c:v>9.0254953776885721E-2</c:v>
                </c:pt>
                <c:pt idx="45" formatCode="0.00">
                  <c:v>0.16218817422751314</c:v>
                </c:pt>
                <c:pt idx="46" formatCode="0.00">
                  <c:v>0.14760730321229101</c:v>
                </c:pt>
                <c:pt idx="47" formatCode="0.00">
                  <c:v>0.1021307476489005</c:v>
                </c:pt>
                <c:pt idx="48" formatCode="0.00">
                  <c:v>0.13863431338211085</c:v>
                </c:pt>
                <c:pt idx="49" formatCode="0.00">
                  <c:v>0.10245564690902538</c:v>
                </c:pt>
                <c:pt idx="50" formatCode="0.00">
                  <c:v>5.6873826878949624E-2</c:v>
                </c:pt>
                <c:pt idx="51" formatCode="0.00">
                  <c:v>4.5291833530346E-2</c:v>
                </c:pt>
                <c:pt idx="52" formatCode="0.00">
                  <c:v>6.4525887646110988E-2</c:v>
                </c:pt>
                <c:pt idx="53" formatCode="0.00">
                  <c:v>5.7039993963575744E-2</c:v>
                </c:pt>
                <c:pt idx="54" formatCode="0.00">
                  <c:v>7.2885666935960353E-2</c:v>
                </c:pt>
                <c:pt idx="55" formatCode="0.00">
                  <c:v>0.12236341058771835</c:v>
                </c:pt>
                <c:pt idx="56" formatCode="0.00">
                  <c:v>0.10216775814323496</c:v>
                </c:pt>
                <c:pt idx="57" formatCode="0.00">
                  <c:v>8.1621442728418259E-2</c:v>
                </c:pt>
                <c:pt idx="58" formatCode="0.00">
                  <c:v>8.9226240010465613E-2</c:v>
                </c:pt>
                <c:pt idx="59" formatCode="0.00">
                  <c:v>7.6496492805983696E-2</c:v>
                </c:pt>
                <c:pt idx="60" formatCode="0.00">
                  <c:v>1.9949301983818696E-2</c:v>
                </c:pt>
                <c:pt idx="61" formatCode="0.00">
                  <c:v>1.9007406789338634E-2</c:v>
                </c:pt>
                <c:pt idx="62" formatCode="0.00">
                  <c:v>2.5527778755962988E-2</c:v>
                </c:pt>
                <c:pt idx="63" formatCode="0.00">
                  <c:v>1.9939187357596349E-2</c:v>
                </c:pt>
                <c:pt idx="64" formatCode="0.00">
                  <c:v>3.058815946116113E-2</c:v>
                </c:pt>
                <c:pt idx="65" formatCode="0.00">
                  <c:v>4.932563055333361E-2</c:v>
                </c:pt>
                <c:pt idx="66" formatCode="0.00">
                  <c:v>3.5116927876167818E-2</c:v>
                </c:pt>
                <c:pt idx="67" formatCode="0.00">
                  <c:v>3.9960914590867543E-2</c:v>
                </c:pt>
              </c:numCache>
            </c:numRef>
          </c:yVal>
          <c:smooth val="0"/>
          <c:extLst>
            <c:ext xmlns:c16="http://schemas.microsoft.com/office/drawing/2014/chart" uri="{C3380CC4-5D6E-409C-BE32-E72D297353CC}">
              <c16:uniqueId val="{00000000-A85E-4A3C-AD99-9521755D7447}"/>
            </c:ext>
          </c:extLst>
        </c:ser>
        <c:ser>
          <c:idx val="1"/>
          <c:order val="2"/>
          <c:tx>
            <c:strRef>
              <c:f>'Retrospective Run1'!$GJ$13</c:f>
              <c:strCache>
                <c:ptCount val="1"/>
                <c:pt idx="0">
                  <c:v># CH SH killed per predator</c:v>
                </c:pt>
              </c:strCache>
            </c:strRef>
          </c:tx>
          <c:spPr>
            <a:ln w="19050" cap="rnd">
              <a:solidFill>
                <a:schemeClr val="accent2"/>
              </a:solidFill>
              <a:round/>
            </a:ln>
            <a:effectLst/>
          </c:spPr>
          <c:marker>
            <c:symbol val="none"/>
          </c:marker>
          <c:xVal>
            <c:numRef>
              <c:f>'Retrospective Run1'!$FB$14:$FB$81</c:f>
              <c:numCache>
                <c:formatCode>General</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Run1'!$GJ$14:$GJ$81</c:f>
              <c:numCache>
                <c:formatCode>0.00</c:formatCode>
                <c:ptCount val="6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0.19610885240566756</c:v>
                </c:pt>
                <c:pt idx="23">
                  <c:v>0.1579398870282088</c:v>
                </c:pt>
                <c:pt idx="24">
                  <c:v>0.12472543211664726</c:v>
                </c:pt>
                <c:pt idx="25">
                  <c:v>0.18661984037165263</c:v>
                </c:pt>
                <c:pt idx="26">
                  <c:v>0.13790153817025574</c:v>
                </c:pt>
                <c:pt idx="27">
                  <c:v>0.16630109430047335</c:v>
                </c:pt>
                <c:pt idx="28">
                  <c:v>0.17705720956733903</c:v>
                </c:pt>
                <c:pt idx="29">
                  <c:v>0.20080540981579248</c:v>
                </c:pt>
                <c:pt idx="30">
                  <c:v>0.18925031126051955</c:v>
                </c:pt>
                <c:pt idx="31">
                  <c:v>0.19245165951078369</c:v>
                </c:pt>
                <c:pt idx="32">
                  <c:v>0.20132263477773427</c:v>
                </c:pt>
                <c:pt idx="33">
                  <c:v>0.19078450001631606</c:v>
                </c:pt>
                <c:pt idx="34">
                  <c:v>0.12196947972991036</c:v>
                </c:pt>
                <c:pt idx="35">
                  <c:v>9.8839163944870495E-2</c:v>
                </c:pt>
                <c:pt idx="36">
                  <c:v>0.14872299784173842</c:v>
                </c:pt>
                <c:pt idx="37">
                  <c:v>0.11386559715430668</c:v>
                </c:pt>
                <c:pt idx="38">
                  <c:v>0.12605414542218474</c:v>
                </c:pt>
                <c:pt idx="39">
                  <c:v>0.11336298987650918</c:v>
                </c:pt>
                <c:pt idx="40">
                  <c:v>0.1378501260971515</c:v>
                </c:pt>
                <c:pt idx="41">
                  <c:v>0.13155985011284052</c:v>
                </c:pt>
                <c:pt idx="42">
                  <c:v>0.13329510437211484</c:v>
                </c:pt>
                <c:pt idx="43">
                  <c:v>0.12668132094600376</c:v>
                </c:pt>
                <c:pt idx="44">
                  <c:v>0.15034135482628169</c:v>
                </c:pt>
                <c:pt idx="45">
                  <c:v>0.17925938938484512</c:v>
                </c:pt>
                <c:pt idx="46">
                  <c:v>0.15799861836928056</c:v>
                </c:pt>
                <c:pt idx="47">
                  <c:v>0.19377545643152028</c:v>
                </c:pt>
                <c:pt idx="48">
                  <c:v>0.14347479347682199</c:v>
                </c:pt>
                <c:pt idx="49">
                  <c:v>0.11112654653542738</c:v>
                </c:pt>
                <c:pt idx="50">
                  <c:v>8.733006343738052E-2</c:v>
                </c:pt>
                <c:pt idx="51">
                  <c:v>0.10077911158838232</c:v>
                </c:pt>
                <c:pt idx="52">
                  <c:v>9.9933905425730413E-2</c:v>
                </c:pt>
                <c:pt idx="53">
                  <c:v>0.11462072689688982</c:v>
                </c:pt>
                <c:pt idx="54">
                  <c:v>0.14180108582171363</c:v>
                </c:pt>
                <c:pt idx="55">
                  <c:v>0.14111265751311802</c:v>
                </c:pt>
                <c:pt idx="56">
                  <c:v>0.13501658930217961</c:v>
                </c:pt>
                <c:pt idx="57">
                  <c:v>0.1702302265393231</c:v>
                </c:pt>
                <c:pt idx="58">
                  <c:v>0.13340293787321389</c:v>
                </c:pt>
                <c:pt idx="59">
                  <c:v>0.15037936453002509</c:v>
                </c:pt>
                <c:pt idx="60">
                  <c:v>0.110543635725123</c:v>
                </c:pt>
                <c:pt idx="61">
                  <c:v>9.8138658213133181E-2</c:v>
                </c:pt>
                <c:pt idx="62">
                  <c:v>0.10977463423950118</c:v>
                </c:pt>
                <c:pt idx="63">
                  <c:v>7.2970423693427711E-2</c:v>
                </c:pt>
                <c:pt idx="64">
                  <c:v>6.0548114529395423E-2</c:v>
                </c:pt>
                <c:pt idx="65">
                  <c:v>7.1317944661849181E-2</c:v>
                </c:pt>
                <c:pt idx="66">
                  <c:v>7.751089111091522E-2</c:v>
                </c:pt>
                <c:pt idx="67">
                  <c:v>0.11098347927239369</c:v>
                </c:pt>
              </c:numCache>
            </c:numRef>
          </c:yVal>
          <c:smooth val="0"/>
          <c:extLst>
            <c:ext xmlns:c16="http://schemas.microsoft.com/office/drawing/2014/chart" uri="{C3380CC4-5D6E-409C-BE32-E72D297353CC}">
              <c16:uniqueId val="{00000002-A85E-4A3C-AD99-9521755D7447}"/>
            </c:ext>
          </c:extLst>
        </c:ser>
        <c:dLbls>
          <c:showLegendKey val="0"/>
          <c:showVal val="0"/>
          <c:showCatName val="0"/>
          <c:showSerName val="0"/>
          <c:showPercent val="0"/>
          <c:showBubbleSize val="0"/>
        </c:dLbls>
        <c:axId val="426894736"/>
        <c:axId val="426886416"/>
      </c:scatterChart>
      <c:scatterChart>
        <c:scatterStyle val="lineMarker"/>
        <c:varyColors val="0"/>
        <c:ser>
          <c:idx val="2"/>
          <c:order val="1"/>
          <c:tx>
            <c:strRef>
              <c:f>'Retrospective Run1'!$FJ$13</c:f>
              <c:strCache>
                <c:ptCount val="1"/>
                <c:pt idx="0">
                  <c:v>percentage killed by predators</c:v>
                </c:pt>
              </c:strCache>
            </c:strRef>
          </c:tx>
          <c:spPr>
            <a:ln w="19050" cap="rnd">
              <a:solidFill>
                <a:srgbClr val="FF0000"/>
              </a:solidFill>
              <a:prstDash val="dash"/>
              <a:round/>
            </a:ln>
            <a:effectLst/>
          </c:spPr>
          <c:marker>
            <c:symbol val="none"/>
          </c:marker>
          <c:xVal>
            <c:numRef>
              <c:f>'Retrospective Run1'!$FB$14:$FB$79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#,##0.00</c:formatCode>
                <c:ptCount val="66"/>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numCache>
            </c:numRef>
          </c:yVal>
          <c:smooth val="0"/>
          <c:extLst>
            <c:ext xmlns:c16="http://schemas.microsoft.com/office/drawing/2014/chart" uri="{C3380CC4-5D6E-409C-BE32-E72D297353CC}">
              <c16:uniqueId val="{00000001-A85E-4A3C-AD99-9521755D7447}"/>
            </c:ext>
          </c:extLst>
        </c:ser>
        <c:dLbls>
          <c:showLegendKey val="0"/>
          <c:showVal val="0"/>
          <c:showCatName val="0"/>
          <c:showSerName val="0"/>
          <c:showPercent val="0"/>
          <c:showBubbleSize val="0"/>
        </c:dLbls>
        <c:axId val="302767711"/>
        <c:axId val="302774367"/>
      </c:scatterChart>
      <c:valAx>
        <c:axId val="426894736"/>
        <c:scaling>
          <c:orientation val="minMax"/>
          <c:max val="2020"/>
          <c:min val="197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valAx>
        <c:axId val="302774367"/>
        <c:scaling>
          <c:orientation val="minMax"/>
          <c:max val="100"/>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67711"/>
        <c:crosses val="max"/>
        <c:crossBetween val="midCat"/>
      </c:valAx>
      <c:valAx>
        <c:axId val="302767711"/>
        <c:scaling>
          <c:orientation val="minMax"/>
        </c:scaling>
        <c:delete val="1"/>
        <c:axPos val="b"/>
        <c:numFmt formatCode="General" sourceLinked="1"/>
        <c:majorTickMark val="out"/>
        <c:minorTickMark val="none"/>
        <c:tickLblPos val="nextTo"/>
        <c:crossAx val="302774367"/>
        <c:crosses val="autoZero"/>
        <c:crossBetween val="midCat"/>
      </c:valAx>
      <c:spPr>
        <a:noFill/>
        <a:ln>
          <a:noFill/>
        </a:ln>
        <a:effectLst/>
      </c:spPr>
    </c:plotArea>
    <c:legend>
      <c:legendPos val="r"/>
      <c:layout>
        <c:manualLayout>
          <c:xMode val="edge"/>
          <c:yMode val="edge"/>
          <c:x val="0.70719400699912516"/>
          <c:y val="0.18134186351706039"/>
          <c:w val="0.29280608542528935"/>
          <c:h val="0.193818939295737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28958880139983"/>
          <c:y val="0.30872675410143274"/>
          <c:w val="0.58532086614173229"/>
          <c:h val="0.48570226572760078"/>
        </c:manualLayout>
      </c:layout>
      <c:scatterChart>
        <c:scatterStyle val="lineMarker"/>
        <c:varyColors val="0"/>
        <c:ser>
          <c:idx val="1"/>
          <c:order val="0"/>
          <c:tx>
            <c:strRef>
              <c:f>'Retrospective Run1'!$FU$13</c:f>
              <c:strCache>
                <c:ptCount val="1"/>
                <c:pt idx="0">
                  <c:v>Total TH  run before predation</c:v>
                </c:pt>
              </c:strCache>
            </c:strRef>
          </c:tx>
          <c:spPr>
            <a:ln w="19050" cap="rnd">
              <a:solidFill>
                <a:srgbClr val="00B05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Run1'!$FU$14:$FU$103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7561.2126649950542</c:v>
                </c:pt>
                <c:pt idx="28">
                  <c:v>7434.8825725540682</c:v>
                </c:pt>
                <c:pt idx="29">
                  <c:v>9126.0223559632905</c:v>
                </c:pt>
                <c:pt idx="30">
                  <c:v>7776.7182298304469</c:v>
                </c:pt>
                <c:pt idx="31">
                  <c:v>8643.2938777487852</c:v>
                </c:pt>
                <c:pt idx="32">
                  <c:v>7917.0500510294833</c:v>
                </c:pt>
                <c:pt idx="33">
                  <c:v>7697.8547293513247</c:v>
                </c:pt>
                <c:pt idx="34">
                  <c:v>8988.6290947099533</c:v>
                </c:pt>
                <c:pt idx="35">
                  <c:v>9968.6190516707175</c:v>
                </c:pt>
                <c:pt idx="36">
                  <c:v>4464.8879442485231</c:v>
                </c:pt>
                <c:pt idx="37">
                  <c:v>6389.4880391867428</c:v>
                </c:pt>
                <c:pt idx="38">
                  <c:v>6562.9081903128099</c:v>
                </c:pt>
                <c:pt idx="39">
                  <c:v>5168.1864049339247</c:v>
                </c:pt>
                <c:pt idx="40">
                  <c:v>1658.3713071290449</c:v>
                </c:pt>
                <c:pt idx="41">
                  <c:v>5222.0990565819329</c:v>
                </c:pt>
                <c:pt idx="42">
                  <c:v>4888.6713029411012</c:v>
                </c:pt>
                <c:pt idx="43">
                  <c:v>4076.530882320299</c:v>
                </c:pt>
                <c:pt idx="44">
                  <c:v>4307.8765043550402</c:v>
                </c:pt>
                <c:pt idx="45">
                  <c:v>8064.3388369063787</c:v>
                </c:pt>
                <c:pt idx="46">
                  <c:v>7648.4907391969564</c:v>
                </c:pt>
                <c:pt idx="47">
                  <c:v>5517.1471805884585</c:v>
                </c:pt>
                <c:pt idx="48">
                  <c:v>7810.9194241179412</c:v>
                </c:pt>
                <c:pt idx="49">
                  <c:v>6023.3167564055047</c:v>
                </c:pt>
                <c:pt idx="50">
                  <c:v>3490.5021729609871</c:v>
                </c:pt>
                <c:pt idx="51">
                  <c:v>2903.2938724872743</c:v>
                </c:pt>
                <c:pt idx="52">
                  <c:v>4322.4881985197699</c:v>
                </c:pt>
                <c:pt idx="53">
                  <c:v>3995.348459651912</c:v>
                </c:pt>
                <c:pt idx="54">
                  <c:v>5341.3769963028544</c:v>
                </c:pt>
                <c:pt idx="55">
                  <c:v>9388.0067765542444</c:v>
                </c:pt>
                <c:pt idx="56">
                  <c:v>8211.7516896384786</c:v>
                </c:pt>
                <c:pt idx="57">
                  <c:v>6877.5000942015031</c:v>
                </c:pt>
                <c:pt idx="58">
                  <c:v>7887.5602458931799</c:v>
                </c:pt>
                <c:pt idx="59">
                  <c:v>7099.8638019547388</c:v>
                </c:pt>
                <c:pt idx="60">
                  <c:v>1945.5599393119153</c:v>
                </c:pt>
                <c:pt idx="61">
                  <c:v>1949.4569339342208</c:v>
                </c:pt>
                <c:pt idx="62">
                  <c:v>2755.8686394740221</c:v>
                </c:pt>
                <c:pt idx="63">
                  <c:v>2267.7949065822427</c:v>
                </c:pt>
                <c:pt idx="64">
                  <c:v>3668.6958723129014</c:v>
                </c:pt>
                <c:pt idx="65">
                  <c:v>6244.8074497085836</c:v>
                </c:pt>
                <c:pt idx="66">
                  <c:v>4697.7657581906906</c:v>
                </c:pt>
                <c:pt idx="67">
                  <c:v>5654.4842942179157</c:v>
                </c:pt>
                <c:pt idx="68">
                  <c:v>6247.5853266664017</c:v>
                </c:pt>
                <c:pt idx="69">
                  <c:v>5653.8256066054682</c:v>
                </c:pt>
                <c:pt idx="70">
                  <c:v>3530.5674718176097</c:v>
                </c:pt>
                <c:pt idx="71">
                  <c:v>4487.6015826665771</c:v>
                </c:pt>
                <c:pt idx="72">
                  <c:v>3959.966603199091</c:v>
                </c:pt>
                <c:pt idx="73">
                  <c:v>3089.6296568326838</c:v>
                </c:pt>
                <c:pt idx="74">
                  <c:v>3484.2824676317014</c:v>
                </c:pt>
                <c:pt idx="75">
                  <c:v>5272.1343706956904</c:v>
                </c:pt>
                <c:pt idx="76">
                  <c:v>4750.8141753051041</c:v>
                </c:pt>
                <c:pt idx="77">
                  <c:v>5128.5442927969571</c:v>
                </c:pt>
                <c:pt idx="78">
                  <c:v>5821.483481383515</c:v>
                </c:pt>
                <c:pt idx="79">
                  <c:v>5584.183637074836</c:v>
                </c:pt>
                <c:pt idx="80">
                  <c:v>4086.0419158173631</c:v>
                </c:pt>
                <c:pt idx="81">
                  <c:v>4292.5745915052166</c:v>
                </c:pt>
                <c:pt idx="82">
                  <c:v>3998.9437855377364</c:v>
                </c:pt>
                <c:pt idx="83">
                  <c:v>3413.8488278218165</c:v>
                </c:pt>
                <c:pt idx="84">
                  <c:v>3568.0012308609148</c:v>
                </c:pt>
                <c:pt idx="85">
                  <c:v>4829.3612855598767</c:v>
                </c:pt>
                <c:pt idx="86">
                  <c:v>4848.2648510745685</c:v>
                </c:pt>
                <c:pt idx="87">
                  <c:v>5103.3714662149268</c:v>
                </c:pt>
                <c:pt idx="88">
                  <c:v>5591.6540701953118</c:v>
                </c:pt>
                <c:pt idx="89">
                  <c:v>5500.7262030489201</c:v>
                </c:pt>
              </c:numCache>
            </c:numRef>
          </c:yVal>
          <c:smooth val="0"/>
          <c:extLst>
            <c:ext xmlns:c16="http://schemas.microsoft.com/office/drawing/2014/chart" uri="{C3380CC4-5D6E-409C-BE32-E72D297353CC}">
              <c16:uniqueId val="{00000001-16D0-4D82-93F1-A912FB13B5BF}"/>
            </c:ext>
          </c:extLst>
        </c:ser>
        <c:ser>
          <c:idx val="3"/>
          <c:order val="1"/>
          <c:tx>
            <c:strRef>
              <c:f>'Retrospective Run1'!$FV$13</c:f>
              <c:strCache>
                <c:ptCount val="1"/>
                <c:pt idx="0">
                  <c:v>Total TH recruits after predation</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Run1'!$FV$14:$FV$103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4357.5062337728896</c:v>
                </c:pt>
                <c:pt idx="28">
                  <c:v>4284.7025460954892</c:v>
                </c:pt>
                <c:pt idx="29">
                  <c:v>5259.3017902753045</c:v>
                </c:pt>
                <c:pt idx="30">
                  <c:v>4481.7015029431932</c:v>
                </c:pt>
                <c:pt idx="31">
                  <c:v>4981.1066850407142</c:v>
                </c:pt>
                <c:pt idx="32">
                  <c:v>4562.5743487107056</c:v>
                </c:pt>
                <c:pt idx="33">
                  <c:v>4436.2526827366319</c:v>
                </c:pt>
                <c:pt idx="34">
                  <c:v>5180.1224285888547</c:v>
                </c:pt>
                <c:pt idx="35">
                  <c:v>5744.8879676221568</c:v>
                </c:pt>
                <c:pt idx="36">
                  <c:v>2573.1027431924617</c:v>
                </c:pt>
                <c:pt idx="37">
                  <c:v>3682.2445280861252</c:v>
                </c:pt>
                <c:pt idx="38">
                  <c:v>3782.1860881340417</c:v>
                </c:pt>
                <c:pt idx="39">
                  <c:v>2978.4117276662532</c:v>
                </c:pt>
                <c:pt idx="40">
                  <c:v>955.71486068361139</c:v>
                </c:pt>
                <c:pt idx="41">
                  <c:v>3009.4814417510079</c:v>
                </c:pt>
                <c:pt idx="42">
                  <c:v>2817.3279368338481</c:v>
                </c:pt>
                <c:pt idx="43">
                  <c:v>2349.2936277424515</c:v>
                </c:pt>
                <c:pt idx="44">
                  <c:v>2482.6174786690949</c:v>
                </c:pt>
                <c:pt idx="45">
                  <c:v>4647.4564742452385</c:v>
                </c:pt>
                <c:pt idx="46">
                  <c:v>4407.8043498630723</c:v>
                </c:pt>
                <c:pt idx="47">
                  <c:v>3179.5168707997786</c:v>
                </c:pt>
                <c:pt idx="48">
                  <c:v>4501.411557918922</c:v>
                </c:pt>
                <c:pt idx="49">
                  <c:v>3471.2210166413638</c:v>
                </c:pt>
                <c:pt idx="50">
                  <c:v>2011.5668810758498</c:v>
                </c:pt>
                <c:pt idx="51">
                  <c:v>1673.1603392676438</c:v>
                </c:pt>
                <c:pt idx="52">
                  <c:v>2491.0381581592455</c:v>
                </c:pt>
                <c:pt idx="53">
                  <c:v>2302.5084190036478</c:v>
                </c:pt>
                <c:pt idx="54">
                  <c:v>3078.2209930523122</c:v>
                </c:pt>
                <c:pt idx="55">
                  <c:v>5410.2826972350476</c:v>
                </c:pt>
                <c:pt idx="56">
                  <c:v>4732.4100991700025</c:v>
                </c:pt>
                <c:pt idx="57">
                  <c:v>3963.4845442184478</c:v>
                </c:pt>
                <c:pt idx="58">
                  <c:v>4545.5794544513374</c:v>
                </c:pt>
                <c:pt idx="59">
                  <c:v>4091.6321424450362</c:v>
                </c:pt>
                <c:pt idx="60">
                  <c:v>1121.2208860331029</c:v>
                </c:pt>
                <c:pt idx="61">
                  <c:v>1123.4667134039282</c:v>
                </c:pt>
                <c:pt idx="62">
                  <c:v>1588.1995796206211</c:v>
                </c:pt>
                <c:pt idx="63">
                  <c:v>1306.9240186960135</c:v>
                </c:pt>
                <c:pt idx="64">
                  <c:v>2114.2594239452983</c:v>
                </c:pt>
                <c:pt idx="65">
                  <c:v>3598.8654990216883</c:v>
                </c:pt>
                <c:pt idx="66">
                  <c:v>2707.3095921359259</c:v>
                </c:pt>
                <c:pt idx="67">
                  <c:v>3258.6638747637412</c:v>
                </c:pt>
                <c:pt idx="68">
                  <c:v>3600.4663819351358</c:v>
                </c:pt>
                <c:pt idx="69">
                  <c:v>3258.28427488942</c:v>
                </c:pt>
                <c:pt idx="70">
                  <c:v>2034.6564035189831</c:v>
                </c:pt>
                <c:pt idx="71">
                  <c:v>2586.1925510557617</c:v>
                </c:pt>
                <c:pt idx="72">
                  <c:v>2282.1179516425864</c:v>
                </c:pt>
                <c:pt idx="73">
                  <c:v>1780.5451435093075</c:v>
                </c:pt>
                <c:pt idx="74">
                  <c:v>2007.9824818603558</c:v>
                </c:pt>
                <c:pt idx="75">
                  <c:v>3038.3166567911635</c:v>
                </c:pt>
                <c:pt idx="76">
                  <c:v>2737.881250216381</c:v>
                </c:pt>
                <c:pt idx="77">
                  <c:v>2955.5660865753111</c:v>
                </c:pt>
                <c:pt idx="78">
                  <c:v>3354.9050507959964</c:v>
                </c:pt>
                <c:pt idx="79">
                  <c:v>3218.1497978144857</c:v>
                </c:pt>
                <c:pt idx="80">
                  <c:v>2354.7748104031307</c:v>
                </c:pt>
                <c:pt idx="81">
                  <c:v>2473.7990280334657</c:v>
                </c:pt>
                <c:pt idx="82">
                  <c:v>2304.5803955045139</c:v>
                </c:pt>
                <c:pt idx="83">
                  <c:v>1967.3917673629624</c:v>
                </c:pt>
                <c:pt idx="84">
                  <c:v>2056.2293767458723</c:v>
                </c:pt>
                <c:pt idx="85">
                  <c:v>2783.1477355996813</c:v>
                </c:pt>
                <c:pt idx="86">
                  <c:v>2794.0418088416823</c:v>
                </c:pt>
                <c:pt idx="87">
                  <c:v>2941.0590552811514</c:v>
                </c:pt>
                <c:pt idx="88">
                  <c:v>3222.4549880443751</c:v>
                </c:pt>
                <c:pt idx="89">
                  <c:v>3170.0535062359895</c:v>
                </c:pt>
              </c:numCache>
            </c:numRef>
          </c:yVal>
          <c:smooth val="0"/>
          <c:extLst>
            <c:ext xmlns:c16="http://schemas.microsoft.com/office/drawing/2014/chart" uri="{C3380CC4-5D6E-409C-BE32-E72D297353CC}">
              <c16:uniqueId val="{00000000-4143-4253-824F-9534CCD61C0B}"/>
            </c:ext>
          </c:extLst>
        </c:ser>
        <c:ser>
          <c:idx val="0"/>
          <c:order val="2"/>
          <c:tx>
            <c:strRef>
              <c:f>'Retrospective Run1'!$FT$13</c:f>
              <c:strCache>
                <c:ptCount val="1"/>
                <c:pt idx="0">
                  <c:v>TH brood year spawners</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Run1'!$FT$14:$FT$103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1201.0252263707753</c:v>
                </c:pt>
                <c:pt idx="32">
                  <c:v>1612.2260563544783</c:v>
                </c:pt>
                <c:pt idx="33">
                  <c:v>1693.2735781899796</c:v>
                </c:pt>
                <c:pt idx="34">
                  <c:v>1639.3712095022393</c:v>
                </c:pt>
                <c:pt idx="35">
                  <c:v>1403.440875607791</c:v>
                </c:pt>
                <c:pt idx="36">
                  <c:v>2692.661441415818</c:v>
                </c:pt>
                <c:pt idx="37">
                  <c:v>2098.9193734665591</c:v>
                </c:pt>
                <c:pt idx="38">
                  <c:v>2258.6147729155255</c:v>
                </c:pt>
                <c:pt idx="39">
                  <c:v>2669.9525628168826</c:v>
                </c:pt>
                <c:pt idx="40">
                  <c:v>4601.9982003532741</c:v>
                </c:pt>
                <c:pt idx="41">
                  <c:v>2516.4269114885201</c:v>
                </c:pt>
                <c:pt idx="42">
                  <c:v>2926.9553237856589</c:v>
                </c:pt>
                <c:pt idx="43">
                  <c:v>3242.4848794679842</c:v>
                </c:pt>
                <c:pt idx="44">
                  <c:v>2535.1623011702495</c:v>
                </c:pt>
                <c:pt idx="45">
                  <c:v>1029.4139733222439</c:v>
                </c:pt>
                <c:pt idx="46">
                  <c:v>2351.3882760260117</c:v>
                </c:pt>
                <c:pt idx="47">
                  <c:v>2400.4306807017247</c:v>
                </c:pt>
                <c:pt idx="48">
                  <c:v>2057.3005116908507</c:v>
                </c:pt>
                <c:pt idx="49">
                  <c:v>2101.4395022494741</c:v>
                </c:pt>
                <c:pt idx="50">
                  <c:v>3486.2566641516341</c:v>
                </c:pt>
                <c:pt idx="51">
                  <c:v>3383.278090237482</c:v>
                </c:pt>
                <c:pt idx="52">
                  <c:v>2647.3357020662024</c:v>
                </c:pt>
                <c:pt idx="53">
                  <c:v>3508.8181463041624</c:v>
                </c:pt>
                <c:pt idx="54">
                  <c:v>2886.9941686946245</c:v>
                </c:pt>
                <c:pt idx="55">
                  <c:v>1794.5435603822416</c:v>
                </c:pt>
                <c:pt idx="56">
                  <c:v>1488.035607863708</c:v>
                </c:pt>
                <c:pt idx="57">
                  <c:v>2006.2505899539965</c:v>
                </c:pt>
                <c:pt idx="58">
                  <c:v>1937.4553194866126</c:v>
                </c:pt>
                <c:pt idx="59">
                  <c:v>2437.1119431284528</c:v>
                </c:pt>
                <c:pt idx="60">
                  <c:v>4242.1046257855824</c:v>
                </c:pt>
                <c:pt idx="61">
                  <c:v>3810.8322744251304</c:v>
                </c:pt>
                <c:pt idx="62">
                  <c:v>3273.4743606555303</c:v>
                </c:pt>
                <c:pt idx="63">
                  <c:v>3575.755550414251</c:v>
                </c:pt>
                <c:pt idx="64">
                  <c:v>3315.4838651111741</c:v>
                </c:pt>
                <c:pt idx="65">
                  <c:v>1242.0614939711136</c:v>
                </c:pt>
                <c:pt idx="66">
                  <c:v>1002.5913322914854</c:v>
                </c:pt>
                <c:pt idx="67">
                  <c:v>1331.3879606540249</c:v>
                </c:pt>
                <c:pt idx="68">
                  <c:v>1194.8585045955601</c:v>
                </c:pt>
                <c:pt idx="69">
                  <c:v>1887.1371581109645</c:v>
                </c:pt>
                <c:pt idx="70">
                  <c:v>3082.4115975508485</c:v>
                </c:pt>
                <c:pt idx="71">
                  <c:v>2547.1214163147806</c:v>
                </c:pt>
                <c:pt idx="72">
                  <c:v>2836.284173709636</c:v>
                </c:pt>
                <c:pt idx="73">
                  <c:v>3352.7604964533411</c:v>
                </c:pt>
                <c:pt idx="74">
                  <c:v>3109.8213900859387</c:v>
                </c:pt>
                <c:pt idx="75">
                  <c:v>2116.7758923149349</c:v>
                </c:pt>
                <c:pt idx="76">
                  <c:v>2404.7848812449688</c:v>
                </c:pt>
                <c:pt idx="77">
                  <c:v>2197.7920679936715</c:v>
                </c:pt>
                <c:pt idx="78">
                  <c:v>1773.855203070611</c:v>
                </c:pt>
                <c:pt idx="79">
                  <c:v>1931.3009135440152</c:v>
                </c:pt>
                <c:pt idx="80">
                  <c:v>2766.2383720301682</c:v>
                </c:pt>
                <c:pt idx="81">
                  <c:v>2652.967414397157</c:v>
                </c:pt>
                <c:pt idx="82">
                  <c:v>2814.5426893466542</c:v>
                </c:pt>
                <c:pt idx="83">
                  <c:v>3151.9251940330541</c:v>
                </c:pt>
                <c:pt idx="84">
                  <c:v>3060.3861576252002</c:v>
                </c:pt>
                <c:pt idx="85">
                  <c:v>2362.1781012777387</c:v>
                </c:pt>
                <c:pt idx="86">
                  <c:v>2351.9022134863462</c:v>
                </c:pt>
                <c:pt idx="87">
                  <c:v>2211.8151878806498</c:v>
                </c:pt>
                <c:pt idx="88">
                  <c:v>1926.6268891738553</c:v>
                </c:pt>
                <c:pt idx="89">
                  <c:v>1982.6214825252523</c:v>
                </c:pt>
              </c:numCache>
            </c:numRef>
          </c:yVal>
          <c:smooth val="0"/>
          <c:extLst>
            <c:ext xmlns:c16="http://schemas.microsoft.com/office/drawing/2014/chart" uri="{C3380CC4-5D6E-409C-BE32-E72D297353CC}">
              <c16:uniqueId val="{00000000-16D0-4D82-93F1-A912FB13B5BF}"/>
            </c:ext>
          </c:extLst>
        </c:ser>
        <c:ser>
          <c:idx val="2"/>
          <c:order val="3"/>
          <c:tx>
            <c:strRef>
              <c:f>'Retrospective Run1'!$FW$13</c:f>
              <c:strCache>
                <c:ptCount val="1"/>
                <c:pt idx="0">
                  <c:v>Total TH run killed by predators</c:v>
                </c:pt>
              </c:strCache>
            </c:strRef>
          </c:tx>
          <c:spPr>
            <a:ln w="19050" cap="rnd">
              <a:solidFill>
                <a:srgbClr val="FF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Run1'!$FW$14:$FW$103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3203.7064312221646</c:v>
                </c:pt>
                <c:pt idx="28">
                  <c:v>3150.1800264585791</c:v>
                </c:pt>
                <c:pt idx="29">
                  <c:v>3866.720565687986</c:v>
                </c:pt>
                <c:pt idx="30">
                  <c:v>3295.0167268872538</c:v>
                </c:pt>
                <c:pt idx="31">
                  <c:v>3662.1871927080711</c:v>
                </c:pt>
                <c:pt idx="32">
                  <c:v>3354.4757023187776</c:v>
                </c:pt>
                <c:pt idx="33">
                  <c:v>3261.6020466146929</c:v>
                </c:pt>
                <c:pt idx="34">
                  <c:v>3808.5066661210985</c:v>
                </c:pt>
                <c:pt idx="35">
                  <c:v>4223.7310840485607</c:v>
                </c:pt>
                <c:pt idx="36">
                  <c:v>1891.7852010560614</c:v>
                </c:pt>
                <c:pt idx="37">
                  <c:v>2707.2435111006175</c:v>
                </c:pt>
                <c:pt idx="38">
                  <c:v>2780.7221021787682</c:v>
                </c:pt>
                <c:pt idx="39">
                  <c:v>2189.7746772676714</c:v>
                </c:pt>
                <c:pt idx="40">
                  <c:v>702.65644644543352</c:v>
                </c:pt>
                <c:pt idx="41">
                  <c:v>2212.617614830925</c:v>
                </c:pt>
                <c:pt idx="42">
                  <c:v>2071.3433661072531</c:v>
                </c:pt>
                <c:pt idx="43">
                  <c:v>1727.2372545778476</c:v>
                </c:pt>
                <c:pt idx="44">
                  <c:v>1825.2590256859453</c:v>
                </c:pt>
                <c:pt idx="45">
                  <c:v>3416.8823626611402</c:v>
                </c:pt>
                <c:pt idx="46">
                  <c:v>3240.6863893338841</c:v>
                </c:pt>
                <c:pt idx="47">
                  <c:v>2337.6303097886798</c:v>
                </c:pt>
                <c:pt idx="48">
                  <c:v>3309.5078661990192</c:v>
                </c:pt>
                <c:pt idx="49">
                  <c:v>2552.0957397641409</c:v>
                </c:pt>
                <c:pt idx="50">
                  <c:v>1478.9352918851373</c:v>
                </c:pt>
                <c:pt idx="51">
                  <c:v>1230.1335332196304</c:v>
                </c:pt>
                <c:pt idx="52">
                  <c:v>1831.4500403605243</c:v>
                </c:pt>
                <c:pt idx="53">
                  <c:v>1692.8400406482642</c:v>
                </c:pt>
                <c:pt idx="54">
                  <c:v>2263.1560032505422</c:v>
                </c:pt>
                <c:pt idx="55">
                  <c:v>3977.7240793191968</c:v>
                </c:pt>
                <c:pt idx="56">
                  <c:v>3479.3415904684762</c:v>
                </c:pt>
                <c:pt idx="57">
                  <c:v>2914.0155499830553</c:v>
                </c:pt>
                <c:pt idx="58">
                  <c:v>3341.9807914418425</c:v>
                </c:pt>
                <c:pt idx="59">
                  <c:v>3008.2316595097027</c:v>
                </c:pt>
                <c:pt idx="60">
                  <c:v>824.33905327881234</c:v>
                </c:pt>
                <c:pt idx="61">
                  <c:v>825.99022053029262</c:v>
                </c:pt>
                <c:pt idx="62">
                  <c:v>1167.669059853401</c:v>
                </c:pt>
                <c:pt idx="63">
                  <c:v>960.87088788622918</c:v>
                </c:pt>
                <c:pt idx="64">
                  <c:v>1554.4364483676031</c:v>
                </c:pt>
                <c:pt idx="65">
                  <c:v>2645.9419506868953</c:v>
                </c:pt>
                <c:pt idx="66">
                  <c:v>1990.4561660547647</c:v>
                </c:pt>
                <c:pt idx="67">
                  <c:v>2395.8204194541745</c:v>
                </c:pt>
                <c:pt idx="68">
                  <c:v>2647.1189447312659</c:v>
                </c:pt>
                <c:pt idx="69">
                  <c:v>2395.5413317160483</c:v>
                </c:pt>
                <c:pt idx="70">
                  <c:v>1495.9110682986266</c:v>
                </c:pt>
                <c:pt idx="71">
                  <c:v>1901.4090316108154</c:v>
                </c:pt>
                <c:pt idx="72">
                  <c:v>1677.8486515565046</c:v>
                </c:pt>
                <c:pt idx="73">
                  <c:v>1309.0845133233763</c:v>
                </c:pt>
                <c:pt idx="74">
                  <c:v>1476.2999857713455</c:v>
                </c:pt>
                <c:pt idx="75">
                  <c:v>2233.817713904527</c:v>
                </c:pt>
                <c:pt idx="76">
                  <c:v>2012.9329250887231</c:v>
                </c:pt>
                <c:pt idx="77">
                  <c:v>2172.9782062216459</c:v>
                </c:pt>
                <c:pt idx="78">
                  <c:v>2466.5784305875186</c:v>
                </c:pt>
                <c:pt idx="79">
                  <c:v>2366.0338392603503</c:v>
                </c:pt>
                <c:pt idx="80">
                  <c:v>1731.2671054142324</c:v>
                </c:pt>
                <c:pt idx="81">
                  <c:v>1818.775563471751</c:v>
                </c:pt>
                <c:pt idx="82">
                  <c:v>1694.3633900332225</c:v>
                </c:pt>
                <c:pt idx="83">
                  <c:v>1446.4570604588541</c:v>
                </c:pt>
                <c:pt idx="84">
                  <c:v>1511.7718541150425</c:v>
                </c:pt>
                <c:pt idx="85">
                  <c:v>2046.2135499601955</c:v>
                </c:pt>
                <c:pt idx="86">
                  <c:v>2054.2230422328862</c:v>
                </c:pt>
                <c:pt idx="87">
                  <c:v>2162.3124109337755</c:v>
                </c:pt>
                <c:pt idx="88">
                  <c:v>2369.1990821509366</c:v>
                </c:pt>
                <c:pt idx="89">
                  <c:v>2330.6726968129306</c:v>
                </c:pt>
              </c:numCache>
            </c:numRef>
          </c:yVal>
          <c:smooth val="0"/>
          <c:extLst>
            <c:ext xmlns:c16="http://schemas.microsoft.com/office/drawing/2014/chart" uri="{C3380CC4-5D6E-409C-BE32-E72D297353CC}">
              <c16:uniqueId val="{00000002-16D0-4D82-93F1-A912FB13B5BF}"/>
            </c:ext>
          </c:extLst>
        </c:ser>
        <c:dLbls>
          <c:showLegendKey val="0"/>
          <c:showVal val="0"/>
          <c:showCatName val="0"/>
          <c:showSerName val="0"/>
          <c:showPercent val="0"/>
          <c:showBubbleSize val="0"/>
        </c:dLbls>
        <c:axId val="1298096159"/>
        <c:axId val="1298096575"/>
      </c:scatterChart>
      <c:valAx>
        <c:axId val="1298096159"/>
        <c:scaling>
          <c:orientation val="minMax"/>
          <c:max val="2020"/>
          <c:min val="197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majorUnit val="10"/>
      </c:valAx>
      <c:valAx>
        <c:axId val="1298096575"/>
        <c:scaling>
          <c:orientation val="minMax"/>
          <c:max val="10000"/>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Thompson</a:t>
                </a:r>
                <a:r>
                  <a:rPr lang="en-US" baseline="0"/>
                  <a:t> Steelhead</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2000"/>
      </c:valAx>
      <c:spPr>
        <a:noFill/>
        <a:ln>
          <a:noFill/>
        </a:ln>
        <a:effectLst/>
      </c:spPr>
    </c:plotArea>
    <c:legend>
      <c:legendPos val="r"/>
      <c:layout>
        <c:manualLayout>
          <c:xMode val="edge"/>
          <c:yMode val="edge"/>
          <c:x val="0.28803123349541698"/>
          <c:y val="3.4184830939421214E-2"/>
          <c:w val="0.63978423616097957"/>
          <c:h val="0.2667374240459454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2456454306849"/>
          <c:y val="0.32808956314703142"/>
          <c:w val="0.61000313171080889"/>
          <c:h val="0.4663394830861699"/>
        </c:manualLayout>
      </c:layout>
      <c:scatterChart>
        <c:scatterStyle val="lineMarker"/>
        <c:varyColors val="0"/>
        <c:ser>
          <c:idx val="1"/>
          <c:order val="0"/>
          <c:tx>
            <c:strRef>
              <c:f>'Retrospective Run1'!$FK$13</c:f>
              <c:strCache>
                <c:ptCount val="1"/>
                <c:pt idx="0">
                  <c:v>Steller sea lion abundance</c:v>
                </c:pt>
              </c:strCache>
            </c:strRef>
          </c:tx>
          <c:spPr>
            <a:ln w="28575" cap="rnd">
              <a:solidFill>
                <a:srgbClr val="FF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Run1'!$FK$14:$FK$103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pt idx="66">
                  <c:v>7775.0525071201791</c:v>
                </c:pt>
                <c:pt idx="67">
                  <c:v>7775.0525071201791</c:v>
                </c:pt>
                <c:pt idx="68">
                  <c:v>7775.0525071201791</c:v>
                </c:pt>
                <c:pt idx="69">
                  <c:v>7775.0525071201791</c:v>
                </c:pt>
                <c:pt idx="70">
                  <c:v>7775.0525071201791</c:v>
                </c:pt>
                <c:pt idx="71">
                  <c:v>7775.0525071201791</c:v>
                </c:pt>
                <c:pt idx="72">
                  <c:v>7775.0525071201791</c:v>
                </c:pt>
                <c:pt idx="73">
                  <c:v>7775.0525071201791</c:v>
                </c:pt>
                <c:pt idx="74">
                  <c:v>7775.0525071201791</c:v>
                </c:pt>
                <c:pt idx="75">
                  <c:v>7775.0525071201791</c:v>
                </c:pt>
                <c:pt idx="76">
                  <c:v>7775.0525071201791</c:v>
                </c:pt>
                <c:pt idx="77">
                  <c:v>7775.0525071201791</c:v>
                </c:pt>
                <c:pt idx="78">
                  <c:v>7775.0525071201791</c:v>
                </c:pt>
                <c:pt idx="79">
                  <c:v>7775.0525071201791</c:v>
                </c:pt>
                <c:pt idx="80">
                  <c:v>7775.0525071201791</c:v>
                </c:pt>
                <c:pt idx="81">
                  <c:v>7775.0525071201791</c:v>
                </c:pt>
                <c:pt idx="82">
                  <c:v>7775.0525071201791</c:v>
                </c:pt>
                <c:pt idx="83">
                  <c:v>7775.0525071201791</c:v>
                </c:pt>
                <c:pt idx="84">
                  <c:v>7775.0525071201791</c:v>
                </c:pt>
                <c:pt idx="85">
                  <c:v>7775.0525071201791</c:v>
                </c:pt>
                <c:pt idx="86">
                  <c:v>7775.0525071201791</c:v>
                </c:pt>
                <c:pt idx="87">
                  <c:v>7775.0525071201791</c:v>
                </c:pt>
                <c:pt idx="88">
                  <c:v>7775.0525071201791</c:v>
                </c:pt>
                <c:pt idx="89">
                  <c:v>7775.0525071201791</c:v>
                </c:pt>
              </c:numCache>
            </c:numRef>
          </c:yVal>
          <c:smooth val="0"/>
          <c:extLst>
            <c:ext xmlns:c16="http://schemas.microsoft.com/office/drawing/2014/chart" uri="{C3380CC4-5D6E-409C-BE32-E72D297353CC}">
              <c16:uniqueId val="{00000000-8C83-4625-B90D-514CD915E40D}"/>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1"/>
          <c:tx>
            <c:strRef>
              <c:f>'Retrospective Run1'!$FX$13</c:f>
              <c:strCache>
                <c:ptCount val="1"/>
                <c:pt idx="0">
                  <c:v>Fraction of Thompson run killed by predators</c:v>
                </c:pt>
              </c:strCache>
            </c:strRef>
          </c:tx>
          <c:spPr>
            <a:ln w="38100" cap="rnd">
              <a:solidFill>
                <a:schemeClr val="accent3"/>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Run1'!$FX$14:$FX$103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0.42370272774549189</c:v>
                </c:pt>
                <c:pt idx="28" formatCode="0%">
                  <c:v>0.42370272774549195</c:v>
                </c:pt>
                <c:pt idx="29" formatCode="0%">
                  <c:v>0.42370272774549184</c:v>
                </c:pt>
                <c:pt idx="30" formatCode="0%">
                  <c:v>0.42370272774549195</c:v>
                </c:pt>
                <c:pt idx="31" formatCode="0%">
                  <c:v>0.42370272774549195</c:v>
                </c:pt>
                <c:pt idx="32" formatCode="0%">
                  <c:v>0.42370272774549189</c:v>
                </c:pt>
                <c:pt idx="33" formatCode="0%">
                  <c:v>0.42370272774549206</c:v>
                </c:pt>
                <c:pt idx="34" formatCode="0%">
                  <c:v>0.42370272774549189</c:v>
                </c:pt>
                <c:pt idx="35" formatCode="0%">
                  <c:v>0.42370272774549178</c:v>
                </c:pt>
                <c:pt idx="36" formatCode="0%">
                  <c:v>0.423702727745492</c:v>
                </c:pt>
                <c:pt idx="37" formatCode="0%">
                  <c:v>0.42370272774549195</c:v>
                </c:pt>
                <c:pt idx="38" formatCode="0%">
                  <c:v>0.423702727745492</c:v>
                </c:pt>
                <c:pt idx="39" formatCode="0%">
                  <c:v>0.42370272774549195</c:v>
                </c:pt>
                <c:pt idx="40" formatCode="0%">
                  <c:v>0.42370272774549206</c:v>
                </c:pt>
                <c:pt idx="41" formatCode="0%">
                  <c:v>0.42370272774549195</c:v>
                </c:pt>
                <c:pt idx="42" formatCode="0%">
                  <c:v>0.423702727745492</c:v>
                </c:pt>
                <c:pt idx="43" formatCode="0%">
                  <c:v>0.42370272774549189</c:v>
                </c:pt>
                <c:pt idx="44" formatCode="0%">
                  <c:v>0.423702727745492</c:v>
                </c:pt>
                <c:pt idx="45" formatCode="0%">
                  <c:v>0.42370272774549189</c:v>
                </c:pt>
                <c:pt idx="46" formatCode="0%">
                  <c:v>0.42370272774549189</c:v>
                </c:pt>
                <c:pt idx="47" formatCode="0%">
                  <c:v>0.42370272774549189</c:v>
                </c:pt>
                <c:pt idx="48" formatCode="0%">
                  <c:v>0.423702727745492</c:v>
                </c:pt>
                <c:pt idx="49" formatCode="0%">
                  <c:v>0.42370272774549189</c:v>
                </c:pt>
                <c:pt idx="50" formatCode="0%">
                  <c:v>0.423702727745492</c:v>
                </c:pt>
                <c:pt idx="51" formatCode="0%">
                  <c:v>0.42370272774549189</c:v>
                </c:pt>
                <c:pt idx="52" formatCode="0%">
                  <c:v>0.423702727745492</c:v>
                </c:pt>
                <c:pt idx="53" formatCode="0%">
                  <c:v>0.42370272774549184</c:v>
                </c:pt>
                <c:pt idx="54" formatCode="0%">
                  <c:v>0.423702727745492</c:v>
                </c:pt>
                <c:pt idx="55" formatCode="0%">
                  <c:v>0.423702727745492</c:v>
                </c:pt>
                <c:pt idx="56" formatCode="0%">
                  <c:v>0.423702727745492</c:v>
                </c:pt>
                <c:pt idx="57" formatCode="0%">
                  <c:v>0.42370272774549206</c:v>
                </c:pt>
                <c:pt idx="58" formatCode="0%">
                  <c:v>0.42370272774549184</c:v>
                </c:pt>
                <c:pt idx="59" formatCode="0%">
                  <c:v>0.42370272774549206</c:v>
                </c:pt>
                <c:pt idx="60" formatCode="0%">
                  <c:v>0.423702727745492</c:v>
                </c:pt>
                <c:pt idx="61" formatCode="0%">
                  <c:v>0.42370272774549195</c:v>
                </c:pt>
                <c:pt idx="62" formatCode="0%">
                  <c:v>0.423702727745492</c:v>
                </c:pt>
                <c:pt idx="63" formatCode="0%">
                  <c:v>0.42370272774549189</c:v>
                </c:pt>
                <c:pt idx="64" formatCode="0%">
                  <c:v>0.42370272774549189</c:v>
                </c:pt>
                <c:pt idx="65" formatCode="0%">
                  <c:v>0.42370272774549184</c:v>
                </c:pt>
                <c:pt idx="66" formatCode="0%">
                  <c:v>0.42370272774549195</c:v>
                </c:pt>
                <c:pt idx="67" formatCode="0%">
                  <c:v>0.42370272774549206</c:v>
                </c:pt>
                <c:pt idx="68" formatCode="0%">
                  <c:v>0.42370272774549211</c:v>
                </c:pt>
                <c:pt idx="69" formatCode="0%">
                  <c:v>0.42370272774549206</c:v>
                </c:pt>
                <c:pt idx="70" formatCode="0%">
                  <c:v>0.42370272774549195</c:v>
                </c:pt>
                <c:pt idx="71" formatCode="0%">
                  <c:v>0.42370272774549195</c:v>
                </c:pt>
                <c:pt idx="72" formatCode="0%">
                  <c:v>0.42370272774549184</c:v>
                </c:pt>
                <c:pt idx="73" formatCode="0%">
                  <c:v>0.42370272774549195</c:v>
                </c:pt>
                <c:pt idx="74" formatCode="0%">
                  <c:v>0.42370272774549189</c:v>
                </c:pt>
                <c:pt idx="75" formatCode="0%">
                  <c:v>0.423702727745492</c:v>
                </c:pt>
                <c:pt idx="76" formatCode="0%">
                  <c:v>0.42370272774549211</c:v>
                </c:pt>
                <c:pt idx="77" formatCode="0%">
                  <c:v>0.423702727745492</c:v>
                </c:pt>
                <c:pt idx="78" formatCode="0%">
                  <c:v>0.42370272774549206</c:v>
                </c:pt>
                <c:pt idx="79" formatCode="0%">
                  <c:v>0.42370272774549195</c:v>
                </c:pt>
                <c:pt idx="80" formatCode="0%">
                  <c:v>0.42370272774549195</c:v>
                </c:pt>
                <c:pt idx="81" formatCode="0%">
                  <c:v>0.42370272774549189</c:v>
                </c:pt>
                <c:pt idx="82" formatCode="0%">
                  <c:v>0.42370272774549195</c:v>
                </c:pt>
                <c:pt idx="83" formatCode="0%">
                  <c:v>0.423702727745492</c:v>
                </c:pt>
                <c:pt idx="84" formatCode="0%">
                  <c:v>0.423702727745492</c:v>
                </c:pt>
                <c:pt idx="85" formatCode="0%">
                  <c:v>0.42370272774549195</c:v>
                </c:pt>
                <c:pt idx="86" formatCode="0%">
                  <c:v>0.423702727745492</c:v>
                </c:pt>
                <c:pt idx="87" formatCode="0%">
                  <c:v>0.423702727745492</c:v>
                </c:pt>
                <c:pt idx="88" formatCode="0%">
                  <c:v>0.42370272774549206</c:v>
                </c:pt>
                <c:pt idx="89" formatCode="0%">
                  <c:v>0.423702727745492</c:v>
                </c:pt>
              </c:numCache>
            </c:numRef>
          </c:yVal>
          <c:smooth val="0"/>
          <c:extLst>
            <c:ext xmlns:c16="http://schemas.microsoft.com/office/drawing/2014/chart" uri="{C3380CC4-5D6E-409C-BE32-E72D297353CC}">
              <c16:uniqueId val="{00000001-8C83-4625-B90D-514CD915E40D}"/>
            </c:ext>
          </c:extLst>
        </c:ser>
        <c:ser>
          <c:idx val="2"/>
          <c:order val="2"/>
          <c:tx>
            <c:strRef>
              <c:f>'Retrospective Run1'!$GH$13</c:f>
              <c:strCache>
                <c:ptCount val="1"/>
                <c:pt idx="0">
                  <c:v>Fraction of Chilcotin run killed by predators</c:v>
                </c:pt>
              </c:strCache>
            </c:strRef>
          </c:tx>
          <c:spPr>
            <a:ln w="19050" cap="rnd">
              <a:solidFill>
                <a:schemeClr val="tx1"/>
              </a:solidFill>
              <a:prstDash val="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Run1'!$GH$14:$GH$103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0.33385968150399925</c:v>
                </c:pt>
                <c:pt idx="23">
                  <c:v>0.34620587010468978</c:v>
                </c:pt>
                <c:pt idx="24">
                  <c:v>0.35879310736583048</c:v>
                </c:pt>
                <c:pt idx="25">
                  <c:v>0.37162031826367875</c:v>
                </c:pt>
                <c:pt idx="26">
                  <c:v>0.38468597235827462</c:v>
                </c:pt>
                <c:pt idx="27">
                  <c:v>0.39798804775917174</c:v>
                </c:pt>
                <c:pt idx="28">
                  <c:v>0.39798804775917168</c:v>
                </c:pt>
                <c:pt idx="29">
                  <c:v>0.39798804775917163</c:v>
                </c:pt>
                <c:pt idx="30">
                  <c:v>0.39798804775917163</c:v>
                </c:pt>
                <c:pt idx="31">
                  <c:v>0.39798804775917168</c:v>
                </c:pt>
                <c:pt idx="32">
                  <c:v>0.39798804775917174</c:v>
                </c:pt>
                <c:pt idx="33">
                  <c:v>0.39798804775917185</c:v>
                </c:pt>
                <c:pt idx="34">
                  <c:v>0.39798804775917174</c:v>
                </c:pt>
                <c:pt idx="35">
                  <c:v>0.39798804775917168</c:v>
                </c:pt>
                <c:pt idx="36">
                  <c:v>0.39798804775917179</c:v>
                </c:pt>
                <c:pt idx="37">
                  <c:v>0.39798804775917168</c:v>
                </c:pt>
                <c:pt idx="38">
                  <c:v>0.39798804775917185</c:v>
                </c:pt>
                <c:pt idx="39">
                  <c:v>0.39798804775917168</c:v>
                </c:pt>
                <c:pt idx="40">
                  <c:v>0.39798804775917179</c:v>
                </c:pt>
                <c:pt idx="41">
                  <c:v>0.39798804775917179</c:v>
                </c:pt>
                <c:pt idx="42">
                  <c:v>0.39798804775917168</c:v>
                </c:pt>
                <c:pt idx="43">
                  <c:v>0.39798804775917163</c:v>
                </c:pt>
                <c:pt idx="44">
                  <c:v>0.39798804775917174</c:v>
                </c:pt>
                <c:pt idx="45">
                  <c:v>0.39798804775917174</c:v>
                </c:pt>
                <c:pt idx="46">
                  <c:v>0.39798804775917185</c:v>
                </c:pt>
                <c:pt idx="47">
                  <c:v>0.39798804775917163</c:v>
                </c:pt>
                <c:pt idx="48">
                  <c:v>0.39798804775917179</c:v>
                </c:pt>
                <c:pt idx="49">
                  <c:v>0.39798804775917179</c:v>
                </c:pt>
                <c:pt idx="50">
                  <c:v>0.39798804775917174</c:v>
                </c:pt>
                <c:pt idx="51">
                  <c:v>0.39798804775917168</c:v>
                </c:pt>
                <c:pt idx="52">
                  <c:v>0.39798804775917168</c:v>
                </c:pt>
                <c:pt idx="53">
                  <c:v>0.39798804775917174</c:v>
                </c:pt>
                <c:pt idx="54">
                  <c:v>0.39798804775917179</c:v>
                </c:pt>
                <c:pt idx="55">
                  <c:v>0.39798804775917174</c:v>
                </c:pt>
                <c:pt idx="56">
                  <c:v>0.39798804775917179</c:v>
                </c:pt>
                <c:pt idx="57">
                  <c:v>0.39798804775917185</c:v>
                </c:pt>
                <c:pt idx="58">
                  <c:v>0.39798804775917179</c:v>
                </c:pt>
                <c:pt idx="59">
                  <c:v>0.39798804775917174</c:v>
                </c:pt>
                <c:pt idx="60">
                  <c:v>0.39798804775917174</c:v>
                </c:pt>
                <c:pt idx="61">
                  <c:v>0.39798804775917163</c:v>
                </c:pt>
                <c:pt idx="62">
                  <c:v>0.39798804775917179</c:v>
                </c:pt>
                <c:pt idx="63">
                  <c:v>0.39798804775917174</c:v>
                </c:pt>
                <c:pt idx="64">
                  <c:v>0.39798804775917168</c:v>
                </c:pt>
                <c:pt idx="65">
                  <c:v>0.39798804775917185</c:v>
                </c:pt>
                <c:pt idx="66">
                  <c:v>0.39798804775917174</c:v>
                </c:pt>
                <c:pt idx="67">
                  <c:v>0.39798804775917174</c:v>
                </c:pt>
                <c:pt idx="68">
                  <c:v>0.39798804775917179</c:v>
                </c:pt>
                <c:pt idx="69">
                  <c:v>0.39798804775917174</c:v>
                </c:pt>
                <c:pt idx="70">
                  <c:v>0.39798804775917185</c:v>
                </c:pt>
                <c:pt idx="71">
                  <c:v>0.39798804775917179</c:v>
                </c:pt>
                <c:pt idx="72">
                  <c:v>0.39798804775917179</c:v>
                </c:pt>
                <c:pt idx="73">
                  <c:v>0.39798804775917174</c:v>
                </c:pt>
                <c:pt idx="74">
                  <c:v>0.39798804775917168</c:v>
                </c:pt>
                <c:pt idx="75">
                  <c:v>0.39798804775917168</c:v>
                </c:pt>
                <c:pt idx="76">
                  <c:v>0.39798804775917174</c:v>
                </c:pt>
                <c:pt idx="77">
                  <c:v>0.39798804775917174</c:v>
                </c:pt>
                <c:pt idx="78">
                  <c:v>0.39798804775917168</c:v>
                </c:pt>
                <c:pt idx="79">
                  <c:v>0.39798804775917174</c:v>
                </c:pt>
                <c:pt idx="80">
                  <c:v>0.39798804775917174</c:v>
                </c:pt>
                <c:pt idx="81">
                  <c:v>0.39798804775917168</c:v>
                </c:pt>
                <c:pt idx="82">
                  <c:v>0.39798804775917174</c:v>
                </c:pt>
                <c:pt idx="83">
                  <c:v>0.39798804775917179</c:v>
                </c:pt>
                <c:pt idx="84">
                  <c:v>0.39798804775917168</c:v>
                </c:pt>
                <c:pt idx="85">
                  <c:v>0.3979880477591719</c:v>
                </c:pt>
                <c:pt idx="86">
                  <c:v>0.39798804775917168</c:v>
                </c:pt>
                <c:pt idx="87">
                  <c:v>0.39798804775917168</c:v>
                </c:pt>
                <c:pt idx="88">
                  <c:v>0.39798804775917174</c:v>
                </c:pt>
                <c:pt idx="89">
                  <c:v>0.39798804775917179</c:v>
                </c:pt>
              </c:numCache>
            </c:numRef>
          </c:yVal>
          <c:smooth val="0"/>
          <c:extLst>
            <c:ext xmlns:c16="http://schemas.microsoft.com/office/drawing/2014/chart" uri="{C3380CC4-5D6E-409C-BE32-E72D297353CC}">
              <c16:uniqueId val="{00000004-8C83-4625-B90D-514CD915E40D}"/>
            </c:ext>
          </c:extLst>
        </c:ser>
        <c:ser>
          <c:idx val="3"/>
          <c:order val="3"/>
          <c:tx>
            <c:strRef>
              <c:f>'Retrospective Run1'!$FZ$13</c:f>
              <c:strCache>
                <c:ptCount val="1"/>
                <c:pt idx="0">
                  <c:v># TH SH killed per predator</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Run1'!$FZ$14:$FZ$103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0.30590927164748044</c:v>
                </c:pt>
                <c:pt idx="28" formatCode="0.00">
                  <c:v>0.28972167956148204</c:v>
                </c:pt>
                <c:pt idx="29" formatCode="0.00">
                  <c:v>0.34249858709523523</c:v>
                </c:pt>
                <c:pt idx="30" formatCode="0.00">
                  <c:v>0.28106305732394321</c:v>
                </c:pt>
                <c:pt idx="31" formatCode="0.00">
                  <c:v>0.30079558541727219</c:v>
                </c:pt>
                <c:pt idx="32" formatCode="0.00">
                  <c:v>0.26527088667559745</c:v>
                </c:pt>
                <c:pt idx="33" formatCode="0.00">
                  <c:v>0.24829817287820166</c:v>
                </c:pt>
                <c:pt idx="34" formatCode="0.00">
                  <c:v>0.27906961518311385</c:v>
                </c:pt>
                <c:pt idx="35" formatCode="0.00">
                  <c:v>0.29785220377550015</c:v>
                </c:pt>
                <c:pt idx="36" formatCode="0.00">
                  <c:v>0.12836541121780692</c:v>
                </c:pt>
                <c:pt idx="37" formatCode="0.00">
                  <c:v>0.17672304954687651</c:v>
                </c:pt>
                <c:pt idx="38" formatCode="0.00">
                  <c:v>0.17459185952172937</c:v>
                </c:pt>
                <c:pt idx="39" formatCode="0.00">
                  <c:v>0.13221162246704654</c:v>
                </c:pt>
                <c:pt idx="40" formatCode="0.00">
                  <c:v>4.0786118940295865E-2</c:v>
                </c:pt>
                <c:pt idx="41" formatCode="0.00">
                  <c:v>0.12344169030197769</c:v>
                </c:pt>
                <c:pt idx="42" formatCode="0.00">
                  <c:v>0.11103809761663642</c:v>
                </c:pt>
                <c:pt idx="43" formatCode="0.00">
                  <c:v>8.8941705676970947E-2</c:v>
                </c:pt>
                <c:pt idx="44" formatCode="0.00">
                  <c:v>9.0254953776885721E-2</c:v>
                </c:pt>
                <c:pt idx="45" formatCode="0.00">
                  <c:v>0.16218817422751314</c:v>
                </c:pt>
                <c:pt idx="46" formatCode="0.00">
                  <c:v>0.14760730321229101</c:v>
                </c:pt>
                <c:pt idx="47" formatCode="0.00">
                  <c:v>0.1021307476489005</c:v>
                </c:pt>
                <c:pt idx="48" formatCode="0.00">
                  <c:v>0.13863431338211085</c:v>
                </c:pt>
                <c:pt idx="49" formatCode="0.00">
                  <c:v>0.10245564690902538</c:v>
                </c:pt>
                <c:pt idx="50" formatCode="0.00">
                  <c:v>5.6873826878949624E-2</c:v>
                </c:pt>
                <c:pt idx="51" formatCode="0.00">
                  <c:v>4.5291833530346E-2</c:v>
                </c:pt>
                <c:pt idx="52" formatCode="0.00">
                  <c:v>6.4525887646110988E-2</c:v>
                </c:pt>
                <c:pt idx="53" formatCode="0.00">
                  <c:v>5.7039993963575744E-2</c:v>
                </c:pt>
                <c:pt idx="54" formatCode="0.00">
                  <c:v>7.2885666935960353E-2</c:v>
                </c:pt>
                <c:pt idx="55" formatCode="0.00">
                  <c:v>0.12236341058771835</c:v>
                </c:pt>
                <c:pt idx="56" formatCode="0.00">
                  <c:v>0.10216775814323496</c:v>
                </c:pt>
                <c:pt idx="57" formatCode="0.00">
                  <c:v>8.1621442728418259E-2</c:v>
                </c:pt>
                <c:pt idx="58" formatCode="0.00">
                  <c:v>8.9226240010465613E-2</c:v>
                </c:pt>
                <c:pt idx="59" formatCode="0.00">
                  <c:v>7.6496492805983696E-2</c:v>
                </c:pt>
                <c:pt idx="60" formatCode="0.00">
                  <c:v>1.9949301983818696E-2</c:v>
                </c:pt>
                <c:pt idx="61" formatCode="0.00">
                  <c:v>1.9007406789338634E-2</c:v>
                </c:pt>
                <c:pt idx="62" formatCode="0.00">
                  <c:v>2.5527778755962988E-2</c:v>
                </c:pt>
                <c:pt idx="63" formatCode="0.00">
                  <c:v>1.9939187357596349E-2</c:v>
                </c:pt>
                <c:pt idx="64" formatCode="0.00">
                  <c:v>3.058815946116113E-2</c:v>
                </c:pt>
                <c:pt idx="65" formatCode="0.00">
                  <c:v>4.932563055333361E-2</c:v>
                </c:pt>
                <c:pt idx="66" formatCode="0.00">
                  <c:v>3.5116927876167818E-2</c:v>
                </c:pt>
                <c:pt idx="67" formatCode="0.00">
                  <c:v>3.9960914590867543E-2</c:v>
                </c:pt>
                <c:pt idx="68" formatCode="0.00">
                  <c:v>4.4152430292072165E-2</c:v>
                </c:pt>
                <c:pt idx="69" formatCode="0.00">
                  <c:v>3.9956259566986757E-2</c:v>
                </c:pt>
                <c:pt idx="70" formatCode="0.00">
                  <c:v>2.4950941210123628E-2</c:v>
                </c:pt>
                <c:pt idx="71" formatCode="0.00">
                  <c:v>3.1714415361654896E-2</c:v>
                </c:pt>
                <c:pt idx="72" formatCode="0.00">
                  <c:v>2.7985556061220558E-2</c:v>
                </c:pt>
                <c:pt idx="73" formatCode="0.00">
                  <c:v>2.1834781106449049E-2</c:v>
                </c:pt>
                <c:pt idx="74" formatCode="0.00">
                  <c:v>2.4623839567803677E-2</c:v>
                </c:pt>
                <c:pt idx="75" formatCode="0.00">
                  <c:v>3.7258802100552504E-2</c:v>
                </c:pt>
                <c:pt idx="76" formatCode="0.00">
                  <c:v>3.3574570131989064E-2</c:v>
                </c:pt>
                <c:pt idx="77" formatCode="0.00">
                  <c:v>3.6244033902350099E-2</c:v>
                </c:pt>
                <c:pt idx="78" formatCode="0.00">
                  <c:v>4.1141117754910778E-2</c:v>
                </c:pt>
                <c:pt idx="79" formatCode="0.00">
                  <c:v>3.9464091466139932E-2</c:v>
                </c:pt>
                <c:pt idx="80" formatCode="0.00">
                  <c:v>2.8876545325211882E-2</c:v>
                </c:pt>
                <c:pt idx="81" formatCode="0.00">
                  <c:v>3.0336136365516853E-2</c:v>
                </c:pt>
                <c:pt idx="82" formatCode="0.00">
                  <c:v>2.8261012455364234E-2</c:v>
                </c:pt>
                <c:pt idx="83" formatCode="0.00">
                  <c:v>2.4126076638716614E-2</c:v>
                </c:pt>
                <c:pt idx="84" formatCode="0.00">
                  <c:v>2.5215490047844208E-2</c:v>
                </c:pt>
                <c:pt idx="85" formatCode="0.00">
                  <c:v>3.4129671923934971E-2</c:v>
                </c:pt>
                <c:pt idx="86" formatCode="0.00">
                  <c:v>3.4263265674963322E-2</c:v>
                </c:pt>
                <c:pt idx="87" formatCode="0.00">
                  <c:v>3.6066134535986338E-2</c:v>
                </c:pt>
                <c:pt idx="88" formatCode="0.00">
                  <c:v>3.9516885907569264E-2</c:v>
                </c:pt>
                <c:pt idx="89" formatCode="0.00">
                  <c:v>3.8874287830732747E-2</c:v>
                </c:pt>
              </c:numCache>
            </c:numRef>
          </c:yVal>
          <c:smooth val="0"/>
          <c:extLst>
            <c:ext xmlns:c16="http://schemas.microsoft.com/office/drawing/2014/chart" uri="{C3380CC4-5D6E-409C-BE32-E72D297353CC}">
              <c16:uniqueId val="{00000003-8C83-4625-B90D-514CD915E40D}"/>
            </c:ext>
          </c:extLst>
        </c:ser>
        <c:ser>
          <c:idx val="4"/>
          <c:order val="4"/>
          <c:tx>
            <c:strRef>
              <c:f>'Retrospective Run1'!$GJ$13</c:f>
              <c:strCache>
                <c:ptCount val="1"/>
                <c:pt idx="0">
                  <c:v># CH SH killed per predator</c:v>
                </c:pt>
              </c:strCache>
            </c:strRef>
          </c:tx>
          <c:spPr>
            <a:ln w="19050" cap="rnd">
              <a:solidFill>
                <a:schemeClr val="accent5"/>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Run1'!$GJ$14:$GJ$103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0.19610885240566756</c:v>
                </c:pt>
                <c:pt idx="23">
                  <c:v>0.1579398870282088</c:v>
                </c:pt>
                <c:pt idx="24">
                  <c:v>0.12472543211664726</c:v>
                </c:pt>
                <c:pt idx="25">
                  <c:v>0.18661984037165263</c:v>
                </c:pt>
                <c:pt idx="26">
                  <c:v>0.13790153817025574</c:v>
                </c:pt>
                <c:pt idx="27">
                  <c:v>0.16630109430047335</c:v>
                </c:pt>
                <c:pt idx="28">
                  <c:v>0.17705720956733903</c:v>
                </c:pt>
                <c:pt idx="29">
                  <c:v>0.20080540981579248</c:v>
                </c:pt>
                <c:pt idx="30">
                  <c:v>0.18925031126051955</c:v>
                </c:pt>
                <c:pt idx="31">
                  <c:v>0.19245165951078369</c:v>
                </c:pt>
                <c:pt idx="32">
                  <c:v>0.20132263477773427</c:v>
                </c:pt>
                <c:pt idx="33">
                  <c:v>0.19078450001631606</c:v>
                </c:pt>
                <c:pt idx="34">
                  <c:v>0.12196947972991036</c:v>
                </c:pt>
                <c:pt idx="35">
                  <c:v>9.8839163944870495E-2</c:v>
                </c:pt>
                <c:pt idx="36">
                  <c:v>0.14872299784173842</c:v>
                </c:pt>
                <c:pt idx="37">
                  <c:v>0.11386559715430668</c:v>
                </c:pt>
                <c:pt idx="38">
                  <c:v>0.12605414542218474</c:v>
                </c:pt>
                <c:pt idx="39">
                  <c:v>0.11336298987650918</c:v>
                </c:pt>
                <c:pt idx="40">
                  <c:v>0.1378501260971515</c:v>
                </c:pt>
                <c:pt idx="41">
                  <c:v>0.13155985011284052</c:v>
                </c:pt>
                <c:pt idx="42">
                  <c:v>0.13329510437211484</c:v>
                </c:pt>
                <c:pt idx="43">
                  <c:v>0.12668132094600376</c:v>
                </c:pt>
                <c:pt idx="44">
                  <c:v>0.15034135482628169</c:v>
                </c:pt>
                <c:pt idx="45">
                  <c:v>0.17925938938484512</c:v>
                </c:pt>
                <c:pt idx="46">
                  <c:v>0.15799861836928056</c:v>
                </c:pt>
                <c:pt idx="47">
                  <c:v>0.19377545643152028</c:v>
                </c:pt>
                <c:pt idx="48">
                  <c:v>0.14347479347682199</c:v>
                </c:pt>
                <c:pt idx="49">
                  <c:v>0.11112654653542738</c:v>
                </c:pt>
                <c:pt idx="50">
                  <c:v>8.733006343738052E-2</c:v>
                </c:pt>
                <c:pt idx="51">
                  <c:v>0.10077911158838232</c:v>
                </c:pt>
                <c:pt idx="52">
                  <c:v>9.9933905425730413E-2</c:v>
                </c:pt>
                <c:pt idx="53">
                  <c:v>0.11462072689688982</c:v>
                </c:pt>
                <c:pt idx="54">
                  <c:v>0.14180108582171363</c:v>
                </c:pt>
                <c:pt idx="55">
                  <c:v>0.14111265751311802</c:v>
                </c:pt>
                <c:pt idx="56">
                  <c:v>0.13501658930217961</c:v>
                </c:pt>
                <c:pt idx="57">
                  <c:v>0.1702302265393231</c:v>
                </c:pt>
                <c:pt idx="58">
                  <c:v>0.13340293787321389</c:v>
                </c:pt>
                <c:pt idx="59">
                  <c:v>0.15037936453002509</c:v>
                </c:pt>
                <c:pt idx="60">
                  <c:v>0.110543635725123</c:v>
                </c:pt>
                <c:pt idx="61">
                  <c:v>9.8138658213133181E-2</c:v>
                </c:pt>
                <c:pt idx="62">
                  <c:v>0.10977463423950118</c:v>
                </c:pt>
                <c:pt idx="63">
                  <c:v>7.2970423693427711E-2</c:v>
                </c:pt>
                <c:pt idx="64">
                  <c:v>6.0548114529395423E-2</c:v>
                </c:pt>
                <c:pt idx="65">
                  <c:v>7.1317944661849181E-2</c:v>
                </c:pt>
                <c:pt idx="66">
                  <c:v>7.751089111091522E-2</c:v>
                </c:pt>
                <c:pt idx="67">
                  <c:v>0.11098347927239369</c:v>
                </c:pt>
                <c:pt idx="68">
                  <c:v>0.11218153109067293</c:v>
                </c:pt>
                <c:pt idx="69">
                  <c:v>0.11290436571835376</c:v>
                </c:pt>
                <c:pt idx="70">
                  <c:v>0.1108470475273365</c:v>
                </c:pt>
                <c:pt idx="71">
                  <c:v>0.1129043560158093</c:v>
                </c:pt>
                <c:pt idx="72">
                  <c:v>0.11314138519939006</c:v>
                </c:pt>
                <c:pt idx="73">
                  <c:v>0.10391391666764487</c:v>
                </c:pt>
                <c:pt idx="74">
                  <c:v>0.10157501963241107</c:v>
                </c:pt>
                <c:pt idx="75">
                  <c:v>0.10154335599016806</c:v>
                </c:pt>
                <c:pt idx="76">
                  <c:v>0.10182980681705531</c:v>
                </c:pt>
                <c:pt idx="77">
                  <c:v>0.10129333964791765</c:v>
                </c:pt>
                <c:pt idx="78">
                  <c:v>0.10250208551268289</c:v>
                </c:pt>
                <c:pt idx="79">
                  <c:v>0.105452834869691</c:v>
                </c:pt>
                <c:pt idx="80">
                  <c:v>0.10643959609648489</c:v>
                </c:pt>
                <c:pt idx="81">
                  <c:v>0.10651253479144164</c:v>
                </c:pt>
                <c:pt idx="82">
                  <c:v>0.10650578042575545</c:v>
                </c:pt>
                <c:pt idx="83">
                  <c:v>0.10647165275106249</c:v>
                </c:pt>
                <c:pt idx="84">
                  <c:v>0.10578871861942041</c:v>
                </c:pt>
                <c:pt idx="85">
                  <c:v>0.10480148038721974</c:v>
                </c:pt>
                <c:pt idx="86">
                  <c:v>0.10439187360767256</c:v>
                </c:pt>
                <c:pt idx="87">
                  <c:v>0.10432792484122211</c:v>
                </c:pt>
                <c:pt idx="88">
                  <c:v>0.1043327809282623</c:v>
                </c:pt>
                <c:pt idx="89">
                  <c:v>0.10626299326374454</c:v>
                </c:pt>
              </c:numCache>
            </c:numRef>
          </c:yVal>
          <c:smooth val="0"/>
          <c:extLst>
            <c:ext xmlns:c16="http://schemas.microsoft.com/office/drawing/2014/chart" uri="{C3380CC4-5D6E-409C-BE32-E72D297353CC}">
              <c16:uniqueId val="{00000007-8C83-4625-B90D-514CD915E40D}"/>
            </c:ext>
          </c:extLst>
        </c:ser>
        <c:dLbls>
          <c:showLegendKey val="0"/>
          <c:showVal val="0"/>
          <c:showCatName val="0"/>
          <c:showSerName val="0"/>
          <c:showPercent val="0"/>
          <c:showBubbleSize val="0"/>
        </c:dLbls>
        <c:axId val="1298105311"/>
        <c:axId val="1298101567"/>
      </c:scatterChart>
      <c:valAx>
        <c:axId val="1298096159"/>
        <c:scaling>
          <c:orientation val="minMax"/>
          <c:max val="2020"/>
          <c:min val="197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max val="10000"/>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Steelhead or 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2000"/>
      </c:valAx>
      <c:valAx>
        <c:axId val="1298101567"/>
        <c:scaling>
          <c:orientation val="minMax"/>
          <c:max val="1"/>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13893492794532758"/>
          <c:y val="4.1431076069877192E-2"/>
          <c:w val="0.73250071729192812"/>
          <c:h val="0.2736280181758514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28958880139983"/>
          <c:y val="0.31279150922365184"/>
          <c:w val="0.58532086614173229"/>
          <c:h val="0.48163780629106479"/>
        </c:manualLayout>
      </c:layout>
      <c:scatterChart>
        <c:scatterStyle val="lineMarker"/>
        <c:varyColors val="0"/>
        <c:ser>
          <c:idx val="3"/>
          <c:order val="0"/>
          <c:tx>
            <c:strRef>
              <c:f>'Retrospective Run1'!$GC$13</c:f>
              <c:strCache>
                <c:ptCount val="1"/>
                <c:pt idx="0">
                  <c:v>Total CH run before predation</c:v>
                </c:pt>
              </c:strCache>
            </c:strRef>
          </c:tx>
          <c:spPr>
            <a:ln w="19050" cap="rnd">
              <a:solidFill>
                <a:srgbClr val="00B05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Run1'!$GC$14:$GC$103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4349.0560548225676</c:v>
                </c:pt>
                <c:pt idx="23">
                  <c:v>3533.225835332546</c:v>
                </c:pt>
                <c:pt idx="24">
                  <c:v>2815.471519997358</c:v>
                </c:pt>
                <c:pt idx="25">
                  <c:v>4252.1707972923941</c:v>
                </c:pt>
                <c:pt idx="26">
                  <c:v>3172.6685954931659</c:v>
                </c:pt>
                <c:pt idx="27">
                  <c:v>3864.6076029715623</c:v>
                </c:pt>
                <c:pt idx="28">
                  <c:v>4114.5648567925273</c:v>
                </c:pt>
                <c:pt idx="29">
                  <c:v>4666.4402104882802</c:v>
                </c:pt>
                <c:pt idx="30">
                  <c:v>4397.9156892418414</c:v>
                </c:pt>
                <c:pt idx="31">
                  <c:v>4472.3105983058595</c:v>
                </c:pt>
                <c:pt idx="32">
                  <c:v>4678.4598037974811</c:v>
                </c:pt>
                <c:pt idx="33">
                  <c:v>4433.5681156734536</c:v>
                </c:pt>
                <c:pt idx="34">
                  <c:v>2834.4021467654029</c:v>
                </c:pt>
                <c:pt idx="35">
                  <c:v>2296.8855740813488</c:v>
                </c:pt>
                <c:pt idx="36">
                  <c:v>3456.1169342483968</c:v>
                </c:pt>
                <c:pt idx="37">
                  <c:v>2646.0791152964662</c:v>
                </c:pt>
                <c:pt idx="38">
                  <c:v>2929.3241324345954</c:v>
                </c:pt>
                <c:pt idx="39">
                  <c:v>2634.3992167650977</c:v>
                </c:pt>
                <c:pt idx="40">
                  <c:v>3203.4464212429643</c:v>
                </c:pt>
                <c:pt idx="41">
                  <c:v>3057.2691005463539</c:v>
                </c:pt>
                <c:pt idx="42">
                  <c:v>3097.594011405713</c:v>
                </c:pt>
                <c:pt idx="43">
                  <c:v>2943.8988248498454</c:v>
                </c:pt>
                <c:pt idx="44">
                  <c:v>3493.7253139953623</c:v>
                </c:pt>
                <c:pt idx="45">
                  <c:v>4165.7404723327809</c:v>
                </c:pt>
                <c:pt idx="46">
                  <c:v>3671.6695363752983</c:v>
                </c:pt>
                <c:pt idx="47">
                  <c:v>4503.073809252779</c:v>
                </c:pt>
                <c:pt idx="48">
                  <c:v>3334.1559178406601</c:v>
                </c:pt>
                <c:pt idx="49">
                  <c:v>2582.4273642892276</c:v>
                </c:pt>
                <c:pt idx="50">
                  <c:v>2029.4299838959566</c:v>
                </c:pt>
                <c:pt idx="51">
                  <c:v>2341.9672763035646</c:v>
                </c:pt>
                <c:pt idx="52">
                  <c:v>2322.3258531607844</c:v>
                </c:pt>
                <c:pt idx="53">
                  <c:v>2663.6272869227091</c:v>
                </c:pt>
                <c:pt idx="54">
                  <c:v>3295.2612650045417</c:v>
                </c:pt>
                <c:pt idx="55">
                  <c:v>3279.2631425226032</c:v>
                </c:pt>
                <c:pt idx="56">
                  <c:v>3137.5989420834917</c:v>
                </c:pt>
                <c:pt idx="57">
                  <c:v>3955.9152061308278</c:v>
                </c:pt>
                <c:pt idx="58">
                  <c:v>3100.0999129450579</c:v>
                </c:pt>
                <c:pt idx="59">
                  <c:v>3494.608606980843</c:v>
                </c:pt>
                <c:pt idx="60">
                  <c:v>2568.8813226421034</c:v>
                </c:pt>
                <c:pt idx="61">
                  <c:v>2280.6067889766291</c:v>
                </c:pt>
                <c:pt idx="62">
                  <c:v>2551.010790878428</c:v>
                </c:pt>
                <c:pt idx="63">
                  <c:v>1695.7318013082627</c:v>
                </c:pt>
                <c:pt idx="64">
                  <c:v>1407.0545040017123</c:v>
                </c:pt>
                <c:pt idx="65">
                  <c:v>1657.3304723449612</c:v>
                </c:pt>
                <c:pt idx="66">
                  <c:v>1801.2459891521664</c:v>
                </c:pt>
                <c:pt idx="67">
                  <c:v>2579.1026788156773</c:v>
                </c:pt>
                <c:pt idx="68">
                  <c:v>2606.9437473615662</c:v>
                </c:pt>
                <c:pt idx="69">
                  <c:v>2623.7414251494179</c:v>
                </c:pt>
                <c:pt idx="70">
                  <c:v>2575.9321936095962</c:v>
                </c:pt>
                <c:pt idx="71">
                  <c:v>2623.7411996756937</c:v>
                </c:pt>
                <c:pt idx="72">
                  <c:v>2629.2494303271242</c:v>
                </c:pt>
                <c:pt idx="73">
                  <c:v>2414.8158140363521</c:v>
                </c:pt>
                <c:pt idx="74">
                  <c:v>2360.4630792996786</c:v>
                </c:pt>
                <c:pt idx="75">
                  <c:v>2359.7272600131919</c:v>
                </c:pt>
                <c:pt idx="76">
                  <c:v>2366.3839813542177</c:v>
                </c:pt>
                <c:pt idx="77">
                  <c:v>2353.9172257425676</c:v>
                </c:pt>
                <c:pt idx="78">
                  <c:v>2382.00680914959</c:v>
                </c:pt>
                <c:pt idx="79">
                  <c:v>2450.5781462627001</c:v>
                </c:pt>
                <c:pt idx="80">
                  <c:v>2473.5091134666504</c:v>
                </c:pt>
                <c:pt idx="81">
                  <c:v>2475.2041079359683</c:v>
                </c:pt>
                <c:pt idx="82">
                  <c:v>2475.0471458119728</c:v>
                </c:pt>
                <c:pt idx="83">
                  <c:v>2474.2540658166486</c:v>
                </c:pt>
                <c:pt idx="84">
                  <c:v>2458.3836204141426</c:v>
                </c:pt>
                <c:pt idx="85">
                  <c:v>2435.4415682637605</c:v>
                </c:pt>
                <c:pt idx="86">
                  <c:v>2425.9228727847853</c:v>
                </c:pt>
                <c:pt idx="87">
                  <c:v>2424.4367918298485</c:v>
                </c:pt>
                <c:pt idx="88">
                  <c:v>2424.5496405815366</c:v>
                </c:pt>
                <c:pt idx="89">
                  <c:v>2469.4051076993669</c:v>
                </c:pt>
              </c:numCache>
            </c:numRef>
          </c:yVal>
          <c:smooth val="0"/>
          <c:extLst>
            <c:ext xmlns:c16="http://schemas.microsoft.com/office/drawing/2014/chart" uri="{C3380CC4-5D6E-409C-BE32-E72D297353CC}">
              <c16:uniqueId val="{00000003-08E3-41D2-BE40-EF91F5846DFC}"/>
            </c:ext>
          </c:extLst>
        </c:ser>
        <c:ser>
          <c:idx val="1"/>
          <c:order val="1"/>
          <c:tx>
            <c:strRef>
              <c:f>'Retrospective Run1'!$GE$13</c:f>
              <c:strCache>
                <c:ptCount val="1"/>
                <c:pt idx="0">
                  <c:v>Total CH recruits after predation</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Run1'!$GE$14:$GE$103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2897.0815855164656</c:v>
                </c:pt>
                <c:pt idx="23">
                  <c:v>2310.0023107348725</c:v>
                </c:pt>
                <c:pt idx="24">
                  <c:v>1805.299744637508</c:v>
                </c:pt>
                <c:pt idx="25">
                  <c:v>2671.9777322910741</c:v>
                </c:pt>
                <c:pt idx="26">
                  <c:v>1952.1874918653159</c:v>
                </c:pt>
                <c:pt idx="27">
                  <c:v>2326.539967709658</c:v>
                </c:pt>
                <c:pt idx="28">
                  <c:v>2477.0172220591735</c:v>
                </c:pt>
                <c:pt idx="29">
                  <c:v>2809.2527811311516</c:v>
                </c:pt>
                <c:pt idx="30">
                  <c:v>2647.5978098710493</c:v>
                </c:pt>
                <c:pt idx="31">
                  <c:v>2692.3844343134574</c:v>
                </c:pt>
                <c:pt idx="32">
                  <c:v>2816.488719964364</c:v>
                </c:pt>
                <c:pt idx="33">
                  <c:v>2669.0609967092655</c:v>
                </c:pt>
                <c:pt idx="34">
                  <c:v>1706.3439698098348</c:v>
                </c:pt>
                <c:pt idx="35">
                  <c:v>1382.7525685265084</c:v>
                </c:pt>
                <c:pt idx="36">
                  <c:v>2080.6237027594634</c:v>
                </c:pt>
                <c:pt idx="37">
                  <c:v>1592.9712539833095</c:v>
                </c:pt>
                <c:pt idx="38">
                  <c:v>1763.488139713121</c:v>
                </c:pt>
                <c:pt idx="39">
                  <c:v>1585.9398154664655</c:v>
                </c:pt>
                <c:pt idx="40">
                  <c:v>1928.5130339513714</c:v>
                </c:pt>
                <c:pt idx="41">
                  <c:v>1840.5125397454715</c:v>
                </c:pt>
                <c:pt idx="42">
                  <c:v>1864.7886180558519</c:v>
                </c:pt>
                <c:pt idx="43">
                  <c:v>1772.2622787473358</c:v>
                </c:pt>
                <c:pt idx="44">
                  <c:v>2103.2643968715488</c:v>
                </c:pt>
                <c:pt idx="45">
                  <c:v>2507.8255542776874</c:v>
                </c:pt>
                <c:pt idx="46">
                  <c:v>2210.3889455764697</c:v>
                </c:pt>
                <c:pt idx="47">
                  <c:v>2710.904254992809</c:v>
                </c:pt>
                <c:pt idx="48">
                  <c:v>2007.2017131745663</c:v>
                </c:pt>
                <c:pt idx="49">
                  <c:v>1554.6521390958944</c:v>
                </c:pt>
                <c:pt idx="50">
                  <c:v>1221.7411065412775</c:v>
                </c:pt>
                <c:pt idx="51">
                  <c:v>1409.8922920916443</c:v>
                </c:pt>
                <c:pt idx="52">
                  <c:v>1398.067920600671</c:v>
                </c:pt>
                <c:pt idx="53">
                  <c:v>1603.535463042281</c:v>
                </c:pt>
                <c:pt idx="54">
                  <c:v>1983.7866672889652</c:v>
                </c:pt>
                <c:pt idx="55">
                  <c:v>1974.1556063414257</c:v>
                </c:pt>
                <c:pt idx="56">
                  <c:v>1888.8720644724401</c:v>
                </c:pt>
                <c:pt idx="57">
                  <c:v>2381.5082361419977</c:v>
                </c:pt>
                <c:pt idx="58">
                  <c:v>1866.2972007336759</c:v>
                </c:pt>
                <c:pt idx="59">
                  <c:v>2103.7961498061386</c:v>
                </c:pt>
                <c:pt idx="60">
                  <c:v>1546.4972601187737</c:v>
                </c:pt>
                <c:pt idx="61">
                  <c:v>1372.9525453255073</c:v>
                </c:pt>
                <c:pt idx="62">
                  <c:v>1535.7389864041415</c:v>
                </c:pt>
                <c:pt idx="63">
                  <c:v>1020.8508121824435</c:v>
                </c:pt>
                <c:pt idx="64">
                  <c:v>847.06362886332124</c:v>
                </c:pt>
                <c:pt idx="65">
                  <c:v>997.73275316460399</c:v>
                </c:pt>
                <c:pt idx="66">
                  <c:v>1084.3716143954575</c:v>
                </c:pt>
                <c:pt idx="67">
                  <c:v>1552.6506387033758</c:v>
                </c:pt>
                <c:pt idx="68">
                  <c:v>1569.4112947311569</c:v>
                </c:pt>
                <c:pt idx="69">
                  <c:v>1579.523697529334</c:v>
                </c:pt>
                <c:pt idx="70">
                  <c:v>1550.741968714912</c:v>
                </c:pt>
                <c:pt idx="71">
                  <c:v>1579.523561791457</c:v>
                </c:pt>
                <c:pt idx="72">
                  <c:v>1582.8395824793174</c:v>
                </c:pt>
                <c:pt idx="73">
                  <c:v>1453.7479825100493</c:v>
                </c:pt>
                <c:pt idx="74">
                  <c:v>1421.0269865615967</c:v>
                </c:pt>
                <c:pt idx="75">
                  <c:v>1420.5840145564423</c:v>
                </c:pt>
                <c:pt idx="76">
                  <c:v>1424.5914403664763</c:v>
                </c:pt>
                <c:pt idx="77">
                  <c:v>1417.0863044825976</c:v>
                </c:pt>
                <c:pt idx="78">
                  <c:v>1433.9965694270909</c:v>
                </c:pt>
                <c:pt idx="79">
                  <c:v>1475.2773339503181</c:v>
                </c:pt>
                <c:pt idx="80">
                  <c:v>1489.0820502835386</c:v>
                </c:pt>
                <c:pt idx="81">
                  <c:v>1490.1024572130502</c:v>
                </c:pt>
                <c:pt idx="82">
                  <c:v>1490.0079641383556</c:v>
                </c:pt>
                <c:pt idx="83">
                  <c:v>1489.5305205020873</c:v>
                </c:pt>
                <c:pt idx="84">
                  <c:v>1479.9763226823934</c:v>
                </c:pt>
                <c:pt idx="85">
                  <c:v>1466.1649330789305</c:v>
                </c:pt>
                <c:pt idx="86">
                  <c:v>1460.4345646308473</c:v>
                </c:pt>
                <c:pt idx="87">
                  <c:v>1459.5399261339778</c:v>
                </c:pt>
                <c:pt idx="88">
                  <c:v>1459.6078624312893</c:v>
                </c:pt>
                <c:pt idx="89">
                  <c:v>1486.6113897595685</c:v>
                </c:pt>
              </c:numCache>
            </c:numRef>
          </c:yVal>
          <c:smooth val="0"/>
          <c:extLst>
            <c:ext xmlns:c16="http://schemas.microsoft.com/office/drawing/2014/chart" uri="{C3380CC4-5D6E-409C-BE32-E72D297353CC}">
              <c16:uniqueId val="{00000000-00F7-4494-84E2-9792800EA459}"/>
            </c:ext>
          </c:extLst>
        </c:ser>
        <c:ser>
          <c:idx val="0"/>
          <c:order val="2"/>
          <c:tx>
            <c:strRef>
              <c:f>'Retrospective Run1'!$GB$13</c:f>
              <c:strCache>
                <c:ptCount val="1"/>
                <c:pt idx="0">
                  <c:v>CH brood year spawners</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Run1'!$GB$14:$GB$103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676.79999999999973</c:v>
                </c:pt>
                <c:pt idx="24">
                  <c:v>580.79999999999995</c:v>
                </c:pt>
                <c:pt idx="25">
                  <c:v>1022.3999999999999</c:v>
                </c:pt>
                <c:pt idx="26">
                  <c:v>499.27532633590044</c:v>
                </c:pt>
                <c:pt idx="27">
                  <c:v>1181.118823218326</c:v>
                </c:pt>
                <c:pt idx="28">
                  <c:v>1305.3453204749708</c:v>
                </c:pt>
                <c:pt idx="29">
                  <c:v>1206.209344845837</c:v>
                </c:pt>
                <c:pt idx="30">
                  <c:v>1118.3791752104187</c:v>
                </c:pt>
                <c:pt idx="31">
                  <c:v>1302.5656352113097</c:v>
                </c:pt>
                <c:pt idx="32">
                  <c:v>1156.4354821099455</c:v>
                </c:pt>
                <c:pt idx="33">
                  <c:v>1260.2206271047792</c:v>
                </c:pt>
                <c:pt idx="34">
                  <c:v>1384.6390855384634</c:v>
                </c:pt>
                <c:pt idx="35">
                  <c:v>1471.6617344371846</c:v>
                </c:pt>
                <c:pt idx="36">
                  <c:v>1462.4676385133762</c:v>
                </c:pt>
                <c:pt idx="37">
                  <c:v>1507.8789496462762</c:v>
                </c:pt>
                <c:pt idx="38">
                  <c:v>1451.6687861449132</c:v>
                </c:pt>
                <c:pt idx="39">
                  <c:v>1290.4683129040284</c:v>
                </c:pt>
                <c:pt idx="40">
                  <c:v>1371.0647439114964</c:v>
                </c:pt>
                <c:pt idx="41">
                  <c:v>1315.2897476728767</c:v>
                </c:pt>
                <c:pt idx="42">
                  <c:v>1522.9495311640351</c:v>
                </c:pt>
                <c:pt idx="43">
                  <c:v>1398.7892187634141</c:v>
                </c:pt>
                <c:pt idx="44">
                  <c:v>1407.7988725422654</c:v>
                </c:pt>
                <c:pt idx="45">
                  <c:v>1415.9884635015735</c:v>
                </c:pt>
                <c:pt idx="46">
                  <c:v>1558.9705840107017</c:v>
                </c:pt>
                <c:pt idx="47">
                  <c:v>1546.5326055436472</c:v>
                </c:pt>
                <c:pt idx="48">
                  <c:v>1531.9871000010419</c:v>
                </c:pt>
                <c:pt idx="49">
                  <c:v>1596.7755673172032</c:v>
                </c:pt>
                <c:pt idx="50">
                  <c:v>1859.4847585874397</c:v>
                </c:pt>
                <c:pt idx="51">
                  <c:v>2021.441387092581</c:v>
                </c:pt>
                <c:pt idx="52">
                  <c:v>2020.8272504745032</c:v>
                </c:pt>
                <c:pt idx="53">
                  <c:v>2075.4197414168934</c:v>
                </c:pt>
                <c:pt idx="54">
                  <c:v>1637.0097508195622</c:v>
                </c:pt>
                <c:pt idx="55">
                  <c:v>1266.6013958766475</c:v>
                </c:pt>
                <c:pt idx="56">
                  <c:v>1102.7679578254217</c:v>
                </c:pt>
                <c:pt idx="57">
                  <c:v>1174.5204670289529</c:v>
                </c:pt>
                <c:pt idx="58">
                  <c:v>1236.7671170916483</c:v>
                </c:pt>
                <c:pt idx="59">
                  <c:v>1440.2800912855084</c:v>
                </c:pt>
                <c:pt idx="60">
                  <c:v>1651.5950587998832</c:v>
                </c:pt>
                <c:pt idx="61">
                  <c:v>1657.6256289815647</c:v>
                </c:pt>
                <c:pt idx="62">
                  <c:v>1735.112237190614</c:v>
                </c:pt>
                <c:pt idx="63">
                  <c:v>1856.4114196925839</c:v>
                </c:pt>
                <c:pt idx="64">
                  <c:v>1681.5108686812887</c:v>
                </c:pt>
                <c:pt idx="65">
                  <c:v>1624.3495065550526</c:v>
                </c:pt>
                <c:pt idx="66">
                  <c:v>1307.1726577012371</c:v>
                </c:pt>
                <c:pt idx="67">
                  <c:v>1214.2320694757841</c:v>
                </c:pt>
                <c:pt idx="68">
                  <c:v>1153.8117141580801</c:v>
                </c:pt>
                <c:pt idx="69">
                  <c:v>859.31587300077854</c:v>
                </c:pt>
                <c:pt idx="70">
                  <c:v>770.12180373498131</c:v>
                </c:pt>
                <c:pt idx="71">
                  <c:v>859.31526460121336</c:v>
                </c:pt>
                <c:pt idx="72">
                  <c:v>1088.3925959720518</c:v>
                </c:pt>
                <c:pt idx="73">
                  <c:v>1456.5948693909927</c:v>
                </c:pt>
                <c:pt idx="74">
                  <c:v>1521.4919544905149</c:v>
                </c:pt>
                <c:pt idx="75">
                  <c:v>1522.3451930063068</c:v>
                </c:pt>
                <c:pt idx="76">
                  <c:v>1514.6042837707625</c:v>
                </c:pt>
                <c:pt idx="77">
                  <c:v>1529.0617866600674</c:v>
                </c:pt>
                <c:pt idx="78">
                  <c:v>1496.2334724542402</c:v>
                </c:pt>
                <c:pt idx="79">
                  <c:v>1411.3682174590292</c:v>
                </c:pt>
                <c:pt idx="80">
                  <c:v>1380.9494926917505</c:v>
                </c:pt>
                <c:pt idx="81">
                  <c:v>1378.6486241954399</c:v>
                </c:pt>
                <c:pt idx="82">
                  <c:v>1378.8620191818045</c:v>
                </c:pt>
                <c:pt idx="83">
                  <c:v>1379.9392138218664</c:v>
                </c:pt>
                <c:pt idx="84">
                  <c:v>1401.1546293399913</c:v>
                </c:pt>
                <c:pt idx="85">
                  <c:v>1430.8051036927163</c:v>
                </c:pt>
                <c:pt idx="86">
                  <c:v>1442.8001385217697</c:v>
                </c:pt>
                <c:pt idx="87">
                  <c:v>1444.6580530980054</c:v>
                </c:pt>
                <c:pt idx="88">
                  <c:v>1444.517104360825</c:v>
                </c:pt>
                <c:pt idx="89">
                  <c:v>1386.4888217050673</c:v>
                </c:pt>
              </c:numCache>
            </c:numRef>
          </c:yVal>
          <c:smooth val="0"/>
          <c:extLst>
            <c:ext xmlns:c16="http://schemas.microsoft.com/office/drawing/2014/chart" uri="{C3380CC4-5D6E-409C-BE32-E72D297353CC}">
              <c16:uniqueId val="{00000000-08E3-41D2-BE40-EF91F5846DFC}"/>
            </c:ext>
          </c:extLst>
        </c:ser>
        <c:ser>
          <c:idx val="4"/>
          <c:order val="3"/>
          <c:tx>
            <c:strRef>
              <c:f>'Retrospective Run1'!$GF$13</c:f>
              <c:strCache>
                <c:ptCount val="1"/>
                <c:pt idx="0">
                  <c:v>Total CH run killed by predators</c:v>
                </c:pt>
              </c:strCache>
            </c:strRef>
          </c:tx>
          <c:spPr>
            <a:ln w="19050" cap="rnd">
              <a:solidFill>
                <a:srgbClr val="FF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Run1'!$GF$14:$GF$103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1451.974469306102</c:v>
                </c:pt>
                <c:pt idx="23">
                  <c:v>1223.2235245976735</c:v>
                </c:pt>
                <c:pt idx="24">
                  <c:v>1010.17177535985</c:v>
                </c:pt>
                <c:pt idx="25">
                  <c:v>1580.1930650013201</c:v>
                </c:pt>
                <c:pt idx="26">
                  <c:v>1220.48110362785</c:v>
                </c:pt>
                <c:pt idx="27">
                  <c:v>1538.0676352619043</c:v>
                </c:pt>
                <c:pt idx="28">
                  <c:v>1637.5476347333538</c:v>
                </c:pt>
                <c:pt idx="29">
                  <c:v>1857.1874293571286</c:v>
                </c:pt>
                <c:pt idx="30">
                  <c:v>1750.3178793707921</c:v>
                </c:pt>
                <c:pt idx="31">
                  <c:v>1779.9261639924021</c:v>
                </c:pt>
                <c:pt idx="32">
                  <c:v>1861.9710838331171</c:v>
                </c:pt>
                <c:pt idx="33">
                  <c:v>1764.5071189641881</c:v>
                </c:pt>
                <c:pt idx="34">
                  <c:v>1128.0581769555681</c:v>
                </c:pt>
                <c:pt idx="35">
                  <c:v>914.13300555484034</c:v>
                </c:pt>
                <c:pt idx="36">
                  <c:v>1375.4932314889334</c:v>
                </c:pt>
                <c:pt idx="37">
                  <c:v>1053.1078613131567</c:v>
                </c:pt>
                <c:pt idx="38">
                  <c:v>1165.8359927214744</c:v>
                </c:pt>
                <c:pt idx="39">
                  <c:v>1048.4594012986322</c:v>
                </c:pt>
                <c:pt idx="40">
                  <c:v>1274.9333872915929</c:v>
                </c:pt>
                <c:pt idx="41">
                  <c:v>1216.7565608008824</c:v>
                </c:pt>
                <c:pt idx="42">
                  <c:v>1232.8053933498611</c:v>
                </c:pt>
                <c:pt idx="43">
                  <c:v>1171.6365461025096</c:v>
                </c:pt>
                <c:pt idx="44">
                  <c:v>1390.4609171238135</c:v>
                </c:pt>
                <c:pt idx="45">
                  <c:v>1657.9149180550935</c:v>
                </c:pt>
                <c:pt idx="46">
                  <c:v>1461.2805907988286</c:v>
                </c:pt>
                <c:pt idx="47">
                  <c:v>1792.16955425997</c:v>
                </c:pt>
                <c:pt idx="48">
                  <c:v>1326.9542046660938</c:v>
                </c:pt>
                <c:pt idx="49">
                  <c:v>1027.7752251933332</c:v>
                </c:pt>
                <c:pt idx="50">
                  <c:v>807.68887735467911</c:v>
                </c:pt>
                <c:pt idx="51">
                  <c:v>932.07498421192031</c:v>
                </c:pt>
                <c:pt idx="52">
                  <c:v>924.25793256011343</c:v>
                </c:pt>
                <c:pt idx="53">
                  <c:v>1060.0918238804281</c:v>
                </c:pt>
                <c:pt idx="54">
                  <c:v>1311.4745977155765</c:v>
                </c:pt>
                <c:pt idx="55">
                  <c:v>1305.1075361811775</c:v>
                </c:pt>
                <c:pt idx="56">
                  <c:v>1248.7268776110516</c:v>
                </c:pt>
                <c:pt idx="57">
                  <c:v>1574.40696998883</c:v>
                </c:pt>
                <c:pt idx="58">
                  <c:v>1233.802712211382</c:v>
                </c:pt>
                <c:pt idx="59">
                  <c:v>1390.8124571747044</c:v>
                </c:pt>
                <c:pt idx="60">
                  <c:v>1022.3840625233297</c:v>
                </c:pt>
                <c:pt idx="61">
                  <c:v>907.65424365112176</c:v>
                </c:pt>
                <c:pt idx="62">
                  <c:v>1015.2718044742865</c:v>
                </c:pt>
                <c:pt idx="63">
                  <c:v>674.88098912581916</c:v>
                </c:pt>
                <c:pt idx="64">
                  <c:v>559.99087513839106</c:v>
                </c:pt>
                <c:pt idx="65">
                  <c:v>659.59771918035722</c:v>
                </c:pt>
                <c:pt idx="66">
                  <c:v>716.8743747567089</c:v>
                </c:pt>
                <c:pt idx="67">
                  <c:v>1026.4520401123016</c:v>
                </c:pt>
                <c:pt idx="68">
                  <c:v>1037.5324526304094</c:v>
                </c:pt>
                <c:pt idx="69">
                  <c:v>1044.2177276200839</c:v>
                </c:pt>
                <c:pt idx="70">
                  <c:v>1025.1902248946842</c:v>
                </c:pt>
                <c:pt idx="71">
                  <c:v>1044.2176378842366</c:v>
                </c:pt>
                <c:pt idx="72">
                  <c:v>1046.4098478478068</c:v>
                </c:pt>
                <c:pt idx="73">
                  <c:v>961.06783152630283</c:v>
                </c:pt>
                <c:pt idx="74">
                  <c:v>939.43609273808192</c:v>
                </c:pt>
                <c:pt idx="75">
                  <c:v>939.14324545674958</c:v>
                </c:pt>
                <c:pt idx="76">
                  <c:v>941.7925409877414</c:v>
                </c:pt>
                <c:pt idx="77">
                  <c:v>936.83092125996995</c:v>
                </c:pt>
                <c:pt idx="78">
                  <c:v>948.01023972249914</c:v>
                </c:pt>
                <c:pt idx="79">
                  <c:v>975.30081231238205</c:v>
                </c:pt>
                <c:pt idx="80">
                  <c:v>984.42706318311184</c:v>
                </c:pt>
                <c:pt idx="81">
                  <c:v>985.10165072291807</c:v>
                </c:pt>
                <c:pt idx="82">
                  <c:v>985.03918167361712</c:v>
                </c:pt>
                <c:pt idx="83">
                  <c:v>984.72354531456131</c:v>
                </c:pt>
                <c:pt idx="84">
                  <c:v>978.40729773174917</c:v>
                </c:pt>
                <c:pt idx="85">
                  <c:v>969.27663518482996</c:v>
                </c:pt>
                <c:pt idx="86">
                  <c:v>965.48830815393808</c:v>
                </c:pt>
                <c:pt idx="87">
                  <c:v>964.8968656958707</c:v>
                </c:pt>
                <c:pt idx="88">
                  <c:v>964.94177815024727</c:v>
                </c:pt>
                <c:pt idx="89">
                  <c:v>982.7937179397984</c:v>
                </c:pt>
              </c:numCache>
            </c:numRef>
          </c:yVal>
          <c:smooth val="0"/>
          <c:extLst>
            <c:ext xmlns:c16="http://schemas.microsoft.com/office/drawing/2014/chart" uri="{C3380CC4-5D6E-409C-BE32-E72D297353CC}">
              <c16:uniqueId val="{00000004-08E3-41D2-BE40-EF91F5846DFC}"/>
            </c:ext>
          </c:extLst>
        </c:ser>
        <c:dLbls>
          <c:showLegendKey val="0"/>
          <c:showVal val="0"/>
          <c:showCatName val="0"/>
          <c:showSerName val="0"/>
          <c:showPercent val="0"/>
          <c:showBubbleSize val="0"/>
        </c:dLbls>
        <c:axId val="1298096159"/>
        <c:axId val="1298096575"/>
      </c:scatterChart>
      <c:valAx>
        <c:axId val="1298096159"/>
        <c:scaling>
          <c:orientation val="minMax"/>
          <c:max val="2020"/>
          <c:min val="197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majorUnit val="10"/>
      </c:valAx>
      <c:valAx>
        <c:axId val="1298096575"/>
        <c:scaling>
          <c:orientation val="minMax"/>
          <c:max val="6000"/>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Chicotin</a:t>
                </a:r>
                <a:r>
                  <a:rPr lang="en-US" baseline="0"/>
                  <a:t> Steelhead</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
      </c:valAx>
      <c:spPr>
        <a:noFill/>
        <a:ln>
          <a:noFill/>
        </a:ln>
        <a:effectLst/>
      </c:spPr>
    </c:plotArea>
    <c:legend>
      <c:legendPos val="r"/>
      <c:layout>
        <c:manualLayout>
          <c:xMode val="edge"/>
          <c:yMode val="edge"/>
          <c:x val="0.53312784529800372"/>
          <c:y val="3.8562444011485848E-2"/>
          <c:w val="0.39994170198803702"/>
          <c:h val="0.3130390729091236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Fraser River Chum</a:t>
            </a:r>
            <a:r>
              <a:rPr lang="en-US" baseline="0"/>
              <a:t> Salmon Run Size before</a:t>
            </a:r>
            <a:r>
              <a:rPr lang="en-US"/>
              <a:t> predation and Spawner</a:t>
            </a:r>
            <a:r>
              <a:rPr lang="en-US" baseline="0"/>
              <a:t> abundance</a:t>
            </a:r>
            <a:r>
              <a:rPr lang="en-US"/>
              <a:t> and total Chums killed by predators by Brood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38125720656084983"/>
          <c:w val="0.58532086614173229"/>
          <c:h val="0.41317194218256609"/>
        </c:manualLayout>
      </c:layout>
      <c:scatterChart>
        <c:scatterStyle val="lineMarker"/>
        <c:varyColors val="0"/>
        <c:ser>
          <c:idx val="0"/>
          <c:order val="0"/>
          <c:tx>
            <c:strRef>
              <c:f>'Retrospective Run1'!$FC$13</c:f>
              <c:strCache>
                <c:ptCount val="1"/>
                <c:pt idx="0">
                  <c:v>Chum spawners</c:v>
                </c:pt>
              </c:strCache>
            </c:strRef>
          </c:tx>
          <c:spPr>
            <a:ln w="19050" cap="rnd">
              <a:solidFill>
                <a:srgbClr val="00B05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Run1'!$FC$14:$FC$103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0-A3D8-44FF-8510-DCA92E716C96}"/>
            </c:ext>
          </c:extLst>
        </c:ser>
        <c:ser>
          <c:idx val="1"/>
          <c:order val="1"/>
          <c:tx>
            <c:strRef>
              <c:f>'Retrospective Run1'!$FE$13</c:f>
              <c:strCache>
                <c:ptCount val="1"/>
                <c:pt idx="0">
                  <c:v>Total run before predation lag 4 (don't use)</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Run1'!$FE$14:$FE$103</c:f>
              <c:numCache>
                <c:formatCode>#,##0</c:formatCode>
                <c:ptCount val="90"/>
                <c:pt idx="0">
                  <c:v>1187739</c:v>
                </c:pt>
                <c:pt idx="1">
                  <c:v>927000</c:v>
                </c:pt>
                <c:pt idx="2">
                  <c:v>918122</c:v>
                </c:pt>
                <c:pt idx="3">
                  <c:v>1096517</c:v>
                </c:pt>
                <c:pt idx="4">
                  <c:v>493491.60241446015</c:v>
                </c:pt>
                <c:pt idx="5">
                  <c:v>623775.31416408368</c:v>
                </c:pt>
                <c:pt idx="6">
                  <c:v>624852.06663876155</c:v>
                </c:pt>
                <c:pt idx="7">
                  <c:v>559829</c:v>
                </c:pt>
                <c:pt idx="8">
                  <c:v>714191.79541674536</c:v>
                </c:pt>
                <c:pt idx="9">
                  <c:v>813474.16133170924</c:v>
                </c:pt>
                <c:pt idx="10">
                  <c:v>397744.88723760232</c:v>
                </c:pt>
                <c:pt idx="11">
                  <c:v>249239</c:v>
                </c:pt>
                <c:pt idx="12">
                  <c:v>339884</c:v>
                </c:pt>
                <c:pt idx="13">
                  <c:v>1095655.3255096907</c:v>
                </c:pt>
                <c:pt idx="14">
                  <c:v>716627.00665595336</c:v>
                </c:pt>
                <c:pt idx="15">
                  <c:v>419759</c:v>
                </c:pt>
                <c:pt idx="16">
                  <c:v>492491.48035961424</c:v>
                </c:pt>
                <c:pt idx="17">
                  <c:v>1289762.5555183219</c:v>
                </c:pt>
                <c:pt idx="18">
                  <c:v>1443522.6006924806</c:v>
                </c:pt>
                <c:pt idx="19">
                  <c:v>739355</c:v>
                </c:pt>
                <c:pt idx="20">
                  <c:v>866844.98018714518</c:v>
                </c:pt>
                <c:pt idx="21">
                  <c:v>1463931.257273223</c:v>
                </c:pt>
                <c:pt idx="22">
                  <c:v>2483716.919389328</c:v>
                </c:pt>
                <c:pt idx="23">
                  <c:v>927055.23115646839</c:v>
                </c:pt>
                <c:pt idx="24">
                  <c:v>1928723.2583236066</c:v>
                </c:pt>
                <c:pt idx="25">
                  <c:v>1023390.2104015896</c:v>
                </c:pt>
                <c:pt idx="26">
                  <c:v>722536</c:v>
                </c:pt>
                <c:pt idx="27">
                  <c:v>1640510.5310472115</c:v>
                </c:pt>
                <c:pt idx="28">
                  <c:v>2138519.9917023615</c:v>
                </c:pt>
                <c:pt idx="29">
                  <c:v>909353</c:v>
                </c:pt>
                <c:pt idx="30">
                  <c:v>1497486.5503682415</c:v>
                </c:pt>
                <c:pt idx="31">
                  <c:v>724011</c:v>
                </c:pt>
                <c:pt idx="32">
                  <c:v>2210355.7089244896</c:v>
                </c:pt>
                <c:pt idx="33">
                  <c:v>612803</c:v>
                </c:pt>
                <c:pt idx="34">
                  <c:v>1839044</c:v>
                </c:pt>
                <c:pt idx="35">
                  <c:v>1580868</c:v>
                </c:pt>
                <c:pt idx="36">
                  <c:v>2035278.4578809098</c:v>
                </c:pt>
                <c:pt idx="37">
                  <c:v>1327057.7408969142</c:v>
                </c:pt>
                <c:pt idx="38">
                  <c:v>1644434.8479940284</c:v>
                </c:pt>
                <c:pt idx="39">
                  <c:v>1594885</c:v>
                </c:pt>
                <c:pt idx="40">
                  <c:v>2737255.5665908726</c:v>
                </c:pt>
                <c:pt idx="41">
                  <c:v>1785938.7190605476</c:v>
                </c:pt>
                <c:pt idx="42">
                  <c:v>2171218.8875173102</c:v>
                </c:pt>
                <c:pt idx="43">
                  <c:v>2295288</c:v>
                </c:pt>
                <c:pt idx="44">
                  <c:v>2836635.1049793945</c:v>
                </c:pt>
                <c:pt idx="45">
                  <c:v>2170645.1094859769</c:v>
                </c:pt>
                <c:pt idx="46">
                  <c:v>2182552.7160187014</c:v>
                </c:pt>
                <c:pt idx="47">
                  <c:v>4069680.1971950848</c:v>
                </c:pt>
                <c:pt idx="48">
                  <c:v>3195044.6918746224</c:v>
                </c:pt>
                <c:pt idx="49">
                  <c:v>2173087.4134870828</c:v>
                </c:pt>
                <c:pt idx="50">
                  <c:v>3758693.5915656588</c:v>
                </c:pt>
                <c:pt idx="51">
                  <c:v>3762677.3391756839</c:v>
                </c:pt>
                <c:pt idx="52">
                  <c:v>3963111.7164799962</c:v>
                </c:pt>
                <c:pt idx="53">
                  <c:v>3953939.7225516662</c:v>
                </c:pt>
                <c:pt idx="54">
                  <c:v>3402993.2351830276</c:v>
                </c:pt>
                <c:pt idx="55">
                  <c:v>3463185.2464733236</c:v>
                </c:pt>
                <c:pt idx="56">
                  <c:v>2335657.1150440336</c:v>
                </c:pt>
                <c:pt idx="57">
                  <c:v>1878171.1009738813</c:v>
                </c:pt>
                <c:pt idx="58">
                  <c:v>2454336.2172501353</c:v>
                </c:pt>
                <c:pt idx="59">
                  <c:v>2363295.161123035</c:v>
                </c:pt>
                <c:pt idx="60">
                  <c:v>3208296.1491251774</c:v>
                </c:pt>
                <c:pt idx="61">
                  <c:v>2906328.4698141888</c:v>
                </c:pt>
                <c:pt idx="62">
                  <c:v>3978674.1194705027</c:v>
                </c:pt>
                <c:pt idx="63">
                  <c:v>3590232.9121977738</c:v>
                </c:pt>
                <c:pt idx="64">
                  <c:v>3988424.7377871284</c:v>
                </c:pt>
                <c:pt idx="65">
                  <c:v>5636837.3703089841</c:v>
                </c:pt>
                <c:pt idx="66">
                  <c:v>2469645.9552091891</c:v>
                </c:pt>
                <c:pt idx="67">
                  <c:v>1913093.4424625693</c:v>
                </c:pt>
                <c:pt idx="68">
                  <c:v>2259081.5700578</c:v>
                </c:pt>
                <c:pt idx="69">
                  <c:v>1401300.4428739464</c:v>
                </c:pt>
                <c:pt idx="70">
                  <c:v>2965484.6093096253</c:v>
                </c:pt>
                <c:pt idx="71">
                  <c:v>2846478.209551319</c:v>
                </c:pt>
                <c:pt idx="72">
                  <c:v>2239528.0707075573</c:v>
                </c:pt>
                <c:pt idx="73">
                  <c:v>2385602.1600115802</c:v>
                </c:pt>
                <c:pt idx="74">
                  <c:v>2946364.4971713587</c:v>
                </c:pt>
                <c:pt idx="75">
                  <c:v>2963086.7335141245</c:v>
                </c:pt>
                <c:pt idx="76">
                  <c:v>2897110.5822177925</c:v>
                </c:pt>
                <c:pt idx="77">
                  <c:v>2917792.2660534382</c:v>
                </c:pt>
                <c:pt idx="78">
                  <c:v>2965698.3949706117</c:v>
                </c:pt>
                <c:pt idx="79">
                  <c:v>2966076.1159630516</c:v>
                </c:pt>
                <c:pt idx="80">
                  <c:v>2966137.5138064404</c:v>
                </c:pt>
                <c:pt idx="81">
                  <c:v>2966189.731912063</c:v>
                </c:pt>
                <c:pt idx="82">
                  <c:v>2966011.4780325592</c:v>
                </c:pt>
                <c:pt idx="83">
                  <c:v>2965929.4303263184</c:v>
                </c:pt>
                <c:pt idx="84">
                  <c:v>2965927.1161578088</c:v>
                </c:pt>
                <c:pt idx="85">
                  <c:v>2965926.721513324</c:v>
                </c:pt>
                <c:pt idx="86">
                  <c:v>2965928.5767799742</c:v>
                </c:pt>
                <c:pt idx="87">
                  <c:v>2965929.7361903838</c:v>
                </c:pt>
                <c:pt idx="88">
                  <c:v>2965929.9095958015</c:v>
                </c:pt>
                <c:pt idx="89">
                  <c:v>2965929.9166543572</c:v>
                </c:pt>
              </c:numCache>
            </c:numRef>
          </c:yVal>
          <c:smooth val="0"/>
          <c:extLst>
            <c:ext xmlns:c16="http://schemas.microsoft.com/office/drawing/2014/chart" uri="{C3380CC4-5D6E-409C-BE32-E72D297353CC}">
              <c16:uniqueId val="{00000001-A3D8-44FF-8510-DCA92E716C96}"/>
            </c:ext>
          </c:extLst>
        </c:ser>
        <c:ser>
          <c:idx val="2"/>
          <c:order val="2"/>
          <c:tx>
            <c:strRef>
              <c:f>'Retrospective Run1'!$FH$13</c:f>
              <c:strCache>
                <c:ptCount val="1"/>
                <c:pt idx="0">
                  <c:v>Total killed by predators lag 4</c:v>
                </c:pt>
              </c:strCache>
            </c:strRef>
          </c:tx>
          <c:spPr>
            <a:ln w="19050" cap="rnd">
              <a:solidFill>
                <a:srgbClr val="FF000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Run1'!$FH$14:$FH$103</c:f>
              <c:numCache>
                <c:formatCode>#,##0</c:formatCode>
                <c:ptCount val="90"/>
                <c:pt idx="0">
                  <c:v>#N/A</c:v>
                </c:pt>
                <c:pt idx="1">
                  <c:v>#N/A</c:v>
                </c:pt>
                <c:pt idx="2">
                  <c:v>#N/A</c:v>
                </c:pt>
                <c:pt idx="3">
                  <c:v>#N/A</c:v>
                </c:pt>
                <c:pt idx="4">
                  <c:v>144778.49606617738</c:v>
                </c:pt>
                <c:pt idx="5">
                  <c:v>177823.71891814261</c:v>
                </c:pt>
                <c:pt idx="6">
                  <c:v>144874.52088876214</c:v>
                </c:pt>
                <c:pt idx="7">
                  <c:v>12861.607659302856</c:v>
                </c:pt>
                <c:pt idx="8">
                  <c:v>103744.75851330184</c:v>
                </c:pt>
                <c:pt idx="9">
                  <c:v>42322.097751836845</c:v>
                </c:pt>
                <c:pt idx="10">
                  <c:v>47252.019567586016</c:v>
                </c:pt>
                <c:pt idx="11">
                  <c:v>10495.592619086092</c:v>
                </c:pt>
                <c:pt idx="12">
                  <c:v>46618.906378779444</c:v>
                </c:pt>
                <c:pt idx="13">
                  <c:v>147867.05165139772</c:v>
                </c:pt>
                <c:pt idx="14">
                  <c:v>94130.246868545539</c:v>
                </c:pt>
                <c:pt idx="15">
                  <c:v>29834.114358131774</c:v>
                </c:pt>
                <c:pt idx="16">
                  <c:v>61115.71738288342</c:v>
                </c:pt>
                <c:pt idx="17">
                  <c:v>135292.74843559379</c:v>
                </c:pt>
                <c:pt idx="18">
                  <c:v>130822.32494116633</c:v>
                </c:pt>
                <c:pt idx="19">
                  <c:v>69041.217494091368</c:v>
                </c:pt>
                <c:pt idx="20">
                  <c:v>97846.175766252447</c:v>
                </c:pt>
                <c:pt idx="21">
                  <c:v>162274.27155929687</c:v>
                </c:pt>
                <c:pt idx="22">
                  <c:v>193881.14072329504</c:v>
                </c:pt>
                <c:pt idx="23">
                  <c:v>83416.019573508063</c:v>
                </c:pt>
                <c:pt idx="24">
                  <c:v>239861.02845320967</c:v>
                </c:pt>
                <c:pt idx="25">
                  <c:v>134039.05500550056</c:v>
                </c:pt>
                <c:pt idx="26">
                  <c:v>66424.874903758755</c:v>
                </c:pt>
                <c:pt idx="27">
                  <c:v>224985.40032864641</c:v>
                </c:pt>
                <c:pt idx="28">
                  <c:v>290143.16953722551</c:v>
                </c:pt>
                <c:pt idx="29">
                  <c:v>81463.844670410268</c:v>
                </c:pt>
                <c:pt idx="30">
                  <c:v>200299.37179125263</c:v>
                </c:pt>
                <c:pt idx="31">
                  <c:v>72590.250581982138</c:v>
                </c:pt>
                <c:pt idx="32">
                  <c:v>297181.22104071896</c:v>
                </c:pt>
                <c:pt idx="33">
                  <c:v>40015.364728516084</c:v>
                </c:pt>
                <c:pt idx="34">
                  <c:v>173515.42168928124</c:v>
                </c:pt>
                <c:pt idx="35">
                  <c:v>87648.4529135091</c:v>
                </c:pt>
                <c:pt idx="36">
                  <c:v>273642.17208515503</c:v>
                </c:pt>
                <c:pt idx="37">
                  <c:v>178422.25042736577</c:v>
                </c:pt>
                <c:pt idx="38">
                  <c:v>221093.44395367126</c:v>
                </c:pt>
                <c:pt idx="39">
                  <c:v>164520.84836271033</c:v>
                </c:pt>
                <c:pt idx="40">
                  <c:v>323738.51424869406</c:v>
                </c:pt>
                <c:pt idx="41">
                  <c:v>240118.56874048593</c:v>
                </c:pt>
                <c:pt idx="42">
                  <c:v>291919.29495050712</c:v>
                </c:pt>
                <c:pt idx="43">
                  <c:v>252255.09151265444</c:v>
                </c:pt>
                <c:pt idx="44">
                  <c:v>381384.17302748421</c:v>
                </c:pt>
                <c:pt idx="45">
                  <c:v>291842.15078078397</c:v>
                </c:pt>
                <c:pt idx="46">
                  <c:v>293443.12253152044</c:v>
                </c:pt>
                <c:pt idx="47">
                  <c:v>320286.67080249055</c:v>
                </c:pt>
                <c:pt idx="48">
                  <c:v>276641.9453430709</c:v>
                </c:pt>
                <c:pt idx="49">
                  <c:v>287072.73344437499</c:v>
                </c:pt>
                <c:pt idx="50">
                  <c:v>327211.1467417283</c:v>
                </c:pt>
                <c:pt idx="51">
                  <c:v>505890.08887739759</c:v>
                </c:pt>
                <c:pt idx="52">
                  <c:v>512700.58343232237</c:v>
                </c:pt>
                <c:pt idx="53">
                  <c:v>483752.01418616716</c:v>
                </c:pt>
                <c:pt idx="54">
                  <c:v>457530.74074990302</c:v>
                </c:pt>
                <c:pt idx="55">
                  <c:v>335510.86209850945</c:v>
                </c:pt>
                <c:pt idx="56">
                  <c:v>314027.93250818877</c:v>
                </c:pt>
                <c:pt idx="57">
                  <c:v>252519.1664206828</c:v>
                </c:pt>
                <c:pt idx="58">
                  <c:v>329984.2785221911</c:v>
                </c:pt>
                <c:pt idx="59">
                  <c:v>317743.85399891273</c:v>
                </c:pt>
                <c:pt idx="60">
                  <c:v>374125.86811611429</c:v>
                </c:pt>
                <c:pt idx="61">
                  <c:v>379414.99929405935</c:v>
                </c:pt>
                <c:pt idx="62">
                  <c:v>369882.68538486864</c:v>
                </c:pt>
                <c:pt idx="63">
                  <c:v>416388.85479205521</c:v>
                </c:pt>
                <c:pt idx="64">
                  <c:v>536241.71386483405</c:v>
                </c:pt>
                <c:pt idx="65">
                  <c:v>489715.2537347828</c:v>
                </c:pt>
                <c:pt idx="66">
                  <c:v>327197.0783596579</c:v>
                </c:pt>
                <c:pt idx="67">
                  <c:v>257214.45779089327</c:v>
                </c:pt>
                <c:pt idx="68">
                  <c:v>303732.38873259397</c:v>
                </c:pt>
                <c:pt idx="69">
                  <c:v>188404.14462557714</c:v>
                </c:pt>
                <c:pt idx="70">
                  <c:v>398707.92452718318</c:v>
                </c:pt>
                <c:pt idx="71">
                  <c:v>382707.57352076471</c:v>
                </c:pt>
                <c:pt idx="72">
                  <c:v>301103.43051149789</c:v>
                </c:pt>
                <c:pt idx="73">
                  <c:v>320743.01885762135</c:v>
                </c:pt>
                <c:pt idx="74">
                  <c:v>396137.23500026949</c:v>
                </c:pt>
                <c:pt idx="75">
                  <c:v>398385.53132416448</c:v>
                </c:pt>
                <c:pt idx="76">
                  <c:v>389515.07073601242</c:v>
                </c:pt>
                <c:pt idx="77">
                  <c:v>392295.71279766737</c:v>
                </c:pt>
                <c:pt idx="78">
                  <c:v>398736.66790252132</c:v>
                </c:pt>
                <c:pt idx="79">
                  <c:v>398787.45230129175</c:v>
                </c:pt>
                <c:pt idx="80">
                  <c:v>398795.70721066883</c:v>
                </c:pt>
                <c:pt idx="81">
                  <c:v>398802.72790888743</c:v>
                </c:pt>
                <c:pt idx="82">
                  <c:v>398778.76176382182</c:v>
                </c:pt>
                <c:pt idx="83">
                  <c:v>398767.73049069894</c:v>
                </c:pt>
                <c:pt idx="84">
                  <c:v>398767.41935189907</c:v>
                </c:pt>
                <c:pt idx="85">
                  <c:v>398767.36629214557</c:v>
                </c:pt>
                <c:pt idx="86">
                  <c:v>398767.61573181953</c:v>
                </c:pt>
                <c:pt idx="87">
                  <c:v>398767.77161396993</c:v>
                </c:pt>
                <c:pt idx="88">
                  <c:v>398767.79492824199</c:v>
                </c:pt>
                <c:pt idx="89">
                  <c:v>398767.79587726109</c:v>
                </c:pt>
              </c:numCache>
            </c:numRef>
          </c:yVal>
          <c:smooth val="0"/>
          <c:extLst>
            <c:ext xmlns:c16="http://schemas.microsoft.com/office/drawing/2014/chart" uri="{C3380CC4-5D6E-409C-BE32-E72D297353CC}">
              <c16:uniqueId val="{00000002-A3D8-44FF-8510-DCA92E716C96}"/>
            </c:ext>
          </c:extLst>
        </c:ser>
        <c:ser>
          <c:idx val="3"/>
          <c:order val="3"/>
          <c:tx>
            <c:strRef>
              <c:f>'Retrospective Run1'!$AO$13</c:f>
              <c:strCache>
                <c:ptCount val="1"/>
                <c:pt idx="0">
                  <c:v>Chum catch</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Run1'!$I$14:$I$103</c:f>
              <c:numCache>
                <c:formatCode>#,##0</c:formatCode>
                <c:ptCount val="90"/>
                <c:pt idx="0">
                  <c:v>1016014</c:v>
                </c:pt>
                <c:pt idx="1">
                  <c:v>750750</c:v>
                </c:pt>
                <c:pt idx="2">
                  <c:v>780497</c:v>
                </c:pt>
                <c:pt idx="3">
                  <c:v>1010142</c:v>
                </c:pt>
                <c:pt idx="4">
                  <c:v>286599</c:v>
                </c:pt>
                <c:pt idx="5">
                  <c:v>249677</c:v>
                </c:pt>
                <c:pt idx="6">
                  <c:v>223708</c:v>
                </c:pt>
                <c:pt idx="7">
                  <c:v>470429</c:v>
                </c:pt>
                <c:pt idx="8">
                  <c:v>499322</c:v>
                </c:pt>
                <c:pt idx="9">
                  <c:v>245932</c:v>
                </c:pt>
                <c:pt idx="10">
                  <c:v>149724</c:v>
                </c:pt>
                <c:pt idx="11">
                  <c:v>118882</c:v>
                </c:pt>
                <c:pt idx="12">
                  <c:v>147639</c:v>
                </c:pt>
                <c:pt idx="13">
                  <c:v>124815</c:v>
                </c:pt>
                <c:pt idx="14">
                  <c:v>41013</c:v>
                </c:pt>
                <c:pt idx="15">
                  <c:v>58949</c:v>
                </c:pt>
                <c:pt idx="16">
                  <c:v>109130</c:v>
                </c:pt>
                <c:pt idx="17">
                  <c:v>482929</c:v>
                </c:pt>
                <c:pt idx="18">
                  <c:v>269273</c:v>
                </c:pt>
                <c:pt idx="19">
                  <c:v>455105</c:v>
                </c:pt>
                <c:pt idx="20">
                  <c:v>86239</c:v>
                </c:pt>
                <c:pt idx="21">
                  <c:v>926530</c:v>
                </c:pt>
                <c:pt idx="22">
                  <c:v>1239880</c:v>
                </c:pt>
                <c:pt idx="23">
                  <c:v>367539</c:v>
                </c:pt>
                <c:pt idx="24">
                  <c:v>294779</c:v>
                </c:pt>
                <c:pt idx="25">
                  <c:v>663205</c:v>
                </c:pt>
                <c:pt idx="26">
                  <c:v>123195</c:v>
                </c:pt>
                <c:pt idx="27">
                  <c:v>826233</c:v>
                </c:pt>
                <c:pt idx="28">
                  <c:v>53098</c:v>
                </c:pt>
                <c:pt idx="29">
                  <c:v>595342</c:v>
                </c:pt>
                <c:pt idx="30">
                  <c:v>63275</c:v>
                </c:pt>
                <c:pt idx="31">
                  <c:v>397572</c:v>
                </c:pt>
                <c:pt idx="32">
                  <c:v>98331</c:v>
                </c:pt>
                <c:pt idx="33">
                  <c:v>71325</c:v>
                </c:pt>
                <c:pt idx="34">
                  <c:v>455236</c:v>
                </c:pt>
                <c:pt idx="35">
                  <c:v>583541</c:v>
                </c:pt>
                <c:pt idx="36">
                  <c:v>117405</c:v>
                </c:pt>
                <c:pt idx="37">
                  <c:v>506644</c:v>
                </c:pt>
                <c:pt idx="38">
                  <c:v>355014</c:v>
                </c:pt>
                <c:pt idx="39">
                  <c:v>732913</c:v>
                </c:pt>
                <c:pt idx="40">
                  <c:v>347821</c:v>
                </c:pt>
                <c:pt idx="41">
                  <c:v>519859</c:v>
                </c:pt>
                <c:pt idx="42">
                  <c:v>491184</c:v>
                </c:pt>
                <c:pt idx="43">
                  <c:v>629209</c:v>
                </c:pt>
                <c:pt idx="44">
                  <c:v>215899</c:v>
                </c:pt>
                <c:pt idx="45">
                  <c:v>62262.946191224037</c:v>
                </c:pt>
                <c:pt idx="46">
                  <c:v>88283.414512617979</c:v>
                </c:pt>
                <c:pt idx="47">
                  <c:v>508637.19719508477</c:v>
                </c:pt>
                <c:pt idx="48">
                  <c:v>96421.29413362965</c:v>
                </c:pt>
                <c:pt idx="49">
                  <c:v>121347.89458584297</c:v>
                </c:pt>
                <c:pt idx="50">
                  <c:v>244244.35502036335</c:v>
                </c:pt>
                <c:pt idx="51">
                  <c:v>399672.52800343884</c:v>
                </c:pt>
                <c:pt idx="52">
                  <c:v>511795.41531764856</c:v>
                </c:pt>
                <c:pt idx="53">
                  <c:v>636227.1030926574</c:v>
                </c:pt>
                <c:pt idx="54">
                  <c:v>472954.13154947385</c:v>
                </c:pt>
                <c:pt idx="55">
                  <c:v>713048.79261172842</c:v>
                </c:pt>
                <c:pt idx="56">
                  <c:v>325386.30499893613</c:v>
                </c:pt>
                <c:pt idx="57">
                  <c:v>249924.01572772837</c:v>
                </c:pt>
                <c:pt idx="58">
                  <c:v>342371.59766111372</c:v>
                </c:pt>
                <c:pt idx="59">
                  <c:v>53018.704998433124</c:v>
                </c:pt>
                <c:pt idx="60">
                  <c:v>341856.62124154065</c:v>
                </c:pt>
                <c:pt idx="61">
                  <c:v>320947.90967110032</c:v>
                </c:pt>
                <c:pt idx="62">
                  <c:v>433468.95764655597</c:v>
                </c:pt>
                <c:pt idx="63">
                  <c:v>342286.14490478951</c:v>
                </c:pt>
                <c:pt idx="64">
                  <c:v>501838.63574402989</c:v>
                </c:pt>
                <c:pt idx="65">
                  <c:v>969486.5193175911</c:v>
                </c:pt>
                <c:pt idx="66">
                  <c:v>412654.8899999999</c:v>
                </c:pt>
                <c:pt idx="67">
                  <c:v>104591.79299999995</c:v>
                </c:pt>
                <c:pt idx="68">
                  <c:v>25862.640000000014</c:v>
                </c:pt>
                <c:pt idx="69">
                  <c:v>92061.890000000014</c:v>
                </c:pt>
                <c:pt idx="70">
                  <c:v>27655</c:v>
                </c:pt>
                <c:pt idx="71">
                  <c:v>105700</c:v>
                </c:pt>
                <c:pt idx="72">
                  <c:v>45059</c:v>
                </c:pt>
                <c:pt idx="73">
                  <c:v>135422.90951778786</c:v>
                </c:pt>
              </c:numCache>
            </c:numRef>
          </c:yVal>
          <c:smooth val="0"/>
          <c:extLst>
            <c:ext xmlns:c16="http://schemas.microsoft.com/office/drawing/2014/chart" uri="{C3380CC4-5D6E-409C-BE32-E72D297353CC}">
              <c16:uniqueId val="{00000003-A3D8-44FF-8510-DCA92E716C96}"/>
            </c:ext>
          </c:extLst>
        </c:ser>
        <c:dLbls>
          <c:showLegendKey val="0"/>
          <c:showVal val="0"/>
          <c:showCatName val="0"/>
          <c:showSerName val="0"/>
          <c:showPercent val="0"/>
          <c:showBubbleSize val="0"/>
        </c:dLbls>
        <c:axId val="1298096159"/>
        <c:axId val="1298096575"/>
      </c:scatterChart>
      <c:valAx>
        <c:axId val="1298096159"/>
        <c:scaling>
          <c:orientation val="minMax"/>
          <c:max val="202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majorUnit val="10"/>
      </c:valAx>
      <c:valAx>
        <c:axId val="129809657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Chum Salmon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0985895836142549"/>
          <c:y val="0.18093021947759799"/>
          <c:w val="0.82081669071897567"/>
          <c:h val="0.1806455119379672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BC Steller</a:t>
            </a:r>
            <a:r>
              <a:rPr lang="en-US" baseline="0"/>
              <a:t> Sea Lion Abundance, average chums</a:t>
            </a:r>
            <a:r>
              <a:rPr lang="en-US"/>
              <a:t> killed</a:t>
            </a:r>
            <a:r>
              <a:rPr lang="en-US" baseline="0"/>
              <a:t> per</a:t>
            </a:r>
            <a:r>
              <a:rPr lang="en-US"/>
              <a:t> by predator and percentage of stock killed</a:t>
            </a:r>
            <a:r>
              <a:rPr lang="en-US" baseline="0"/>
              <a:t> per</a:t>
            </a:r>
            <a:r>
              <a:rPr lang="en-US"/>
              <a:t> Brood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79912478667783"/>
          <c:y val="0.53745370370370371"/>
          <c:w val="0.56833649744360182"/>
          <c:h val="0.25697543015456403"/>
        </c:manualLayout>
      </c:layout>
      <c:scatterChart>
        <c:scatterStyle val="lineMarker"/>
        <c:varyColors val="0"/>
        <c:ser>
          <c:idx val="1"/>
          <c:order val="1"/>
          <c:tx>
            <c:strRef>
              <c:f>'Retrospective Run1'!$FK$13</c:f>
              <c:strCache>
                <c:ptCount val="1"/>
                <c:pt idx="0">
                  <c:v>Steller sea lion abundance</c:v>
                </c:pt>
              </c:strCache>
            </c:strRef>
          </c:tx>
          <c:spPr>
            <a:ln w="28575" cap="rnd">
              <a:solidFill>
                <a:srgbClr val="FF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Run1'!$FK$14:$FK$103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pt idx="66">
                  <c:v>7775.0525071201791</c:v>
                </c:pt>
                <c:pt idx="67">
                  <c:v>7775.0525071201791</c:v>
                </c:pt>
                <c:pt idx="68">
                  <c:v>7775.0525071201791</c:v>
                </c:pt>
                <c:pt idx="69">
                  <c:v>7775.0525071201791</c:v>
                </c:pt>
                <c:pt idx="70">
                  <c:v>7775.0525071201791</c:v>
                </c:pt>
                <c:pt idx="71">
                  <c:v>7775.0525071201791</c:v>
                </c:pt>
                <c:pt idx="72">
                  <c:v>7775.0525071201791</c:v>
                </c:pt>
                <c:pt idx="73">
                  <c:v>7775.0525071201791</c:v>
                </c:pt>
                <c:pt idx="74">
                  <c:v>7775.0525071201791</c:v>
                </c:pt>
                <c:pt idx="75">
                  <c:v>7775.0525071201791</c:v>
                </c:pt>
                <c:pt idx="76">
                  <c:v>7775.0525071201791</c:v>
                </c:pt>
                <c:pt idx="77">
                  <c:v>7775.0525071201791</c:v>
                </c:pt>
                <c:pt idx="78">
                  <c:v>7775.0525071201791</c:v>
                </c:pt>
                <c:pt idx="79">
                  <c:v>7775.0525071201791</c:v>
                </c:pt>
                <c:pt idx="80">
                  <c:v>7775.0525071201791</c:v>
                </c:pt>
                <c:pt idx="81">
                  <c:v>7775.0525071201791</c:v>
                </c:pt>
                <c:pt idx="82">
                  <c:v>7775.0525071201791</c:v>
                </c:pt>
                <c:pt idx="83">
                  <c:v>7775.0525071201791</c:v>
                </c:pt>
                <c:pt idx="84">
                  <c:v>7775.0525071201791</c:v>
                </c:pt>
                <c:pt idx="85">
                  <c:v>7775.0525071201791</c:v>
                </c:pt>
                <c:pt idx="86">
                  <c:v>7775.0525071201791</c:v>
                </c:pt>
                <c:pt idx="87">
                  <c:v>7775.0525071201791</c:v>
                </c:pt>
                <c:pt idx="88">
                  <c:v>7775.0525071201791</c:v>
                </c:pt>
                <c:pt idx="89">
                  <c:v>7775.0525071201791</c:v>
                </c:pt>
              </c:numCache>
            </c:numRef>
          </c:yVal>
          <c:smooth val="0"/>
          <c:extLst>
            <c:ext xmlns:c16="http://schemas.microsoft.com/office/drawing/2014/chart" uri="{C3380CC4-5D6E-409C-BE32-E72D297353CC}">
              <c16:uniqueId val="{00000000-B459-4C4D-B4D5-BEFA79C4E9C6}"/>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Run1'!$FJ$13</c:f>
              <c:strCache>
                <c:ptCount val="1"/>
                <c:pt idx="0">
                  <c:v>percentage killed by predators</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#,##0.00</c:formatCode>
                <c:ptCount val="90"/>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pt idx="66">
                  <c:v>13.444950052194123</c:v>
                </c:pt>
                <c:pt idx="67">
                  <c:v>13.444950052194136</c:v>
                </c:pt>
                <c:pt idx="68">
                  <c:v>13.44495005219413</c:v>
                </c:pt>
                <c:pt idx="69">
                  <c:v>13.444950052194136</c:v>
                </c:pt>
                <c:pt idx="70">
                  <c:v>13.444950052194116</c:v>
                </c:pt>
                <c:pt idx="71">
                  <c:v>13.444950052194123</c:v>
                </c:pt>
                <c:pt idx="72">
                  <c:v>13.444950052194118</c:v>
                </c:pt>
                <c:pt idx="73">
                  <c:v>13.444950052194107</c:v>
                </c:pt>
                <c:pt idx="74">
                  <c:v>13.444950052194116</c:v>
                </c:pt>
                <c:pt idx="75">
                  <c:v>13.444950052194123</c:v>
                </c:pt>
                <c:pt idx="76">
                  <c:v>13.444950052194136</c:v>
                </c:pt>
                <c:pt idx="77">
                  <c:v>13.444950052194116</c:v>
                </c:pt>
                <c:pt idx="78">
                  <c:v>13.444950052194111</c:v>
                </c:pt>
                <c:pt idx="79">
                  <c:v>13.444950052194116</c:v>
                </c:pt>
                <c:pt idx="80">
                  <c:v>13.444950052194127</c:v>
                </c:pt>
                <c:pt idx="81">
                  <c:v>13.444950052194137</c:v>
                </c:pt>
                <c:pt idx="82">
                  <c:v>13.444950052194121</c:v>
                </c:pt>
                <c:pt idx="83">
                  <c:v>13.444950052194121</c:v>
                </c:pt>
                <c:pt idx="84">
                  <c:v>13.44495005219413</c:v>
                </c:pt>
                <c:pt idx="85">
                  <c:v>13.444950052194121</c:v>
                </c:pt>
                <c:pt idx="86">
                  <c:v>13.444950052194105</c:v>
                </c:pt>
                <c:pt idx="87">
                  <c:v>13.444950052194118</c:v>
                </c:pt>
                <c:pt idx="88">
                  <c:v>13.444950052194102</c:v>
                </c:pt>
              </c:numCache>
            </c:numRef>
          </c:yVal>
          <c:smooth val="0"/>
          <c:extLst>
            <c:ext xmlns:c16="http://schemas.microsoft.com/office/drawing/2014/chart" uri="{C3380CC4-5D6E-409C-BE32-E72D297353CC}">
              <c16:uniqueId val="{00000001-B459-4C4D-B4D5-BEFA79C4E9C6}"/>
            </c:ext>
          </c:extLst>
        </c:ser>
        <c:ser>
          <c:idx val="2"/>
          <c:order val="2"/>
          <c:tx>
            <c:strRef>
              <c:f>'Retrospective Run1'!$FP$13</c:f>
              <c:strCache>
                <c:ptCount val="1"/>
                <c:pt idx="0">
                  <c:v>running avg chums killed per predator</c:v>
                </c:pt>
              </c:strCache>
            </c:strRef>
          </c:tx>
          <c:spPr>
            <a:ln w="19050" cap="rnd">
              <a:solidFill>
                <a:schemeClr val="tx1"/>
              </a:solidFill>
              <a:prstDash val="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Run1'!$FP$14:$FP$103</c:f>
              <c:numCache>
                <c:formatCode>0</c:formatCode>
                <c:ptCount val="90"/>
                <c:pt idx="0">
                  <c:v>7.7425921445833925</c:v>
                </c:pt>
                <c:pt idx="1">
                  <c:v>8.7916497586528735</c:v>
                </c:pt>
                <c:pt idx="2">
                  <c:v>9.2610189828422094</c:v>
                </c:pt>
                <c:pt idx="3">
                  <c:v>7.2559171238831119</c:v>
                </c:pt>
                <c:pt idx="4">
                  <c:v>8.2596664394011192</c:v>
                </c:pt>
                <c:pt idx="5">
                  <c:v>7.7013825471889339</c:v>
                </c:pt>
                <c:pt idx="6">
                  <c:v>7.3397937539093379</c:v>
                </c:pt>
                <c:pt idx="7">
                  <c:v>5.9115883872606974</c:v>
                </c:pt>
                <c:pt idx="8">
                  <c:v>5.1791472997667256</c:v>
                </c:pt>
                <c:pt idx="9">
                  <c:v>8.1292299908935188</c:v>
                </c:pt>
                <c:pt idx="10">
                  <c:v>8.152427065131981</c:v>
                </c:pt>
                <c:pt idx="11">
                  <c:v>8.0098115175471332</c:v>
                </c:pt>
                <c:pt idx="12">
                  <c:v>8.5086324984582546</c:v>
                </c:pt>
                <c:pt idx="13">
                  <c:v>11.559598123067437</c:v>
                </c:pt>
                <c:pt idx="14">
                  <c:v>13.852674399602007</c:v>
                </c:pt>
                <c:pt idx="15">
                  <c:v>12.468103706690187</c:v>
                </c:pt>
                <c:pt idx="16">
                  <c:v>12.927695449242234</c:v>
                </c:pt>
                <c:pt idx="17">
                  <c:v>16.52701785817148</c:v>
                </c:pt>
                <c:pt idx="18">
                  <c:v>20.228507478214944</c:v>
                </c:pt>
                <c:pt idx="19">
                  <c:v>19.030800875256251</c:v>
                </c:pt>
                <c:pt idx="20">
                  <c:v>21.360470896226659</c:v>
                </c:pt>
                <c:pt idx="21">
                  <c:v>22.54344583238829</c:v>
                </c:pt>
                <c:pt idx="22">
                  <c:v>21.413296854863798</c:v>
                </c:pt>
                <c:pt idx="23">
                  <c:v>21.859145081764087</c:v>
                </c:pt>
                <c:pt idx="24">
                  <c:v>22.889098363477387</c:v>
                </c:pt>
                <c:pt idx="25">
                  <c:v>22.573532300252698</c:v>
                </c:pt>
                <c:pt idx="26">
                  <c:v>21.300814077099222</c:v>
                </c:pt>
                <c:pt idx="27">
                  <c:v>19.901609148759011</c:v>
                </c:pt>
                <c:pt idx="28">
                  <c:v>24.873593185446897</c:v>
                </c:pt>
                <c:pt idx="29">
                  <c:v>21.010483574133367</c:v>
                </c:pt>
                <c:pt idx="30">
                  <c:v>18.570867347909395</c:v>
                </c:pt>
                <c:pt idx="31">
                  <c:v>18.700101324747358</c:v>
                </c:pt>
                <c:pt idx="32">
                  <c:v>20.248370931131557</c:v>
                </c:pt>
                <c:pt idx="33">
                  <c:v>22.516994406631468</c:v>
                </c:pt>
                <c:pt idx="34">
                  <c:v>20.885970542861873</c:v>
                </c:pt>
                <c:pt idx="35">
                  <c:v>23.55488035665789</c:v>
                </c:pt>
                <c:pt idx="36">
                  <c:v>26.775074956026458</c:v>
                </c:pt>
                <c:pt idx="37">
                  <c:v>30.043436931446109</c:v>
                </c:pt>
                <c:pt idx="38">
                  <c:v>30.435226844303386</c:v>
                </c:pt>
                <c:pt idx="39">
                  <c:v>32.017913713999221</c:v>
                </c:pt>
                <c:pt idx="40">
                  <c:v>35.453918999858985</c:v>
                </c:pt>
                <c:pt idx="41">
                  <c:v>38.183188937296201</c:v>
                </c:pt>
                <c:pt idx="42">
                  <c:v>37.533774422315325</c:v>
                </c:pt>
                <c:pt idx="43">
                  <c:v>39.252264468708127</c:v>
                </c:pt>
                <c:pt idx="44">
                  <c:v>38.924777942766219</c:v>
                </c:pt>
                <c:pt idx="45">
                  <c:v>39.671131786246924</c:v>
                </c:pt>
                <c:pt idx="46">
                  <c:v>38.509874327725036</c:v>
                </c:pt>
                <c:pt idx="47">
                  <c:v>43.09822357897005</c:v>
                </c:pt>
                <c:pt idx="48">
                  <c:v>47.79824459061836</c:v>
                </c:pt>
                <c:pt idx="49">
                  <c:v>51.30230117060028</c:v>
                </c:pt>
                <c:pt idx="50">
                  <c:v>55.179848304873197</c:v>
                </c:pt>
                <c:pt idx="51">
                  <c:v>56.218172024869006</c:v>
                </c:pt>
                <c:pt idx="52">
                  <c:v>55.93557555748253</c:v>
                </c:pt>
                <c:pt idx="53">
                  <c:v>50.504295570955428</c:v>
                </c:pt>
                <c:pt idx="54">
                  <c:v>46.587573792274952</c:v>
                </c:pt>
                <c:pt idx="55">
                  <c:v>43.029009181613077</c:v>
                </c:pt>
                <c:pt idx="56">
                  <c:v>41.241135454342235</c:v>
                </c:pt>
                <c:pt idx="57">
                  <c:v>42.182268159562852</c:v>
                </c:pt>
                <c:pt idx="58">
                  <c:v>43.379575247961498</c:v>
                </c:pt>
                <c:pt idx="59">
                  <c:v>46.892299400441608</c:v>
                </c:pt>
                <c:pt idx="60">
                  <c:v>51.313650792254457</c:v>
                </c:pt>
                <c:pt idx="61">
                  <c:v>55.00004389760398</c:v>
                </c:pt>
                <c:pt idx="62">
                  <c:v>53.994074490677569</c:v>
                </c:pt>
                <c:pt idx="63">
                  <c:v>51.374573606465788</c:v>
                </c:pt>
                <c:pt idx="64">
                  <c:v>49.956570392731948</c:v>
                </c:pt>
                <c:pt idx="65">
                  <c:v>45.069471346183256</c:v>
                </c:pt>
                <c:pt idx="66">
                  <c:v>42.121285697025236</c:v>
                </c:pt>
                <c:pt idx="67">
                  <c:v>39.827460240197695</c:v>
                </c:pt>
                <c:pt idx="68">
                  <c:v>39.26811465326513</c:v>
                </c:pt>
                <c:pt idx="69">
                  <c:v>40.629918126801165</c:v>
                </c:pt>
                <c:pt idx="70">
                  <c:v>42.610716031017972</c:v>
                </c:pt>
                <c:pt idx="71">
                  <c:v>47.111894351170626</c:v>
                </c:pt>
                <c:pt idx="72">
                  <c:v>46.914835579268392</c:v>
                </c:pt>
                <c:pt idx="73">
                  <c:v>47.120367723437674</c:v>
                </c:pt>
                <c:pt idx="74">
                  <c:v>49.213241850903124</c:v>
                </c:pt>
                <c:pt idx="75">
                  <c:v>50.886208761677459</c:v>
                </c:pt>
                <c:pt idx="76">
                  <c:v>50.94319599119487</c:v>
                </c:pt>
                <c:pt idx="77">
                  <c:v>50.952139051586663</c:v>
                </c:pt>
                <c:pt idx="78">
                  <c:v>51.15071629633465</c:v>
                </c:pt>
                <c:pt idx="79">
                  <c:v>51.28945100127941</c:v>
                </c:pt>
                <c:pt idx="80">
                  <c:v>51.290110191884004</c:v>
                </c:pt>
                <c:pt idx="81">
                  <c:v>51.289679626535673</c:v>
                </c:pt>
                <c:pt idx="82">
                  <c:v>51.289077455278658</c:v>
                </c:pt>
                <c:pt idx="83">
                  <c:v>51.288328129258339</c:v>
                </c:pt>
                <c:pt idx="84">
                  <c:v>51.288093043266542</c:v>
                </c:pt>
                <c:pt idx="85">
                  <c:v>51.288094444898285</c:v>
                </c:pt>
                <c:pt idx="86">
                  <c:v>51.288102458766197</c:v>
                </c:pt>
                <c:pt idx="87">
                  <c:v>51.288111565662938</c:v>
                </c:pt>
                <c:pt idx="88">
                  <c:v>51.288115314373016</c:v>
                </c:pt>
                <c:pt idx="89">
                  <c:v>51.288115720502951</c:v>
                </c:pt>
              </c:numCache>
            </c:numRef>
          </c:yVal>
          <c:smooth val="0"/>
          <c:extLst>
            <c:ext xmlns:c16="http://schemas.microsoft.com/office/drawing/2014/chart" uri="{C3380CC4-5D6E-409C-BE32-E72D297353CC}">
              <c16:uniqueId val="{00000002-B459-4C4D-B4D5-BEFA79C4E9C6}"/>
            </c:ext>
          </c:extLst>
        </c:ser>
        <c:ser>
          <c:idx val="3"/>
          <c:order val="3"/>
          <c:tx>
            <c:strRef>
              <c:f>'Retrospective Run1'!$FM$13</c:f>
              <c:strCache>
                <c:ptCount val="1"/>
                <c:pt idx="0">
                  <c:v>chums killed per predator</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Run1'!$FM$14:$FM$103</c:f>
              <c:numCache>
                <c:formatCode>0</c:formatCode>
                <c:ptCount val="90"/>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pt idx="66">
                  <c:v>51.280415683631389</c:v>
                </c:pt>
                <c:pt idx="67">
                  <c:v>49.222506622340063</c:v>
                </c:pt>
                <c:pt idx="68">
                  <c:v>38.726867791022073</c:v>
                </c:pt>
                <c:pt idx="69">
                  <c:v>41.252842802526892</c:v>
                </c:pt>
                <c:pt idx="70">
                  <c:v>50.949782607576978</c:v>
                </c:pt>
                <c:pt idx="71">
                  <c:v>51.238950599926362</c:v>
                </c:pt>
                <c:pt idx="72">
                  <c:v>50.098063052218009</c:v>
                </c:pt>
                <c:pt idx="73">
                  <c:v>50.455699487355709</c:v>
                </c:pt>
                <c:pt idx="74">
                  <c:v>51.284112555814801</c:v>
                </c:pt>
                <c:pt idx="75">
                  <c:v>51.29064426717288</c:v>
                </c:pt>
                <c:pt idx="76">
                  <c:v>51.291705984681478</c:v>
                </c:pt>
                <c:pt idx="77">
                  <c:v>51.292608962277086</c:v>
                </c:pt>
                <c:pt idx="78">
                  <c:v>51.289526520705962</c:v>
                </c:pt>
                <c:pt idx="79">
                  <c:v>51.288107717024218</c:v>
                </c:pt>
                <c:pt idx="80">
                  <c:v>51.288067699442394</c:v>
                </c:pt>
                <c:pt idx="81">
                  <c:v>51.288060875082884</c:v>
                </c:pt>
                <c:pt idx="82">
                  <c:v>51.288092957139405</c:v>
                </c:pt>
                <c:pt idx="83">
                  <c:v>51.288113006155186</c:v>
                </c:pt>
                <c:pt idx="84">
                  <c:v>51.288116004755132</c:v>
                </c:pt>
                <c:pt idx="85">
                  <c:v>51.288116126814643</c:v>
                </c:pt>
                <c:pt idx="86">
                  <c:v>51.288115782649918</c:v>
                </c:pt>
                <c:pt idx="87">
                  <c:v>51.288115516463307</c:v>
                </c:pt>
                <c:pt idx="88">
                  <c:v>51.288115449399854</c:v>
                </c:pt>
                <c:pt idx="89">
                  <c:v>51.288115442934838</c:v>
                </c:pt>
              </c:numCache>
            </c:numRef>
          </c:yVal>
          <c:smooth val="0"/>
          <c:extLst>
            <c:ext xmlns:c16="http://schemas.microsoft.com/office/drawing/2014/chart" uri="{C3380CC4-5D6E-409C-BE32-E72D297353CC}">
              <c16:uniqueId val="{00000003-B459-4C4D-B4D5-BEFA79C4E9C6}"/>
            </c:ext>
          </c:extLst>
        </c:ser>
        <c:dLbls>
          <c:showLegendKey val="0"/>
          <c:showVal val="0"/>
          <c:showCatName val="0"/>
          <c:showSerName val="0"/>
          <c:showPercent val="0"/>
          <c:showBubbleSize val="0"/>
        </c:dLbls>
        <c:axId val="1298105311"/>
        <c:axId val="1298101567"/>
      </c:scatterChart>
      <c:valAx>
        <c:axId val="1298096159"/>
        <c:scaling>
          <c:orientation val="minMax"/>
          <c:max val="202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6749934383202095"/>
          <c:y val="0.28116797900262469"/>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Run1'!$AO$13</c:f>
              <c:strCache>
                <c:ptCount val="1"/>
                <c:pt idx="0">
                  <c:v>Chum catch</c:v>
                </c:pt>
              </c:strCache>
            </c:strRef>
          </c:tx>
          <c:spPr>
            <a:ln w="19050" cap="rnd">
              <a:solidFill>
                <a:schemeClr val="accent1"/>
              </a:solidFill>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Run1'!$I$14:$I$103</c:f>
              <c:numCache>
                <c:formatCode>#,##0</c:formatCode>
                <c:ptCount val="90"/>
                <c:pt idx="0">
                  <c:v>1016014</c:v>
                </c:pt>
                <c:pt idx="1">
                  <c:v>750750</c:v>
                </c:pt>
                <c:pt idx="2">
                  <c:v>780497</c:v>
                </c:pt>
                <c:pt idx="3">
                  <c:v>1010142</c:v>
                </c:pt>
                <c:pt idx="4">
                  <c:v>286599</c:v>
                </c:pt>
                <c:pt idx="5">
                  <c:v>249677</c:v>
                </c:pt>
                <c:pt idx="6">
                  <c:v>223708</c:v>
                </c:pt>
                <c:pt idx="7">
                  <c:v>470429</c:v>
                </c:pt>
                <c:pt idx="8">
                  <c:v>499322</c:v>
                </c:pt>
                <c:pt idx="9">
                  <c:v>245932</c:v>
                </c:pt>
                <c:pt idx="10">
                  <c:v>149724</c:v>
                </c:pt>
                <c:pt idx="11">
                  <c:v>118882</c:v>
                </c:pt>
                <c:pt idx="12">
                  <c:v>147639</c:v>
                </c:pt>
                <c:pt idx="13">
                  <c:v>124815</c:v>
                </c:pt>
                <c:pt idx="14">
                  <c:v>41013</c:v>
                </c:pt>
                <c:pt idx="15">
                  <c:v>58949</c:v>
                </c:pt>
                <c:pt idx="16">
                  <c:v>109130</c:v>
                </c:pt>
                <c:pt idx="17">
                  <c:v>482929</c:v>
                </c:pt>
                <c:pt idx="18">
                  <c:v>269273</c:v>
                </c:pt>
                <c:pt idx="19">
                  <c:v>455105</c:v>
                </c:pt>
                <c:pt idx="20">
                  <c:v>86239</c:v>
                </c:pt>
                <c:pt idx="21">
                  <c:v>926530</c:v>
                </c:pt>
                <c:pt idx="22">
                  <c:v>1239880</c:v>
                </c:pt>
                <c:pt idx="23">
                  <c:v>367539</c:v>
                </c:pt>
                <c:pt idx="24">
                  <c:v>294779</c:v>
                </c:pt>
                <c:pt idx="25">
                  <c:v>663205</c:v>
                </c:pt>
                <c:pt idx="26">
                  <c:v>123195</c:v>
                </c:pt>
                <c:pt idx="27">
                  <c:v>826233</c:v>
                </c:pt>
                <c:pt idx="28">
                  <c:v>53098</c:v>
                </c:pt>
                <c:pt idx="29">
                  <c:v>595342</c:v>
                </c:pt>
                <c:pt idx="30">
                  <c:v>63275</c:v>
                </c:pt>
                <c:pt idx="31">
                  <c:v>397572</c:v>
                </c:pt>
                <c:pt idx="32">
                  <c:v>98331</c:v>
                </c:pt>
                <c:pt idx="33">
                  <c:v>71325</c:v>
                </c:pt>
                <c:pt idx="34">
                  <c:v>455236</c:v>
                </c:pt>
                <c:pt idx="35">
                  <c:v>583541</c:v>
                </c:pt>
                <c:pt idx="36">
                  <c:v>117405</c:v>
                </c:pt>
                <c:pt idx="37">
                  <c:v>506644</c:v>
                </c:pt>
                <c:pt idx="38">
                  <c:v>355014</c:v>
                </c:pt>
                <c:pt idx="39">
                  <c:v>732913</c:v>
                </c:pt>
                <c:pt idx="40">
                  <c:v>347821</c:v>
                </c:pt>
                <c:pt idx="41">
                  <c:v>519859</c:v>
                </c:pt>
                <c:pt idx="42">
                  <c:v>491184</c:v>
                </c:pt>
                <c:pt idx="43">
                  <c:v>629209</c:v>
                </c:pt>
                <c:pt idx="44">
                  <c:v>215899</c:v>
                </c:pt>
                <c:pt idx="45">
                  <c:v>62262.946191224037</c:v>
                </c:pt>
                <c:pt idx="46">
                  <c:v>88283.414512617979</c:v>
                </c:pt>
                <c:pt idx="47">
                  <c:v>508637.19719508477</c:v>
                </c:pt>
                <c:pt idx="48">
                  <c:v>96421.29413362965</c:v>
                </c:pt>
                <c:pt idx="49">
                  <c:v>121347.89458584297</c:v>
                </c:pt>
                <c:pt idx="50">
                  <c:v>244244.35502036335</c:v>
                </c:pt>
                <c:pt idx="51">
                  <c:v>399672.52800343884</c:v>
                </c:pt>
                <c:pt idx="52">
                  <c:v>511795.41531764856</c:v>
                </c:pt>
                <c:pt idx="53">
                  <c:v>636227.1030926574</c:v>
                </c:pt>
                <c:pt idx="54">
                  <c:v>472954.13154947385</c:v>
                </c:pt>
                <c:pt idx="55">
                  <c:v>713048.79261172842</c:v>
                </c:pt>
                <c:pt idx="56">
                  <c:v>325386.30499893613</c:v>
                </c:pt>
                <c:pt idx="57">
                  <c:v>249924.01572772837</c:v>
                </c:pt>
                <c:pt idx="58">
                  <c:v>342371.59766111372</c:v>
                </c:pt>
                <c:pt idx="59">
                  <c:v>53018.704998433124</c:v>
                </c:pt>
                <c:pt idx="60">
                  <c:v>341856.62124154065</c:v>
                </c:pt>
                <c:pt idx="61">
                  <c:v>320947.90967110032</c:v>
                </c:pt>
                <c:pt idx="62">
                  <c:v>433468.95764655597</c:v>
                </c:pt>
                <c:pt idx="63">
                  <c:v>342286.14490478951</c:v>
                </c:pt>
                <c:pt idx="64">
                  <c:v>501838.63574402989</c:v>
                </c:pt>
                <c:pt idx="65">
                  <c:v>969486.5193175911</c:v>
                </c:pt>
                <c:pt idx="66">
                  <c:v>412654.8899999999</c:v>
                </c:pt>
                <c:pt idx="67">
                  <c:v>104591.79299999995</c:v>
                </c:pt>
                <c:pt idx="68">
                  <c:v>25862.640000000014</c:v>
                </c:pt>
                <c:pt idx="69">
                  <c:v>92061.890000000014</c:v>
                </c:pt>
                <c:pt idx="70">
                  <c:v>27655</c:v>
                </c:pt>
                <c:pt idx="71">
                  <c:v>105700</c:v>
                </c:pt>
                <c:pt idx="72">
                  <c:v>45059</c:v>
                </c:pt>
                <c:pt idx="73">
                  <c:v>135422.90951778786</c:v>
                </c:pt>
              </c:numCache>
            </c:numRef>
          </c:yVal>
          <c:smooth val="0"/>
          <c:extLst>
            <c:ext xmlns:c16="http://schemas.microsoft.com/office/drawing/2014/chart" uri="{C3380CC4-5D6E-409C-BE32-E72D297353CC}">
              <c16:uniqueId val="{00000000-59EF-45DD-8520-5B2BEB48A78F}"/>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59EF-45DD-8520-5B2BEB48A78F}"/>
            </c:ext>
          </c:extLst>
        </c:ser>
        <c:ser>
          <c:idx val="3"/>
          <c:order val="3"/>
          <c:tx>
            <c:strRef>
              <c:f>'Retrospective Run1'!$AN$13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Run1'!$G$14:$G$103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59EF-45DD-8520-5B2BEB48A78F}"/>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Run1'!$AI$13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Run1'!$AH$14:$AH$103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Run1'!$AI$14:$AI$103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c:v>
                </c:pt>
                <c:pt idx="79">
                  <c:v>0.2</c:v>
                </c:pt>
                <c:pt idx="80">
                  <c:v>0.2</c:v>
                </c:pt>
                <c:pt idx="81">
                  <c:v>0.2</c:v>
                </c:pt>
                <c:pt idx="82">
                  <c:v>0.2</c:v>
                </c:pt>
                <c:pt idx="83">
                  <c:v>0.2</c:v>
                </c:pt>
                <c:pt idx="84">
                  <c:v>0.2</c:v>
                </c:pt>
                <c:pt idx="85">
                  <c:v>0.2</c:v>
                </c:pt>
                <c:pt idx="86">
                  <c:v>0.2</c:v>
                </c:pt>
                <c:pt idx="87">
                  <c:v>0.2</c:v>
                </c:pt>
                <c:pt idx="88">
                  <c:v>0.2</c:v>
                </c:pt>
                <c:pt idx="89">
                  <c:v>0.2</c:v>
                </c:pt>
              </c:numCache>
            </c:numRef>
          </c:yVal>
          <c:smooth val="0"/>
          <c:extLst>
            <c:ext xmlns:c16="http://schemas.microsoft.com/office/drawing/2014/chart" uri="{C3380CC4-5D6E-409C-BE32-E72D297353CC}">
              <c16:uniqueId val="{00000003-59EF-45DD-8520-5B2BEB48A78F}"/>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layout>
        <c:manualLayout>
          <c:xMode val="edge"/>
          <c:yMode val="edge"/>
          <c:x val="0.13082401069380292"/>
          <c:y val="4.4007045392027877E-2"/>
          <c:w val="0.82977973516999937"/>
          <c:h val="0.1391006463251585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28958880139983"/>
          <c:y val="0.30295454125074756"/>
          <c:w val="0.58532086614173229"/>
          <c:h val="0.4914745577744758"/>
        </c:manualLayout>
      </c:layout>
      <c:scatterChart>
        <c:scatterStyle val="lineMarker"/>
        <c:varyColors val="0"/>
        <c:ser>
          <c:idx val="0"/>
          <c:order val="0"/>
          <c:tx>
            <c:strRef>
              <c:f>'Retrospective Run1'!$FC$13</c:f>
              <c:strCache>
                <c:ptCount val="1"/>
                <c:pt idx="0">
                  <c:v>Chum spawners</c:v>
                </c:pt>
              </c:strCache>
            </c:strRef>
          </c:tx>
          <c:spPr>
            <a:ln w="19050" cap="rnd">
              <a:solidFill>
                <a:srgbClr val="00B05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Run1'!$FC$14:$FC$103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0-E1C5-4003-B778-23D89F7FB45D}"/>
            </c:ext>
          </c:extLst>
        </c:ser>
        <c:ser>
          <c:idx val="1"/>
          <c:order val="1"/>
          <c:tx>
            <c:strRef>
              <c:f>'Retrospective Run1'!$FE$13</c:f>
              <c:strCache>
                <c:ptCount val="1"/>
                <c:pt idx="0">
                  <c:v>Total run before predation lag 4 (don't use)</c:v>
                </c:pt>
              </c:strCache>
            </c:strRef>
          </c:tx>
          <c:spPr>
            <a:ln w="19050" cap="rnd">
              <a:solidFill>
                <a:schemeClr val="accent1"/>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Run1'!$FE$14:$FE$103</c:f>
              <c:numCache>
                <c:formatCode>#,##0</c:formatCode>
                <c:ptCount val="90"/>
                <c:pt idx="0">
                  <c:v>1187739</c:v>
                </c:pt>
                <c:pt idx="1">
                  <c:v>927000</c:v>
                </c:pt>
                <c:pt idx="2">
                  <c:v>918122</c:v>
                </c:pt>
                <c:pt idx="3">
                  <c:v>1096517</c:v>
                </c:pt>
                <c:pt idx="4">
                  <c:v>493491.60241446015</c:v>
                </c:pt>
                <c:pt idx="5">
                  <c:v>623775.31416408368</c:v>
                </c:pt>
                <c:pt idx="6">
                  <c:v>624852.06663876155</c:v>
                </c:pt>
                <c:pt idx="7">
                  <c:v>559829</c:v>
                </c:pt>
                <c:pt idx="8">
                  <c:v>714191.79541674536</c:v>
                </c:pt>
                <c:pt idx="9">
                  <c:v>813474.16133170924</c:v>
                </c:pt>
                <c:pt idx="10">
                  <c:v>397744.88723760232</c:v>
                </c:pt>
                <c:pt idx="11">
                  <c:v>249239</c:v>
                </c:pt>
                <c:pt idx="12">
                  <c:v>339884</c:v>
                </c:pt>
                <c:pt idx="13">
                  <c:v>1095655.3255096907</c:v>
                </c:pt>
                <c:pt idx="14">
                  <c:v>716627.00665595336</c:v>
                </c:pt>
                <c:pt idx="15">
                  <c:v>419759</c:v>
                </c:pt>
                <c:pt idx="16">
                  <c:v>492491.48035961424</c:v>
                </c:pt>
                <c:pt idx="17">
                  <c:v>1289762.5555183219</c:v>
                </c:pt>
                <c:pt idx="18">
                  <c:v>1443522.6006924806</c:v>
                </c:pt>
                <c:pt idx="19">
                  <c:v>739355</c:v>
                </c:pt>
                <c:pt idx="20">
                  <c:v>866844.98018714518</c:v>
                </c:pt>
                <c:pt idx="21">
                  <c:v>1463931.257273223</c:v>
                </c:pt>
                <c:pt idx="22">
                  <c:v>2483716.919389328</c:v>
                </c:pt>
                <c:pt idx="23">
                  <c:v>927055.23115646839</c:v>
                </c:pt>
                <c:pt idx="24">
                  <c:v>1928723.2583236066</c:v>
                </c:pt>
                <c:pt idx="25">
                  <c:v>1023390.2104015896</c:v>
                </c:pt>
                <c:pt idx="26">
                  <c:v>722536</c:v>
                </c:pt>
                <c:pt idx="27">
                  <c:v>1640510.5310472115</c:v>
                </c:pt>
                <c:pt idx="28">
                  <c:v>2138519.9917023615</c:v>
                </c:pt>
                <c:pt idx="29">
                  <c:v>909353</c:v>
                </c:pt>
                <c:pt idx="30">
                  <c:v>1497486.5503682415</c:v>
                </c:pt>
                <c:pt idx="31">
                  <c:v>724011</c:v>
                </c:pt>
                <c:pt idx="32">
                  <c:v>2210355.7089244896</c:v>
                </c:pt>
                <c:pt idx="33">
                  <c:v>612803</c:v>
                </c:pt>
                <c:pt idx="34">
                  <c:v>1839044</c:v>
                </c:pt>
                <c:pt idx="35">
                  <c:v>1580868</c:v>
                </c:pt>
                <c:pt idx="36">
                  <c:v>2035278.4578809098</c:v>
                </c:pt>
                <c:pt idx="37">
                  <c:v>1327057.7408969142</c:v>
                </c:pt>
                <c:pt idx="38">
                  <c:v>1644434.8479940284</c:v>
                </c:pt>
                <c:pt idx="39">
                  <c:v>1594885</c:v>
                </c:pt>
                <c:pt idx="40">
                  <c:v>2737255.5665908726</c:v>
                </c:pt>
                <c:pt idx="41">
                  <c:v>1785938.7190605476</c:v>
                </c:pt>
                <c:pt idx="42">
                  <c:v>2171218.8875173102</c:v>
                </c:pt>
                <c:pt idx="43">
                  <c:v>2295288</c:v>
                </c:pt>
                <c:pt idx="44">
                  <c:v>2836635.1049793945</c:v>
                </c:pt>
                <c:pt idx="45">
                  <c:v>2170645.1094859769</c:v>
                </c:pt>
                <c:pt idx="46">
                  <c:v>2182552.7160187014</c:v>
                </c:pt>
                <c:pt idx="47">
                  <c:v>4069680.1971950848</c:v>
                </c:pt>
                <c:pt idx="48">
                  <c:v>3195044.6918746224</c:v>
                </c:pt>
                <c:pt idx="49">
                  <c:v>2173087.4134870828</c:v>
                </c:pt>
                <c:pt idx="50">
                  <c:v>3758693.5915656588</c:v>
                </c:pt>
                <c:pt idx="51">
                  <c:v>3762677.3391756839</c:v>
                </c:pt>
                <c:pt idx="52">
                  <c:v>3963111.7164799962</c:v>
                </c:pt>
                <c:pt idx="53">
                  <c:v>3953939.7225516662</c:v>
                </c:pt>
                <c:pt idx="54">
                  <c:v>3402993.2351830276</c:v>
                </c:pt>
                <c:pt idx="55">
                  <c:v>3463185.2464733236</c:v>
                </c:pt>
                <c:pt idx="56">
                  <c:v>2335657.1150440336</c:v>
                </c:pt>
                <c:pt idx="57">
                  <c:v>1878171.1009738813</c:v>
                </c:pt>
                <c:pt idx="58">
                  <c:v>2454336.2172501353</c:v>
                </c:pt>
                <c:pt idx="59">
                  <c:v>2363295.161123035</c:v>
                </c:pt>
                <c:pt idx="60">
                  <c:v>3208296.1491251774</c:v>
                </c:pt>
                <c:pt idx="61">
                  <c:v>2906328.4698141888</c:v>
                </c:pt>
                <c:pt idx="62">
                  <c:v>3978674.1194705027</c:v>
                </c:pt>
                <c:pt idx="63">
                  <c:v>3590232.9121977738</c:v>
                </c:pt>
                <c:pt idx="64">
                  <c:v>3988424.7377871284</c:v>
                </c:pt>
                <c:pt idx="65">
                  <c:v>5636837.3703089841</c:v>
                </c:pt>
                <c:pt idx="66">
                  <c:v>2469645.9552091891</c:v>
                </c:pt>
                <c:pt idx="67">
                  <c:v>1913093.4424625693</c:v>
                </c:pt>
                <c:pt idx="68">
                  <c:v>2259081.5700578</c:v>
                </c:pt>
                <c:pt idx="69">
                  <c:v>1401300.4428739464</c:v>
                </c:pt>
                <c:pt idx="70">
                  <c:v>2965484.6093096253</c:v>
                </c:pt>
                <c:pt idx="71">
                  <c:v>2846478.209551319</c:v>
                </c:pt>
                <c:pt idx="72">
                  <c:v>2239528.0707075573</c:v>
                </c:pt>
                <c:pt idx="73">
                  <c:v>2385602.1600115802</c:v>
                </c:pt>
                <c:pt idx="74">
                  <c:v>2946364.4971713587</c:v>
                </c:pt>
                <c:pt idx="75">
                  <c:v>2963086.7335141245</c:v>
                </c:pt>
                <c:pt idx="76">
                  <c:v>2897110.5822177925</c:v>
                </c:pt>
                <c:pt idx="77">
                  <c:v>2917792.2660534382</c:v>
                </c:pt>
                <c:pt idx="78">
                  <c:v>2965698.3949706117</c:v>
                </c:pt>
                <c:pt idx="79">
                  <c:v>2966076.1159630516</c:v>
                </c:pt>
                <c:pt idx="80">
                  <c:v>2966137.5138064404</c:v>
                </c:pt>
                <c:pt idx="81">
                  <c:v>2966189.731912063</c:v>
                </c:pt>
                <c:pt idx="82">
                  <c:v>2966011.4780325592</c:v>
                </c:pt>
                <c:pt idx="83">
                  <c:v>2965929.4303263184</c:v>
                </c:pt>
                <c:pt idx="84">
                  <c:v>2965927.1161578088</c:v>
                </c:pt>
                <c:pt idx="85">
                  <c:v>2965926.721513324</c:v>
                </c:pt>
                <c:pt idx="86">
                  <c:v>2965928.5767799742</c:v>
                </c:pt>
                <c:pt idx="87">
                  <c:v>2965929.7361903838</c:v>
                </c:pt>
                <c:pt idx="88">
                  <c:v>2965929.9095958015</c:v>
                </c:pt>
                <c:pt idx="89">
                  <c:v>2965929.9166543572</c:v>
                </c:pt>
              </c:numCache>
            </c:numRef>
          </c:yVal>
          <c:smooth val="0"/>
          <c:extLst>
            <c:ext xmlns:c16="http://schemas.microsoft.com/office/drawing/2014/chart" uri="{C3380CC4-5D6E-409C-BE32-E72D297353CC}">
              <c16:uniqueId val="{00000001-E1C5-4003-B778-23D89F7FB45D}"/>
            </c:ext>
          </c:extLst>
        </c:ser>
        <c:ser>
          <c:idx val="2"/>
          <c:order val="2"/>
          <c:tx>
            <c:strRef>
              <c:f>'Retrospective Run1'!$FH$13</c:f>
              <c:strCache>
                <c:ptCount val="1"/>
                <c:pt idx="0">
                  <c:v>Total killed by predators lag 4</c:v>
                </c:pt>
              </c:strCache>
            </c:strRef>
          </c:tx>
          <c:spPr>
            <a:ln w="19050" cap="rnd">
              <a:solidFill>
                <a:srgbClr val="FF000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Run1'!$FH$14:$FH$103</c:f>
              <c:numCache>
                <c:formatCode>#,##0</c:formatCode>
                <c:ptCount val="90"/>
                <c:pt idx="0">
                  <c:v>#N/A</c:v>
                </c:pt>
                <c:pt idx="1">
                  <c:v>#N/A</c:v>
                </c:pt>
                <c:pt idx="2">
                  <c:v>#N/A</c:v>
                </c:pt>
                <c:pt idx="3">
                  <c:v>#N/A</c:v>
                </c:pt>
                <c:pt idx="4">
                  <c:v>144778.49606617738</c:v>
                </c:pt>
                <c:pt idx="5">
                  <c:v>177823.71891814261</c:v>
                </c:pt>
                <c:pt idx="6">
                  <c:v>144874.52088876214</c:v>
                </c:pt>
                <c:pt idx="7">
                  <c:v>12861.607659302856</c:v>
                </c:pt>
                <c:pt idx="8">
                  <c:v>103744.75851330184</c:v>
                </c:pt>
                <c:pt idx="9">
                  <c:v>42322.097751836845</c:v>
                </c:pt>
                <c:pt idx="10">
                  <c:v>47252.019567586016</c:v>
                </c:pt>
                <c:pt idx="11">
                  <c:v>10495.592619086092</c:v>
                </c:pt>
                <c:pt idx="12">
                  <c:v>46618.906378779444</c:v>
                </c:pt>
                <c:pt idx="13">
                  <c:v>147867.05165139772</c:v>
                </c:pt>
                <c:pt idx="14">
                  <c:v>94130.246868545539</c:v>
                </c:pt>
                <c:pt idx="15">
                  <c:v>29834.114358131774</c:v>
                </c:pt>
                <c:pt idx="16">
                  <c:v>61115.71738288342</c:v>
                </c:pt>
                <c:pt idx="17">
                  <c:v>135292.74843559379</c:v>
                </c:pt>
                <c:pt idx="18">
                  <c:v>130822.32494116633</c:v>
                </c:pt>
                <c:pt idx="19">
                  <c:v>69041.217494091368</c:v>
                </c:pt>
                <c:pt idx="20">
                  <c:v>97846.175766252447</c:v>
                </c:pt>
                <c:pt idx="21">
                  <c:v>162274.27155929687</c:v>
                </c:pt>
                <c:pt idx="22">
                  <c:v>193881.14072329504</c:v>
                </c:pt>
                <c:pt idx="23">
                  <c:v>83416.019573508063</c:v>
                </c:pt>
                <c:pt idx="24">
                  <c:v>239861.02845320967</c:v>
                </c:pt>
                <c:pt idx="25">
                  <c:v>134039.05500550056</c:v>
                </c:pt>
                <c:pt idx="26">
                  <c:v>66424.874903758755</c:v>
                </c:pt>
                <c:pt idx="27">
                  <c:v>224985.40032864641</c:v>
                </c:pt>
                <c:pt idx="28">
                  <c:v>290143.16953722551</c:v>
                </c:pt>
                <c:pt idx="29">
                  <c:v>81463.844670410268</c:v>
                </c:pt>
                <c:pt idx="30">
                  <c:v>200299.37179125263</c:v>
                </c:pt>
                <c:pt idx="31">
                  <c:v>72590.250581982138</c:v>
                </c:pt>
                <c:pt idx="32">
                  <c:v>297181.22104071896</c:v>
                </c:pt>
                <c:pt idx="33">
                  <c:v>40015.364728516084</c:v>
                </c:pt>
                <c:pt idx="34">
                  <c:v>173515.42168928124</c:v>
                </c:pt>
                <c:pt idx="35">
                  <c:v>87648.4529135091</c:v>
                </c:pt>
                <c:pt idx="36">
                  <c:v>273642.17208515503</c:v>
                </c:pt>
                <c:pt idx="37">
                  <c:v>178422.25042736577</c:v>
                </c:pt>
                <c:pt idx="38">
                  <c:v>221093.44395367126</c:v>
                </c:pt>
                <c:pt idx="39">
                  <c:v>164520.84836271033</c:v>
                </c:pt>
                <c:pt idx="40">
                  <c:v>323738.51424869406</c:v>
                </c:pt>
                <c:pt idx="41">
                  <c:v>240118.56874048593</c:v>
                </c:pt>
                <c:pt idx="42">
                  <c:v>291919.29495050712</c:v>
                </c:pt>
                <c:pt idx="43">
                  <c:v>252255.09151265444</c:v>
                </c:pt>
                <c:pt idx="44">
                  <c:v>381384.17302748421</c:v>
                </c:pt>
                <c:pt idx="45">
                  <c:v>291842.15078078397</c:v>
                </c:pt>
                <c:pt idx="46">
                  <c:v>293443.12253152044</c:v>
                </c:pt>
                <c:pt idx="47">
                  <c:v>320286.67080249055</c:v>
                </c:pt>
                <c:pt idx="48">
                  <c:v>276641.9453430709</c:v>
                </c:pt>
                <c:pt idx="49">
                  <c:v>287072.73344437499</c:v>
                </c:pt>
                <c:pt idx="50">
                  <c:v>327211.1467417283</c:v>
                </c:pt>
                <c:pt idx="51">
                  <c:v>505890.08887739759</c:v>
                </c:pt>
                <c:pt idx="52">
                  <c:v>512700.58343232237</c:v>
                </c:pt>
                <c:pt idx="53">
                  <c:v>483752.01418616716</c:v>
                </c:pt>
                <c:pt idx="54">
                  <c:v>457530.74074990302</c:v>
                </c:pt>
                <c:pt idx="55">
                  <c:v>335510.86209850945</c:v>
                </c:pt>
                <c:pt idx="56">
                  <c:v>314027.93250818877</c:v>
                </c:pt>
                <c:pt idx="57">
                  <c:v>252519.1664206828</c:v>
                </c:pt>
                <c:pt idx="58">
                  <c:v>329984.2785221911</c:v>
                </c:pt>
                <c:pt idx="59">
                  <c:v>317743.85399891273</c:v>
                </c:pt>
                <c:pt idx="60">
                  <c:v>374125.86811611429</c:v>
                </c:pt>
                <c:pt idx="61">
                  <c:v>379414.99929405935</c:v>
                </c:pt>
                <c:pt idx="62">
                  <c:v>369882.68538486864</c:v>
                </c:pt>
                <c:pt idx="63">
                  <c:v>416388.85479205521</c:v>
                </c:pt>
                <c:pt idx="64">
                  <c:v>536241.71386483405</c:v>
                </c:pt>
                <c:pt idx="65">
                  <c:v>489715.2537347828</c:v>
                </c:pt>
                <c:pt idx="66">
                  <c:v>327197.0783596579</c:v>
                </c:pt>
                <c:pt idx="67">
                  <c:v>257214.45779089327</c:v>
                </c:pt>
                <c:pt idx="68">
                  <c:v>303732.38873259397</c:v>
                </c:pt>
                <c:pt idx="69">
                  <c:v>188404.14462557714</c:v>
                </c:pt>
                <c:pt idx="70">
                  <c:v>398707.92452718318</c:v>
                </c:pt>
                <c:pt idx="71">
                  <c:v>382707.57352076471</c:v>
                </c:pt>
                <c:pt idx="72">
                  <c:v>301103.43051149789</c:v>
                </c:pt>
                <c:pt idx="73">
                  <c:v>320743.01885762135</c:v>
                </c:pt>
                <c:pt idx="74">
                  <c:v>396137.23500026949</c:v>
                </c:pt>
                <c:pt idx="75">
                  <c:v>398385.53132416448</c:v>
                </c:pt>
                <c:pt idx="76">
                  <c:v>389515.07073601242</c:v>
                </c:pt>
                <c:pt idx="77">
                  <c:v>392295.71279766737</c:v>
                </c:pt>
                <c:pt idx="78">
                  <c:v>398736.66790252132</c:v>
                </c:pt>
                <c:pt idx="79">
                  <c:v>398787.45230129175</c:v>
                </c:pt>
                <c:pt idx="80">
                  <c:v>398795.70721066883</c:v>
                </c:pt>
                <c:pt idx="81">
                  <c:v>398802.72790888743</c:v>
                </c:pt>
                <c:pt idx="82">
                  <c:v>398778.76176382182</c:v>
                </c:pt>
                <c:pt idx="83">
                  <c:v>398767.73049069894</c:v>
                </c:pt>
                <c:pt idx="84">
                  <c:v>398767.41935189907</c:v>
                </c:pt>
                <c:pt idx="85">
                  <c:v>398767.36629214557</c:v>
                </c:pt>
                <c:pt idx="86">
                  <c:v>398767.61573181953</c:v>
                </c:pt>
                <c:pt idx="87">
                  <c:v>398767.77161396993</c:v>
                </c:pt>
                <c:pt idx="88">
                  <c:v>398767.79492824199</c:v>
                </c:pt>
                <c:pt idx="89">
                  <c:v>398767.79587726109</c:v>
                </c:pt>
              </c:numCache>
            </c:numRef>
          </c:yVal>
          <c:smooth val="0"/>
          <c:extLst>
            <c:ext xmlns:c16="http://schemas.microsoft.com/office/drawing/2014/chart" uri="{C3380CC4-5D6E-409C-BE32-E72D297353CC}">
              <c16:uniqueId val="{00000002-E1C5-4003-B778-23D89F7FB45D}"/>
            </c:ext>
          </c:extLst>
        </c:ser>
        <c:ser>
          <c:idx val="3"/>
          <c:order val="3"/>
          <c:tx>
            <c:strRef>
              <c:f>'Retrospective Run1'!$AO$13</c:f>
              <c:strCache>
                <c:ptCount val="1"/>
                <c:pt idx="0">
                  <c:v>Chum catch</c:v>
                </c:pt>
              </c:strCache>
            </c:strRef>
          </c:tx>
          <c:spPr>
            <a:ln w="19050" cap="rnd">
              <a:solidFill>
                <a:schemeClr val="accent4"/>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Run1'!$I$14:$I$103</c:f>
              <c:numCache>
                <c:formatCode>#,##0</c:formatCode>
                <c:ptCount val="90"/>
                <c:pt idx="0">
                  <c:v>1016014</c:v>
                </c:pt>
                <c:pt idx="1">
                  <c:v>750750</c:v>
                </c:pt>
                <c:pt idx="2">
                  <c:v>780497</c:v>
                </c:pt>
                <c:pt idx="3">
                  <c:v>1010142</c:v>
                </c:pt>
                <c:pt idx="4">
                  <c:v>286599</c:v>
                </c:pt>
                <c:pt idx="5">
                  <c:v>249677</c:v>
                </c:pt>
                <c:pt idx="6">
                  <c:v>223708</c:v>
                </c:pt>
                <c:pt idx="7">
                  <c:v>470429</c:v>
                </c:pt>
                <c:pt idx="8">
                  <c:v>499322</c:v>
                </c:pt>
                <c:pt idx="9">
                  <c:v>245932</c:v>
                </c:pt>
                <c:pt idx="10">
                  <c:v>149724</c:v>
                </c:pt>
                <c:pt idx="11">
                  <c:v>118882</c:v>
                </c:pt>
                <c:pt idx="12">
                  <c:v>147639</c:v>
                </c:pt>
                <c:pt idx="13">
                  <c:v>124815</c:v>
                </c:pt>
                <c:pt idx="14">
                  <c:v>41013</c:v>
                </c:pt>
                <c:pt idx="15">
                  <c:v>58949</c:v>
                </c:pt>
                <c:pt idx="16">
                  <c:v>109130</c:v>
                </c:pt>
                <c:pt idx="17">
                  <c:v>482929</c:v>
                </c:pt>
                <c:pt idx="18">
                  <c:v>269273</c:v>
                </c:pt>
                <c:pt idx="19">
                  <c:v>455105</c:v>
                </c:pt>
                <c:pt idx="20">
                  <c:v>86239</c:v>
                </c:pt>
                <c:pt idx="21">
                  <c:v>926530</c:v>
                </c:pt>
                <c:pt idx="22">
                  <c:v>1239880</c:v>
                </c:pt>
                <c:pt idx="23">
                  <c:v>367539</c:v>
                </c:pt>
                <c:pt idx="24">
                  <c:v>294779</c:v>
                </c:pt>
                <c:pt idx="25">
                  <c:v>663205</c:v>
                </c:pt>
                <c:pt idx="26">
                  <c:v>123195</c:v>
                </c:pt>
                <c:pt idx="27">
                  <c:v>826233</c:v>
                </c:pt>
                <c:pt idx="28">
                  <c:v>53098</c:v>
                </c:pt>
                <c:pt idx="29">
                  <c:v>595342</c:v>
                </c:pt>
                <c:pt idx="30">
                  <c:v>63275</c:v>
                </c:pt>
                <c:pt idx="31">
                  <c:v>397572</c:v>
                </c:pt>
                <c:pt idx="32">
                  <c:v>98331</c:v>
                </c:pt>
                <c:pt idx="33">
                  <c:v>71325</c:v>
                </c:pt>
                <c:pt idx="34">
                  <c:v>455236</c:v>
                </c:pt>
                <c:pt idx="35">
                  <c:v>583541</c:v>
                </c:pt>
                <c:pt idx="36">
                  <c:v>117405</c:v>
                </c:pt>
                <c:pt idx="37">
                  <c:v>506644</c:v>
                </c:pt>
                <c:pt idx="38">
                  <c:v>355014</c:v>
                </c:pt>
                <c:pt idx="39">
                  <c:v>732913</c:v>
                </c:pt>
                <c:pt idx="40">
                  <c:v>347821</c:v>
                </c:pt>
                <c:pt idx="41">
                  <c:v>519859</c:v>
                </c:pt>
                <c:pt idx="42">
                  <c:v>491184</c:v>
                </c:pt>
                <c:pt idx="43">
                  <c:v>629209</c:v>
                </c:pt>
                <c:pt idx="44">
                  <c:v>215899</c:v>
                </c:pt>
                <c:pt idx="45">
                  <c:v>62262.946191224037</c:v>
                </c:pt>
                <c:pt idx="46">
                  <c:v>88283.414512617979</c:v>
                </c:pt>
                <c:pt idx="47">
                  <c:v>508637.19719508477</c:v>
                </c:pt>
                <c:pt idx="48">
                  <c:v>96421.29413362965</c:v>
                </c:pt>
                <c:pt idx="49">
                  <c:v>121347.89458584297</c:v>
                </c:pt>
                <c:pt idx="50">
                  <c:v>244244.35502036335</c:v>
                </c:pt>
                <c:pt idx="51">
                  <c:v>399672.52800343884</c:v>
                </c:pt>
                <c:pt idx="52">
                  <c:v>511795.41531764856</c:v>
                </c:pt>
                <c:pt idx="53">
                  <c:v>636227.1030926574</c:v>
                </c:pt>
                <c:pt idx="54">
                  <c:v>472954.13154947385</c:v>
                </c:pt>
                <c:pt idx="55">
                  <c:v>713048.79261172842</c:v>
                </c:pt>
                <c:pt idx="56">
                  <c:v>325386.30499893613</c:v>
                </c:pt>
                <c:pt idx="57">
                  <c:v>249924.01572772837</c:v>
                </c:pt>
                <c:pt idx="58">
                  <c:v>342371.59766111372</c:v>
                </c:pt>
                <c:pt idx="59">
                  <c:v>53018.704998433124</c:v>
                </c:pt>
                <c:pt idx="60">
                  <c:v>341856.62124154065</c:v>
                </c:pt>
                <c:pt idx="61">
                  <c:v>320947.90967110032</c:v>
                </c:pt>
                <c:pt idx="62">
                  <c:v>433468.95764655597</c:v>
                </c:pt>
                <c:pt idx="63">
                  <c:v>342286.14490478951</c:v>
                </c:pt>
                <c:pt idx="64">
                  <c:v>501838.63574402989</c:v>
                </c:pt>
                <c:pt idx="65">
                  <c:v>969486.5193175911</c:v>
                </c:pt>
                <c:pt idx="66">
                  <c:v>412654.8899999999</c:v>
                </c:pt>
                <c:pt idx="67">
                  <c:v>104591.79299999995</c:v>
                </c:pt>
                <c:pt idx="68">
                  <c:v>25862.640000000014</c:v>
                </c:pt>
                <c:pt idx="69">
                  <c:v>92061.890000000014</c:v>
                </c:pt>
                <c:pt idx="70">
                  <c:v>27655</c:v>
                </c:pt>
                <c:pt idx="71">
                  <c:v>105700</c:v>
                </c:pt>
                <c:pt idx="72">
                  <c:v>45059</c:v>
                </c:pt>
                <c:pt idx="73">
                  <c:v>135422.90951778786</c:v>
                </c:pt>
              </c:numCache>
            </c:numRef>
          </c:yVal>
          <c:smooth val="0"/>
          <c:extLst>
            <c:ext xmlns:c16="http://schemas.microsoft.com/office/drawing/2014/chart" uri="{C3380CC4-5D6E-409C-BE32-E72D297353CC}">
              <c16:uniqueId val="{00000003-E1C5-4003-B778-23D89F7FB45D}"/>
            </c:ext>
          </c:extLst>
        </c:ser>
        <c:dLbls>
          <c:showLegendKey val="0"/>
          <c:showVal val="0"/>
          <c:showCatName val="0"/>
          <c:showSerName val="0"/>
          <c:showPercent val="0"/>
          <c:showBubbleSize val="0"/>
        </c:dLbls>
        <c:axId val="1298096159"/>
        <c:axId val="1298096575"/>
      </c:scatterChart>
      <c:valAx>
        <c:axId val="1298096159"/>
        <c:scaling>
          <c:orientation val="minMax"/>
          <c:max val="202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majorUnit val="10"/>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Total Chum Salmon</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1173503086253331"/>
          <c:y val="5.5645812652983212E-2"/>
          <c:w val="0.82081669071897567"/>
          <c:h val="0.1806455119379672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30150564491185"/>
          <c:y val="0.37046082808390923"/>
          <c:w val="0.61902624752464119"/>
          <c:h val="0.42396825882209038"/>
        </c:manualLayout>
      </c:layout>
      <c:scatterChart>
        <c:scatterStyle val="lineMarker"/>
        <c:varyColors val="0"/>
        <c:ser>
          <c:idx val="1"/>
          <c:order val="1"/>
          <c:tx>
            <c:strRef>
              <c:f>'Retrospective Run1'!$FK$13</c:f>
              <c:strCache>
                <c:ptCount val="1"/>
                <c:pt idx="0">
                  <c:v>Steller sea lion abundance</c:v>
                </c:pt>
              </c:strCache>
            </c:strRef>
          </c:tx>
          <c:spPr>
            <a:ln w="28575" cap="rnd">
              <a:solidFill>
                <a:srgbClr val="C00000"/>
              </a:solidFill>
              <a:prstDash val="sysDash"/>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Run1'!$FK$14:$FK$103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pt idx="66">
                  <c:v>7775.0525071201791</c:v>
                </c:pt>
                <c:pt idx="67">
                  <c:v>7775.0525071201791</c:v>
                </c:pt>
                <c:pt idx="68">
                  <c:v>7775.0525071201791</c:v>
                </c:pt>
                <c:pt idx="69">
                  <c:v>7775.0525071201791</c:v>
                </c:pt>
                <c:pt idx="70">
                  <c:v>7775.0525071201791</c:v>
                </c:pt>
                <c:pt idx="71">
                  <c:v>7775.0525071201791</c:v>
                </c:pt>
                <c:pt idx="72">
                  <c:v>7775.0525071201791</c:v>
                </c:pt>
                <c:pt idx="73">
                  <c:v>7775.0525071201791</c:v>
                </c:pt>
                <c:pt idx="74">
                  <c:v>7775.0525071201791</c:v>
                </c:pt>
                <c:pt idx="75">
                  <c:v>7775.0525071201791</c:v>
                </c:pt>
                <c:pt idx="76">
                  <c:v>7775.0525071201791</c:v>
                </c:pt>
                <c:pt idx="77">
                  <c:v>7775.0525071201791</c:v>
                </c:pt>
                <c:pt idx="78">
                  <c:v>7775.0525071201791</c:v>
                </c:pt>
                <c:pt idx="79">
                  <c:v>7775.0525071201791</c:v>
                </c:pt>
                <c:pt idx="80">
                  <c:v>7775.0525071201791</c:v>
                </c:pt>
                <c:pt idx="81">
                  <c:v>7775.0525071201791</c:v>
                </c:pt>
                <c:pt idx="82">
                  <c:v>7775.0525071201791</c:v>
                </c:pt>
                <c:pt idx="83">
                  <c:v>7775.0525071201791</c:v>
                </c:pt>
                <c:pt idx="84">
                  <c:v>7775.0525071201791</c:v>
                </c:pt>
                <c:pt idx="85">
                  <c:v>7775.0525071201791</c:v>
                </c:pt>
                <c:pt idx="86">
                  <c:v>7775.0525071201791</c:v>
                </c:pt>
                <c:pt idx="87">
                  <c:v>7775.0525071201791</c:v>
                </c:pt>
                <c:pt idx="88">
                  <c:v>7775.0525071201791</c:v>
                </c:pt>
                <c:pt idx="89">
                  <c:v>7775.0525071201791</c:v>
                </c:pt>
              </c:numCache>
            </c:numRef>
          </c:yVal>
          <c:smooth val="0"/>
          <c:extLst>
            <c:ext xmlns:c16="http://schemas.microsoft.com/office/drawing/2014/chart" uri="{C3380CC4-5D6E-409C-BE32-E72D297353CC}">
              <c16:uniqueId val="{00000000-8759-4F0D-AC87-B52D6BC0620E}"/>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Run1'!$FJ$13</c:f>
              <c:strCache>
                <c:ptCount val="1"/>
                <c:pt idx="0">
                  <c:v>percentage killed by predators</c:v>
                </c:pt>
              </c:strCache>
            </c:strRef>
          </c:tx>
          <c:spPr>
            <a:ln w="19050" cap="rnd">
              <a:solidFill>
                <a:srgbClr val="FF66FF"/>
              </a:solidFill>
              <a:prstDash val="sysDot"/>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#,##0.00</c:formatCode>
                <c:ptCount val="90"/>
                <c:pt idx="0">
                  <c:v>29.337580489279492</c:v>
                </c:pt>
                <c:pt idx="1">
                  <c:v>28.507655702348973</c:v>
                </c:pt>
                <c:pt idx="2">
                  <c:v>23.185411175492959</c:v>
                </c:pt>
                <c:pt idx="3">
                  <c:v>17.512804643419177</c:v>
                </c:pt>
                <c:pt idx="4">
                  <c:v>14.526176186715317</c:v>
                </c:pt>
                <c:pt idx="5">
                  <c:v>14.791946222235271</c:v>
                </c:pt>
                <c:pt idx="6">
                  <c:v>14.568558155766123</c:v>
                </c:pt>
                <c:pt idx="7">
                  <c:v>14.21244641746075</c:v>
                </c:pt>
                <c:pt idx="8">
                  <c:v>13.854850265836099</c:v>
                </c:pt>
                <c:pt idx="9">
                  <c:v>13.495763513275588</c:v>
                </c:pt>
                <c:pt idx="10">
                  <c:v>13.13517994637016</c:v>
                </c:pt>
                <c:pt idx="11">
                  <c:v>12.773093325810937</c:v>
                </c:pt>
                <c:pt idx="12">
                  <c:v>12.4094973862811</c:v>
                </c:pt>
                <c:pt idx="13">
                  <c:v>12.04438583634745</c:v>
                </c:pt>
                <c:pt idx="14">
                  <c:v>11.678283778894972</c:v>
                </c:pt>
                <c:pt idx="15">
                  <c:v>11.358937092372996</c:v>
                </c:pt>
                <c:pt idx="16">
                  <c:v>11.287620970606325</c:v>
                </c:pt>
                <c:pt idx="17">
                  <c:v>11.084828659342612</c:v>
                </c:pt>
                <c:pt idx="18">
                  <c:v>11.041125726870698</c:v>
                </c:pt>
                <c:pt idx="19">
                  <c:v>11.751948788421636</c:v>
                </c:pt>
                <c:pt idx="20">
                  <c:v>12.436259448734512</c:v>
                </c:pt>
                <c:pt idx="21">
                  <c:v>13.097551026299358</c:v>
                </c:pt>
                <c:pt idx="22">
                  <c:v>13.672293830093798</c:v>
                </c:pt>
                <c:pt idx="23">
                  <c:v>13.714352701230641</c:v>
                </c:pt>
                <c:pt idx="24">
                  <c:v>13.567475200746571</c:v>
                </c:pt>
                <c:pt idx="25">
                  <c:v>13.42109019784337</c:v>
                </c:pt>
                <c:pt idx="26">
                  <c:v>13.375704225323275</c:v>
                </c:pt>
                <c:pt idx="27">
                  <c:v>13.444950052194132</c:v>
                </c:pt>
                <c:pt idx="28">
                  <c:v>13.444950052194123</c:v>
                </c:pt>
                <c:pt idx="29">
                  <c:v>13.444950052194132</c:v>
                </c:pt>
                <c:pt idx="30">
                  <c:v>13.44495005219413</c:v>
                </c:pt>
                <c:pt idx="31">
                  <c:v>13.444950052194121</c:v>
                </c:pt>
                <c:pt idx="32">
                  <c:v>13.444950052194118</c:v>
                </c:pt>
                <c:pt idx="33">
                  <c:v>13.444950052194121</c:v>
                </c:pt>
                <c:pt idx="34">
                  <c:v>13.444950052194111</c:v>
                </c:pt>
                <c:pt idx="35">
                  <c:v>13.444950052194123</c:v>
                </c:pt>
                <c:pt idx="36">
                  <c:v>13.444950052194113</c:v>
                </c:pt>
                <c:pt idx="37">
                  <c:v>13.444950052194111</c:v>
                </c:pt>
                <c:pt idx="38">
                  <c:v>13.444950052194116</c:v>
                </c:pt>
                <c:pt idx="39">
                  <c:v>13.444950052194121</c:v>
                </c:pt>
                <c:pt idx="40">
                  <c:v>13.444950052194132</c:v>
                </c:pt>
                <c:pt idx="41">
                  <c:v>13.444950052194121</c:v>
                </c:pt>
                <c:pt idx="42">
                  <c:v>13.444950052194113</c:v>
                </c:pt>
                <c:pt idx="43">
                  <c:v>13.444950052194127</c:v>
                </c:pt>
                <c:pt idx="44">
                  <c:v>13.444950052194121</c:v>
                </c:pt>
                <c:pt idx="45">
                  <c:v>13.444950052194105</c:v>
                </c:pt>
                <c:pt idx="46">
                  <c:v>13.444950052194116</c:v>
                </c:pt>
                <c:pt idx="47">
                  <c:v>13.444950052194123</c:v>
                </c:pt>
                <c:pt idx="48">
                  <c:v>13.444950052194127</c:v>
                </c:pt>
                <c:pt idx="49">
                  <c:v>13.444950052194123</c:v>
                </c:pt>
                <c:pt idx="50">
                  <c:v>13.444950052194127</c:v>
                </c:pt>
                <c:pt idx="51">
                  <c:v>13.444950052194113</c:v>
                </c:pt>
                <c:pt idx="52">
                  <c:v>13.444950052194132</c:v>
                </c:pt>
                <c:pt idx="53">
                  <c:v>13.444950052194123</c:v>
                </c:pt>
                <c:pt idx="54">
                  <c:v>13.444950052194113</c:v>
                </c:pt>
                <c:pt idx="55">
                  <c:v>13.444950052194123</c:v>
                </c:pt>
                <c:pt idx="56">
                  <c:v>13.444950052194116</c:v>
                </c:pt>
                <c:pt idx="57">
                  <c:v>13.444950052194113</c:v>
                </c:pt>
                <c:pt idx="58">
                  <c:v>13.444950052194123</c:v>
                </c:pt>
                <c:pt idx="59">
                  <c:v>13.444950052194107</c:v>
                </c:pt>
                <c:pt idx="60">
                  <c:v>13.44495005219413</c:v>
                </c:pt>
                <c:pt idx="61">
                  <c:v>13.444950052194116</c:v>
                </c:pt>
                <c:pt idx="62">
                  <c:v>13.444950052194116</c:v>
                </c:pt>
                <c:pt idx="63">
                  <c:v>13.444950052194107</c:v>
                </c:pt>
                <c:pt idx="64">
                  <c:v>13.444950052194121</c:v>
                </c:pt>
                <c:pt idx="65">
                  <c:v>13.444950052194123</c:v>
                </c:pt>
                <c:pt idx="66">
                  <c:v>13.444950052194123</c:v>
                </c:pt>
                <c:pt idx="67">
                  <c:v>13.444950052194136</c:v>
                </c:pt>
                <c:pt idx="68">
                  <c:v>13.44495005219413</c:v>
                </c:pt>
                <c:pt idx="69">
                  <c:v>13.444950052194136</c:v>
                </c:pt>
                <c:pt idx="70">
                  <c:v>13.444950052194116</c:v>
                </c:pt>
                <c:pt idx="71">
                  <c:v>13.444950052194123</c:v>
                </c:pt>
                <c:pt idx="72">
                  <c:v>13.444950052194118</c:v>
                </c:pt>
                <c:pt idx="73">
                  <c:v>13.444950052194107</c:v>
                </c:pt>
                <c:pt idx="74">
                  <c:v>13.444950052194116</c:v>
                </c:pt>
                <c:pt idx="75">
                  <c:v>13.444950052194123</c:v>
                </c:pt>
                <c:pt idx="76">
                  <c:v>13.444950052194136</c:v>
                </c:pt>
                <c:pt idx="77">
                  <c:v>13.444950052194116</c:v>
                </c:pt>
                <c:pt idx="78">
                  <c:v>13.444950052194111</c:v>
                </c:pt>
                <c:pt idx="79">
                  <c:v>13.444950052194116</c:v>
                </c:pt>
                <c:pt idx="80">
                  <c:v>13.444950052194127</c:v>
                </c:pt>
                <c:pt idx="81">
                  <c:v>13.444950052194137</c:v>
                </c:pt>
                <c:pt idx="82">
                  <c:v>13.444950052194121</c:v>
                </c:pt>
                <c:pt idx="83">
                  <c:v>13.444950052194121</c:v>
                </c:pt>
                <c:pt idx="84">
                  <c:v>13.44495005219413</c:v>
                </c:pt>
                <c:pt idx="85">
                  <c:v>13.444950052194121</c:v>
                </c:pt>
                <c:pt idx="86">
                  <c:v>13.444950052194105</c:v>
                </c:pt>
                <c:pt idx="87">
                  <c:v>13.444950052194118</c:v>
                </c:pt>
                <c:pt idx="88">
                  <c:v>13.444950052194102</c:v>
                </c:pt>
              </c:numCache>
            </c:numRef>
          </c:yVal>
          <c:smooth val="0"/>
          <c:extLst>
            <c:ext xmlns:c16="http://schemas.microsoft.com/office/drawing/2014/chart" uri="{C3380CC4-5D6E-409C-BE32-E72D297353CC}">
              <c16:uniqueId val="{00000001-8759-4F0D-AC87-B52D6BC0620E}"/>
            </c:ext>
          </c:extLst>
        </c:ser>
        <c:ser>
          <c:idx val="3"/>
          <c:order val="2"/>
          <c:tx>
            <c:strRef>
              <c:f>'Retrospective Run1'!$FM$13</c:f>
              <c:strCache>
                <c:ptCount val="1"/>
                <c:pt idx="0">
                  <c:v>chums killed per predator</c:v>
                </c:pt>
              </c:strCache>
            </c:strRef>
          </c:tx>
          <c:spPr>
            <a:ln w="19050" cap="rnd">
              <a:solidFill>
                <a:srgbClr val="FF0000"/>
              </a:solidFill>
              <a:round/>
            </a:ln>
            <a:effectLst/>
          </c:spPr>
          <c:marker>
            <c:symbol val="none"/>
          </c:marker>
          <c:xVal>
            <c:numRef>
              <c:f>'Retrospective Run1'!$FB$14:$FB$103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Run1'!$FM$14:$FM$103</c:f>
              <c:numCache>
                <c:formatCode>0</c:formatCode>
                <c:ptCount val="90"/>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pt idx="66">
                  <c:v>51.280415683631389</c:v>
                </c:pt>
                <c:pt idx="67">
                  <c:v>49.222506622340063</c:v>
                </c:pt>
                <c:pt idx="68">
                  <c:v>38.726867791022073</c:v>
                </c:pt>
                <c:pt idx="69">
                  <c:v>41.252842802526892</c:v>
                </c:pt>
                <c:pt idx="70">
                  <c:v>50.949782607576978</c:v>
                </c:pt>
                <c:pt idx="71">
                  <c:v>51.238950599926362</c:v>
                </c:pt>
                <c:pt idx="72">
                  <c:v>50.098063052218009</c:v>
                </c:pt>
                <c:pt idx="73">
                  <c:v>50.455699487355709</c:v>
                </c:pt>
                <c:pt idx="74">
                  <c:v>51.284112555814801</c:v>
                </c:pt>
                <c:pt idx="75">
                  <c:v>51.29064426717288</c:v>
                </c:pt>
                <c:pt idx="76">
                  <c:v>51.291705984681478</c:v>
                </c:pt>
                <c:pt idx="77">
                  <c:v>51.292608962277086</c:v>
                </c:pt>
                <c:pt idx="78">
                  <c:v>51.289526520705962</c:v>
                </c:pt>
                <c:pt idx="79">
                  <c:v>51.288107717024218</c:v>
                </c:pt>
                <c:pt idx="80">
                  <c:v>51.288067699442394</c:v>
                </c:pt>
                <c:pt idx="81">
                  <c:v>51.288060875082884</c:v>
                </c:pt>
                <c:pt idx="82">
                  <c:v>51.288092957139405</c:v>
                </c:pt>
                <c:pt idx="83">
                  <c:v>51.288113006155186</c:v>
                </c:pt>
                <c:pt idx="84">
                  <c:v>51.288116004755132</c:v>
                </c:pt>
                <c:pt idx="85">
                  <c:v>51.288116126814643</c:v>
                </c:pt>
                <c:pt idx="86">
                  <c:v>51.288115782649918</c:v>
                </c:pt>
                <c:pt idx="87">
                  <c:v>51.288115516463307</c:v>
                </c:pt>
                <c:pt idx="88">
                  <c:v>51.288115449399854</c:v>
                </c:pt>
                <c:pt idx="89">
                  <c:v>51.288115442934838</c:v>
                </c:pt>
              </c:numCache>
            </c:numRef>
          </c:yVal>
          <c:smooth val="0"/>
          <c:extLst>
            <c:ext xmlns:c16="http://schemas.microsoft.com/office/drawing/2014/chart" uri="{C3380CC4-5D6E-409C-BE32-E72D297353CC}">
              <c16:uniqueId val="{00000003-8759-4F0D-AC87-B52D6BC0620E}"/>
            </c:ext>
          </c:extLst>
        </c:ser>
        <c:dLbls>
          <c:showLegendKey val="0"/>
          <c:showVal val="0"/>
          <c:showCatName val="0"/>
          <c:showSerName val="0"/>
          <c:showPercent val="0"/>
          <c:showBubbleSize val="0"/>
        </c:dLbls>
        <c:axId val="1298105311"/>
        <c:axId val="1298101567"/>
      </c:scatterChart>
      <c:valAx>
        <c:axId val="1298096159"/>
        <c:scaling>
          <c:orientation val="minMax"/>
          <c:max val="202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majorUnit val="10"/>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4306617898968583"/>
          <c:y val="7.1456180050149837E-2"/>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48381452318461"/>
          <c:y val="0.17171296296296296"/>
          <c:w val="0.64999737532808399"/>
          <c:h val="0.62271617089530473"/>
        </c:manualLayout>
      </c:layout>
      <c:scatterChart>
        <c:scatterStyle val="lineMarker"/>
        <c:varyColors val="0"/>
        <c:ser>
          <c:idx val="0"/>
          <c:order val="0"/>
          <c:tx>
            <c:strRef>
              <c:f>'Retrospective Run1'!$FM$13</c:f>
              <c:strCache>
                <c:ptCount val="1"/>
                <c:pt idx="0">
                  <c:v>chums killed per predator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317562668475751"/>
                  <c:y val="0.16496256837531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'Retrospective Run1'!$FD$14:$FD$79</c:f>
              <c:numCache>
                <c:formatCode>#,##0</c:formatCode>
                <c:ptCount val="66"/>
                <c:pt idx="0">
                  <c:v>493491.60241446015</c:v>
                </c:pt>
                <c:pt idx="1">
                  <c:v>623775.31416408368</c:v>
                </c:pt>
                <c:pt idx="2">
                  <c:v>624852.06663876155</c:v>
                </c:pt>
                <c:pt idx="3">
                  <c:v>73441.164457549574</c:v>
                </c:pt>
                <c:pt idx="4">
                  <c:v>714191.79541674536</c:v>
                </c:pt>
                <c:pt idx="5">
                  <c:v>286115.81678290729</c:v>
                </c:pt>
                <c:pt idx="6">
                  <c:v>324342.45765689609</c:v>
                </c:pt>
                <c:pt idx="7">
                  <c:v>73847.895786552937</c:v>
                </c:pt>
                <c:pt idx="8">
                  <c:v>336480.7665495628</c:v>
                </c:pt>
                <c:pt idx="9">
                  <c:v>1095655.3255096907</c:v>
                </c:pt>
                <c:pt idx="10">
                  <c:v>716627.00665595336</c:v>
                </c:pt>
                <c:pt idx="11">
                  <c:v>233570.00216889649</c:v>
                </c:pt>
                <c:pt idx="12">
                  <c:v>492491.48035961424</c:v>
                </c:pt>
                <c:pt idx="13">
                  <c:v>1123284.7425670177</c:v>
                </c:pt>
                <c:pt idx="14">
                  <c:v>1120218.7531834841</c:v>
                </c:pt>
                <c:pt idx="15">
                  <c:v>607814.06686765945</c:v>
                </c:pt>
                <c:pt idx="16">
                  <c:v>866844.98018714518</c:v>
                </c:pt>
                <c:pt idx="17">
                  <c:v>1463931.257273223</c:v>
                </c:pt>
                <c:pt idx="18">
                  <c:v>1755990.6980449294</c:v>
                </c:pt>
                <c:pt idx="19">
                  <c:v>709805.84646260517</c:v>
                </c:pt>
                <c:pt idx="20">
                  <c:v>1928723.2583236066</c:v>
                </c:pt>
                <c:pt idx="21">
                  <c:v>1023390.2104015896</c:v>
                </c:pt>
                <c:pt idx="22">
                  <c:v>485835.63028430799</c:v>
                </c:pt>
                <c:pt idx="23">
                  <c:v>1640510.5310472115</c:v>
                </c:pt>
                <c:pt idx="24">
                  <c:v>2138519.9917023615</c:v>
                </c:pt>
                <c:pt idx="25">
                  <c:v>606983.8103278724</c:v>
                </c:pt>
                <c:pt idx="26">
                  <c:v>1497486.5503682415</c:v>
                </c:pt>
                <c:pt idx="27">
                  <c:v>539907.17927684577</c:v>
                </c:pt>
                <c:pt idx="28">
                  <c:v>2210355.7089244896</c:v>
                </c:pt>
                <c:pt idx="29">
                  <c:v>297623.75146931713</c:v>
                </c:pt>
                <c:pt idx="30">
                  <c:v>1290562.0401391126</c:v>
                </c:pt>
                <c:pt idx="31">
                  <c:v>651906.12514923769</c:v>
                </c:pt>
                <c:pt idx="32">
                  <c:v>2035278.4578809098</c:v>
                </c:pt>
                <c:pt idx="33">
                  <c:v>1327057.7408969142</c:v>
                </c:pt>
                <c:pt idx="34">
                  <c:v>1644434.8479940284</c:v>
                </c:pt>
                <c:pt idx="35">
                  <c:v>1223662.7709588378</c:v>
                </c:pt>
                <c:pt idx="36">
                  <c:v>2407881.866365598</c:v>
                </c:pt>
                <c:pt idx="37">
                  <c:v>1785938.7190605476</c:v>
                </c:pt>
                <c:pt idx="38">
                  <c:v>2171218.8875173102</c:v>
                </c:pt>
                <c:pt idx="39">
                  <c:v>1876206.9813081098</c:v>
                </c:pt>
                <c:pt idx="40">
                  <c:v>2836635.1049793945</c:v>
                </c:pt>
                <c:pt idx="41">
                  <c:v>2170645.1094859769</c:v>
                </c:pt>
                <c:pt idx="42">
                  <c:v>2182552.7160187014</c:v>
                </c:pt>
                <c:pt idx="43">
                  <c:v>2382207.96328077</c:v>
                </c:pt>
                <c:pt idx="44">
                  <c:v>2057589.981882639</c:v>
                </c:pt>
                <c:pt idx="45">
                  <c:v>2135171.4385694358</c:v>
                </c:pt>
                <c:pt idx="46">
                  <c:v>2433710.3929094174</c:v>
                </c:pt>
                <c:pt idx="47">
                  <c:v>3762677.3391756839</c:v>
                </c:pt>
                <c:pt idx="48">
                  <c:v>3813332.0052658212</c:v>
                </c:pt>
                <c:pt idx="49">
                  <c:v>3598020.1659969883</c:v>
                </c:pt>
                <c:pt idx="50">
                  <c:v>3402993.2351830276</c:v>
                </c:pt>
                <c:pt idx="51">
                  <c:v>2495441.4913855083</c:v>
                </c:pt>
                <c:pt idx="52">
                  <c:v>2335657.1150440336</c:v>
                </c:pt>
                <c:pt idx="53">
                  <c:v>1878171.1009738813</c:v>
                </c:pt>
                <c:pt idx="54">
                  <c:v>2454336.2172501353</c:v>
                </c:pt>
                <c:pt idx="55">
                  <c:v>2363295.161123035</c:v>
                </c:pt>
                <c:pt idx="56">
                  <c:v>2782649.7433142918</c:v>
                </c:pt>
                <c:pt idx="57">
                  <c:v>2821988.9090041039</c:v>
                </c:pt>
                <c:pt idx="58">
                  <c:v>2751090.066894717</c:v>
                </c:pt>
                <c:pt idx="59">
                  <c:v>3096990.7152916784</c:v>
                </c:pt>
                <c:pt idx="60">
                  <c:v>3988424.7377871284</c:v>
                </c:pt>
                <c:pt idx="61">
                  <c:v>3642373.1723336889</c:v>
                </c:pt>
                <c:pt idx="62">
                  <c:v>2433605.7559861429</c:v>
                </c:pt>
                <c:pt idx="63">
                  <c:v>1913093.4424625693</c:v>
                </c:pt>
                <c:pt idx="64">
                  <c:v>2259081.5700578</c:v>
                </c:pt>
                <c:pt idx="65">
                  <c:v>1401300.4428739464</c:v>
                </c:pt>
              </c:numCache>
            </c:numRef>
          </c:xVal>
          <c:yVal>
            <c:numRef>
              <c:f>'Retrospective Run1'!$FM$14:$FM$79</c:f>
              <c:numCache>
                <c:formatCode>0</c:formatCode>
                <c:ptCount val="66"/>
                <c:pt idx="0">
                  <c:v>7.7425921445833925</c:v>
                </c:pt>
                <c:pt idx="1">
                  <c:v>9.8407073727223526</c:v>
                </c:pt>
                <c:pt idx="2">
                  <c:v>10.199757431220883</c:v>
                </c:pt>
                <c:pt idx="3">
                  <c:v>1.2406115470058179</c:v>
                </c:pt>
                <c:pt idx="4">
                  <c:v>12.274663701473154</c:v>
                </c:pt>
                <c:pt idx="5">
                  <c:v>4.9099630861280028</c:v>
                </c:pt>
                <c:pt idx="6">
                  <c:v>5.5730593849058172</c:v>
                </c:pt>
                <c:pt idx="7">
                  <c:v>1.271475172830512</c:v>
                </c:pt>
                <c:pt idx="8">
                  <c:v>5.8051109062570472</c:v>
                </c:pt>
                <c:pt idx="9">
                  <c:v>18.941107693766575</c:v>
                </c:pt>
                <c:pt idx="10">
                  <c:v>12.413846146903936</c:v>
                </c:pt>
                <c:pt idx="11">
                  <c:v>4.0542698006189184</c:v>
                </c:pt>
                <c:pt idx="12">
                  <c:v>8.5659852703725399</c:v>
                </c:pt>
                <c:pt idx="13">
                  <c:v>19.577268920485587</c:v>
                </c:pt>
                <c:pt idx="14">
                  <c:v>19.563568565464486</c:v>
                </c:pt>
                <c:pt idx="15">
                  <c:v>10.633683536295655</c:v>
                </c:pt>
                <c:pt idx="16">
                  <c:v>15.171396602216223</c:v>
                </c:pt>
                <c:pt idx="17">
                  <c:v>25.650204254194389</c:v>
                </c:pt>
                <c:pt idx="18">
                  <c:v>30.774922990633311</c:v>
                </c:pt>
                <c:pt idx="19">
                  <c:v>12.391029302733449</c:v>
                </c:pt>
                <c:pt idx="20">
                  <c:v>33.541588691286925</c:v>
                </c:pt>
                <c:pt idx="21">
                  <c:v>17.73153315326546</c:v>
                </c:pt>
                <c:pt idx="22">
                  <c:v>8.3905027370692427</c:v>
                </c:pt>
                <c:pt idx="23">
                  <c:v>28.325293615596145</c:v>
                </c:pt>
                <c:pt idx="24">
                  <c:v>36.954642680913111</c:v>
                </c:pt>
                <c:pt idx="25">
                  <c:v>10.497632923385321</c:v>
                </c:pt>
                <c:pt idx="26">
                  <c:v>25.905279352366065</c:v>
                </c:pt>
                <c:pt idx="27">
                  <c:v>9.3363035832241632</c:v>
                </c:pt>
                <c:pt idx="28">
                  <c:v>38.222406957196569</c:v>
                </c:pt>
                <c:pt idx="29">
                  <c:v>5.1466359477149659</c:v>
                </c:pt>
                <c:pt idx="30">
                  <c:v>22.316945323569275</c:v>
                </c:pt>
                <c:pt idx="31">
                  <c:v>11.273036784413103</c:v>
                </c:pt>
                <c:pt idx="32">
                  <c:v>35.194896990671261</c:v>
                </c:pt>
                <c:pt idx="33">
                  <c:v>22.948044436223626</c:v>
                </c:pt>
                <c:pt idx="34">
                  <c:v>28.436263774579011</c:v>
                </c:pt>
                <c:pt idx="35">
                  <c:v>21.160094830491069</c:v>
                </c:pt>
                <c:pt idx="36">
                  <c:v>41.638112919780703</c:v>
                </c:pt>
                <c:pt idx="37">
                  <c:v>30.883208636930998</c:v>
                </c:pt>
                <c:pt idx="38">
                  <c:v>37.545636467814909</c:v>
                </c:pt>
                <c:pt idx="39">
                  <c:v>32.444165654398624</c:v>
                </c:pt>
                <c:pt idx="40">
                  <c:v>49.052295489737602</c:v>
                </c:pt>
                <c:pt idx="41">
                  <c:v>37.535714455114352</c:v>
                </c:pt>
                <c:pt idx="42">
                  <c:v>37.741625829895462</c:v>
                </c:pt>
                <c:pt idx="43">
                  <c:v>41.194148915287819</c:v>
                </c:pt>
                <c:pt idx="44">
                  <c:v>35.580717312163465</c:v>
                </c:pt>
                <c:pt idx="45">
                  <c:v>36.922288715282846</c:v>
                </c:pt>
                <c:pt idx="46">
                  <c:v>42.084750738606246</c:v>
                </c:pt>
                <c:pt idx="47">
                  <c:v>65.065809962584481</c:v>
                </c:pt>
                <c:pt idx="48">
                  <c:v>65.941751899785274</c:v>
                </c:pt>
                <c:pt idx="49">
                  <c:v>62.218488395179371</c:v>
                </c:pt>
                <c:pt idx="50">
                  <c:v>58.846000117800997</c:v>
                </c:pt>
                <c:pt idx="51">
                  <c:v>43.152231035257685</c:v>
                </c:pt>
                <c:pt idx="52">
                  <c:v>40.38917193428734</c:v>
                </c:pt>
                <c:pt idx="53">
                  <c:v>32.47813004342192</c:v>
                </c:pt>
                <c:pt idx="54">
                  <c:v>42.441421227702399</c:v>
                </c:pt>
                <c:pt idx="55">
                  <c:v>40.86710073120814</c:v>
                </c:pt>
                <c:pt idx="56">
                  <c:v>48.118757754175952</c:v>
                </c:pt>
                <c:pt idx="57">
                  <c:v>48.799027266581355</c:v>
                </c:pt>
                <c:pt idx="58">
                  <c:v>47.573014464679211</c:v>
                </c:pt>
                <c:pt idx="59">
                  <c:v>53.554474958302563</c:v>
                </c:pt>
                <c:pt idx="60">
                  <c:v>68.969529578579525</c:v>
                </c:pt>
                <c:pt idx="61">
                  <c:v>62.985459363305267</c:v>
                </c:pt>
                <c:pt idx="62">
                  <c:v>42.082941312617479</c:v>
                </c:pt>
                <c:pt idx="63">
                  <c:v>33.082021961310659</c:v>
                </c:pt>
                <c:pt idx="64">
                  <c:v>39.064995182276157</c:v>
                </c:pt>
                <c:pt idx="65">
                  <c:v>24.231880679010438</c:v>
                </c:pt>
              </c:numCache>
            </c:numRef>
          </c:yVal>
          <c:smooth val="0"/>
          <c:extLst>
            <c:ext xmlns:c16="http://schemas.microsoft.com/office/drawing/2014/chart" uri="{C3380CC4-5D6E-409C-BE32-E72D297353CC}">
              <c16:uniqueId val="{00000002-07B1-43D4-BE1F-C9531E721D8C}"/>
            </c:ext>
          </c:extLst>
        </c:ser>
        <c:dLbls>
          <c:showLegendKey val="0"/>
          <c:showVal val="0"/>
          <c:showCatName val="0"/>
          <c:showSerName val="0"/>
          <c:showPercent val="0"/>
          <c:showBubbleSize val="0"/>
        </c:dLbls>
        <c:axId val="435955504"/>
        <c:axId val="435984208"/>
      </c:scatterChart>
      <c:valAx>
        <c:axId val="4359555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Chum salmon abundance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5984208"/>
        <c:crosses val="autoZero"/>
        <c:crossBetween val="midCat"/>
      </c:valAx>
      <c:valAx>
        <c:axId val="4359842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Chum salmon killed / predator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5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numRef>
              <c:f>'Retrospective Run1'!$GU$11:$GU$27</c:f>
              <c:numCache>
                <c:formatCode>General</c:formatCode>
                <c:ptCount val="17"/>
                <c:pt idx="0">
                  <c:v>0</c:v>
                </c:pt>
                <c:pt idx="1">
                  <c:v>4</c:v>
                </c:pt>
                <c:pt idx="2">
                  <c:v>8</c:v>
                </c:pt>
                <c:pt idx="3">
                  <c:v>12</c:v>
                </c:pt>
                <c:pt idx="4">
                  <c:v>16</c:v>
                </c:pt>
                <c:pt idx="5">
                  <c:v>20</c:v>
                </c:pt>
                <c:pt idx="6">
                  <c:v>24</c:v>
                </c:pt>
                <c:pt idx="7">
                  <c:v>28</c:v>
                </c:pt>
                <c:pt idx="8">
                  <c:v>32</c:v>
                </c:pt>
                <c:pt idx="9">
                  <c:v>36</c:v>
                </c:pt>
                <c:pt idx="10">
                  <c:v>40</c:v>
                </c:pt>
                <c:pt idx="11">
                  <c:v>44</c:v>
                </c:pt>
                <c:pt idx="12">
                  <c:v>48</c:v>
                </c:pt>
                <c:pt idx="13">
                  <c:v>52</c:v>
                </c:pt>
                <c:pt idx="14">
                  <c:v>56</c:v>
                </c:pt>
                <c:pt idx="15">
                  <c:v>60</c:v>
                </c:pt>
                <c:pt idx="16">
                  <c:v>64</c:v>
                </c:pt>
              </c:numCache>
            </c:numRef>
          </c:cat>
          <c:val>
            <c:numRef>
              <c:f>'Retrospective Run1'!$GV$11:$GV$27</c:f>
              <c:numCache>
                <c:formatCode>General</c:formatCode>
                <c:ptCount val="17"/>
                <c:pt idx="0">
                  <c:v>2</c:v>
                </c:pt>
                <c:pt idx="1">
                  <c:v>6</c:v>
                </c:pt>
                <c:pt idx="2">
                  <c:v>8</c:v>
                </c:pt>
                <c:pt idx="3">
                  <c:v>4</c:v>
                </c:pt>
                <c:pt idx="4">
                  <c:v>4</c:v>
                </c:pt>
                <c:pt idx="5">
                  <c:v>4</c:v>
                </c:pt>
                <c:pt idx="6">
                  <c:v>6</c:v>
                </c:pt>
                <c:pt idx="7">
                  <c:v>6</c:v>
                </c:pt>
                <c:pt idx="8">
                  <c:v>11</c:v>
                </c:pt>
                <c:pt idx="9">
                  <c:v>8</c:v>
                </c:pt>
                <c:pt idx="10">
                  <c:v>1</c:v>
                </c:pt>
                <c:pt idx="11">
                  <c:v>0</c:v>
                </c:pt>
                <c:pt idx="12">
                  <c:v>2</c:v>
                </c:pt>
                <c:pt idx="13">
                  <c:v>2</c:v>
                </c:pt>
                <c:pt idx="14">
                  <c:v>1</c:v>
                </c:pt>
                <c:pt idx="15">
                  <c:v>1</c:v>
                </c:pt>
                <c:pt idx="16">
                  <c:v>0</c:v>
                </c:pt>
              </c:numCache>
            </c:numRef>
          </c:val>
          <c:extLst>
            <c:ext xmlns:c16="http://schemas.microsoft.com/office/drawing/2014/chart" uri="{C3380CC4-5D6E-409C-BE32-E72D297353CC}">
              <c16:uniqueId val="{00000000-82F1-421D-82D8-E053DE140E1C}"/>
            </c:ext>
          </c:extLst>
        </c:ser>
        <c:dLbls>
          <c:showLegendKey val="0"/>
          <c:showVal val="0"/>
          <c:showCatName val="0"/>
          <c:showSerName val="0"/>
          <c:showPercent val="0"/>
          <c:showBubbleSize val="0"/>
        </c:dLbls>
        <c:gapWidth val="150"/>
        <c:axId val="405730480"/>
        <c:axId val="405745040"/>
      </c:barChart>
      <c:catAx>
        <c:axId val="405730480"/>
        <c:scaling>
          <c:orientation val="minMax"/>
        </c:scaling>
        <c:delete val="0"/>
        <c:axPos val="b"/>
        <c:title>
          <c:tx>
            <c:rich>
              <a:bodyPr/>
              <a:lstStyle/>
              <a:p>
                <a:pPr>
                  <a:defRPr/>
                </a:pPr>
                <a:r>
                  <a:rPr lang="en-US"/>
                  <a:t>chum salmon eaten per predator  per year</a:t>
                </a:r>
              </a:p>
            </c:rich>
          </c:tx>
          <c:overlay val="0"/>
        </c:title>
        <c:numFmt formatCode="General" sourceLinked="1"/>
        <c:majorTickMark val="out"/>
        <c:minorTickMark val="none"/>
        <c:tickLblPos val="nextTo"/>
        <c:txPr>
          <a:bodyPr/>
          <a:lstStyle/>
          <a:p>
            <a:pPr>
              <a:defRPr b="1"/>
            </a:pPr>
            <a:endParaRPr lang="en-US"/>
          </a:p>
        </c:txPr>
        <c:crossAx val="405745040"/>
        <c:crosses val="autoZero"/>
        <c:auto val="1"/>
        <c:lblAlgn val="ctr"/>
        <c:lblOffset val="100"/>
        <c:noMultiLvlLbl val="0"/>
      </c:catAx>
      <c:valAx>
        <c:axId val="40574504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057304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bg2"/>
      </a:solidFill>
    </a:ln>
  </c:sp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5521105382314088"/>
          <c:w val="0.43684284010937774"/>
          <c:h val="0.66370970842571508"/>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56A3-4B64-82BD-0FFF7B1878F6}"/>
            </c:ext>
          </c:extLst>
        </c:ser>
        <c:ser>
          <c:idx val="0"/>
          <c:order val="5"/>
          <c:tx>
            <c:strRef>
              <c:f>'Retrospective Run1'!$AP$13</c:f>
              <c:strCache>
                <c:ptCount val="1"/>
                <c:pt idx="0">
                  <c:v>Predicted chum spawners</c:v>
                </c:pt>
              </c:strCache>
            </c:strRef>
          </c:tx>
          <c:spPr>
            <a:ln w="22225" cap="rnd">
              <a:solidFill>
                <a:schemeClr val="accent1"/>
              </a:solidFill>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Run1'!$AP$14:$AP$103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164621.92475862824</c:v>
                </c:pt>
                <c:pt idx="32">
                  <c:v>936297.08060357196</c:v>
                </c:pt>
                <c:pt idx="33">
                  <c:v>495430.15656729147</c:v>
                </c:pt>
                <c:pt idx="34">
                  <c:v>919895.33040368161</c:v>
                </c:pt>
                <c:pt idx="35">
                  <c:v>566684.53756859654</c:v>
                </c:pt>
                <c:pt idx="36">
                  <c:v>1040221.5152538563</c:v>
                </c:pt>
                <c:pt idx="37">
                  <c:v>476718.54759736126</c:v>
                </c:pt>
                <c:pt idx="38">
                  <c:v>703110.68176613085</c:v>
                </c:pt>
                <c:pt idx="39">
                  <c:v>663985.45000399533</c:v>
                </c:pt>
                <c:pt idx="40">
                  <c:v>2189804.453272698</c:v>
                </c:pt>
                <c:pt idx="41">
                  <c:v>1390277.9172338718</c:v>
                </c:pt>
                <c:pt idx="42">
                  <c:v>1304329.8678891074</c:v>
                </c:pt>
                <c:pt idx="43">
                  <c:v>1507481.6538185575</c:v>
                </c:pt>
                <c:pt idx="44">
                  <c:v>1670426.6669714523</c:v>
                </c:pt>
                <c:pt idx="45">
                  <c:v>1345849.9892774923</c:v>
                </c:pt>
                <c:pt idx="46">
                  <c:v>1652478.3165324407</c:v>
                </c:pt>
                <c:pt idx="47">
                  <c:v>2872759.9489095872</c:v>
                </c:pt>
                <c:pt idx="48">
                  <c:v>2556035.7534996979</c:v>
                </c:pt>
                <c:pt idx="49">
                  <c:v>1738469.9307896663</c:v>
                </c:pt>
                <c:pt idx="50">
                  <c:v>3006954.8732525269</c:v>
                </c:pt>
                <c:pt idx="51">
                  <c:v>2894133.4076976003</c:v>
                </c:pt>
                <c:pt idx="52">
                  <c:v>3170489.3731839969</c:v>
                </c:pt>
                <c:pt idx="53">
                  <c:v>3163151.778041333</c:v>
                </c:pt>
                <c:pt idx="54">
                  <c:v>2330811.7972232467</c:v>
                </c:pt>
                <c:pt idx="55">
                  <c:v>2770548.197178659</c:v>
                </c:pt>
                <c:pt idx="56">
                  <c:v>1490295.6450817424</c:v>
                </c:pt>
                <c:pt idx="57">
                  <c:v>1241146.4084672483</c:v>
                </c:pt>
                <c:pt idx="58">
                  <c:v>1032516.8497687094</c:v>
                </c:pt>
                <c:pt idx="59">
                  <c:v>861173.26768862666</c:v>
                </c:pt>
                <c:pt idx="60">
                  <c:v>2566636.9193001417</c:v>
                </c:pt>
                <c:pt idx="61">
                  <c:v>2325062.7758513512</c:v>
                </c:pt>
                <c:pt idx="62">
                  <c:v>3182939.295576402</c:v>
                </c:pt>
                <c:pt idx="63">
                  <c:v>2872186.329758219</c:v>
                </c:pt>
                <c:pt idx="64">
                  <c:v>2616883.0819926262</c:v>
                </c:pt>
                <c:pt idx="65">
                  <c:v>4509469.8962471876</c:v>
                </c:pt>
                <c:pt idx="66">
                  <c:v>1975716.7641673512</c:v>
                </c:pt>
                <c:pt idx="67">
                  <c:v>1494003.4702173744</c:v>
                </c:pt>
                <c:pt idx="68">
                  <c:v>857827.92288965022</c:v>
                </c:pt>
                <c:pt idx="69">
                  <c:v>962284.61878938263</c:v>
                </c:pt>
                <c:pt idx="70">
                  <c:v>1794650.3590798653</c:v>
                </c:pt>
                <c:pt idx="71">
                  <c:v>1928546.217857644</c:v>
                </c:pt>
                <c:pt idx="72">
                  <c:v>1612315.9710348763</c:v>
                </c:pt>
                <c:pt idx="73">
                  <c:v>1675088.329803271</c:v>
                </c:pt>
                <c:pt idx="74">
                  <c:v>1982856.7894600178</c:v>
                </c:pt>
                <c:pt idx="75">
                  <c:v>2037894.0421368461</c:v>
                </c:pt>
                <c:pt idx="76">
                  <c:v>2006936.2599425272</c:v>
                </c:pt>
                <c:pt idx="77">
                  <c:v>2015338.9075859941</c:v>
                </c:pt>
                <c:pt idx="78">
                  <c:v>2042285.9656907301</c:v>
                </c:pt>
                <c:pt idx="79">
                  <c:v>2046867.7139278576</c:v>
                </c:pt>
                <c:pt idx="80">
                  <c:v>2046985.9449809934</c:v>
                </c:pt>
                <c:pt idx="81">
                  <c:v>2047006.0570968494</c:v>
                </c:pt>
                <c:pt idx="82">
                  <c:v>2046911.3805447766</c:v>
                </c:pt>
                <c:pt idx="83">
                  <c:v>2046852.0493875961</c:v>
                </c:pt>
                <c:pt idx="84">
                  <c:v>2046843.1646390744</c:v>
                </c:pt>
                <c:pt idx="85">
                  <c:v>2046842.8029202372</c:v>
                </c:pt>
                <c:pt idx="86">
                  <c:v>2046843.8228271201</c:v>
                </c:pt>
                <c:pt idx="87">
                  <c:v>2046844.6116260428</c:v>
                </c:pt>
                <c:pt idx="88">
                  <c:v>2046844.8103534051</c:v>
                </c:pt>
                <c:pt idx="89">
                  <c:v>2046844.8295110085</c:v>
                </c:pt>
              </c:numCache>
            </c:numRef>
          </c:yVal>
          <c:smooth val="0"/>
          <c:extLst>
            <c:ext xmlns:c16="http://schemas.microsoft.com/office/drawing/2014/chart" uri="{C3380CC4-5D6E-409C-BE32-E72D297353CC}">
              <c16:uniqueId val="{00000001-56A3-4B64-82BD-0FFF7B1878F6}"/>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Run1'!$DE$13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Run1'!$DE$14:$DE$103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960</c:v>
                </c:pt>
                <c:pt idx="22">
                  <c:v>1435</c:v>
                </c:pt>
                <c:pt idx="23">
                  <c:v>677</c:v>
                </c:pt>
                <c:pt idx="24">
                  <c:v>581</c:v>
                </c:pt>
                <c:pt idx="25">
                  <c:v>1022</c:v>
                </c:pt>
                <c:pt idx="26">
                  <c:v>494</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77</c:v>
                </c:pt>
                <c:pt idx="68">
                  <c:v>120</c:v>
                </c:pt>
                <c:pt idx="69">
                  <c:v>38</c:v>
                </c:pt>
                <c:pt idx="70">
                  <c:v>19</c:v>
                </c:pt>
                <c:pt idx="71">
                  <c:v>19</c:v>
                </c:pt>
                <c:pt idx="72">
                  <c:v>134</c:v>
                </c:pt>
                <c:pt idx="73">
                  <c:v>96</c:v>
                </c:pt>
                <c:pt idx="74">
                  <c:v>154</c:v>
                </c:pt>
                <c:pt idx="75">
                  <c:v>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56A3-4B64-82BD-0FFF7B1878F6}"/>
            </c:ext>
          </c:extLst>
        </c:ser>
        <c:ser>
          <c:idx val="3"/>
          <c:order val="1"/>
          <c:tx>
            <c:strRef>
              <c:f>'Retrospective Run1'!$BA$13</c:f>
              <c:strCache>
                <c:ptCount val="1"/>
                <c:pt idx="0">
                  <c:v>Thomp. SH spawners count</c:v>
                </c:pt>
              </c:strCache>
            </c:strRef>
          </c:tx>
          <c:spPr>
            <a:ln w="19050" cap="rnd">
              <a:noFill/>
              <a:round/>
            </a:ln>
            <a:effectLst/>
          </c:spPr>
          <c:marker>
            <c:symbol val="triangle"/>
            <c:size val="10"/>
            <c:spPr>
              <a:noFill/>
              <a:ln w="15875">
                <a:solidFill>
                  <a:schemeClr val="tx1"/>
                </a:solidFill>
              </a:ln>
              <a:effectLst/>
            </c:spPr>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Run1'!$BA$14:$BA$103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240</c:v>
                </c:pt>
                <c:pt idx="69" formatCode="0">
                  <c:v>257</c:v>
                </c:pt>
                <c:pt idx="70" formatCode="0">
                  <c:v>203</c:v>
                </c:pt>
                <c:pt idx="71" formatCode="0">
                  <c:v>104</c:v>
                </c:pt>
                <c:pt idx="72" formatCode="0">
                  <c:v>371</c:v>
                </c:pt>
                <c:pt idx="73" formatCode="0">
                  <c:v>286</c:v>
                </c:pt>
                <c:pt idx="74" formatCode="0">
                  <c:v>384</c:v>
                </c:pt>
                <c:pt idx="75">
                  <c:v>19</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56A3-4B64-82BD-0FFF7B1878F6}"/>
            </c:ext>
          </c:extLst>
        </c:ser>
        <c:ser>
          <c:idx val="1"/>
          <c:order val="3"/>
          <c:tx>
            <c:strRef>
              <c:f>'Retrospective Run1'!$CO$13</c:f>
              <c:strCache>
                <c:ptCount val="1"/>
                <c:pt idx="0">
                  <c:v>Thompson SH spawners</c:v>
                </c:pt>
              </c:strCache>
            </c:strRef>
          </c:tx>
          <c:spPr>
            <a:ln w="34925" cap="rnd">
              <a:solidFill>
                <a:schemeClr val="tx1"/>
              </a:solidFill>
              <a:prstDash val="sysDot"/>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Run1'!$CO$14:$CO$103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4601.9982003532741</c:v>
                </c:pt>
                <c:pt idx="41" formatCode="0">
                  <c:v>2516.4269114885201</c:v>
                </c:pt>
                <c:pt idx="42" formatCode="0">
                  <c:v>2926.9553237856589</c:v>
                </c:pt>
                <c:pt idx="43" formatCode="0">
                  <c:v>3242.4848794679842</c:v>
                </c:pt>
                <c:pt idx="44" formatCode="0">
                  <c:v>2535.1623011702495</c:v>
                </c:pt>
                <c:pt idx="45" formatCode="0">
                  <c:v>1029.4139733222439</c:v>
                </c:pt>
                <c:pt idx="46" formatCode="0">
                  <c:v>2351.3882760260117</c:v>
                </c:pt>
                <c:pt idx="47" formatCode="0">
                  <c:v>2400.4306807017247</c:v>
                </c:pt>
                <c:pt idx="48" formatCode="0">
                  <c:v>2057.3005116908507</c:v>
                </c:pt>
                <c:pt idx="49" formatCode="0">
                  <c:v>2101.4395022494741</c:v>
                </c:pt>
                <c:pt idx="50" formatCode="0">
                  <c:v>3486.2566641516341</c:v>
                </c:pt>
                <c:pt idx="51" formatCode="0">
                  <c:v>3383.278090237482</c:v>
                </c:pt>
                <c:pt idx="52" formatCode="0">
                  <c:v>2647.3357020662024</c:v>
                </c:pt>
                <c:pt idx="53" formatCode="0">
                  <c:v>3508.8181463041624</c:v>
                </c:pt>
                <c:pt idx="54" formatCode="0">
                  <c:v>2886.9941686946245</c:v>
                </c:pt>
                <c:pt idx="55" formatCode="0">
                  <c:v>1794.5435603822416</c:v>
                </c:pt>
                <c:pt idx="56" formatCode="0">
                  <c:v>1488.035607863708</c:v>
                </c:pt>
                <c:pt idx="57" formatCode="0">
                  <c:v>2006.2505899539965</c:v>
                </c:pt>
                <c:pt idx="58" formatCode="0">
                  <c:v>1937.4553194866126</c:v>
                </c:pt>
                <c:pt idx="59" formatCode="0">
                  <c:v>2437.1119431284528</c:v>
                </c:pt>
                <c:pt idx="60" formatCode="0">
                  <c:v>4242.1046257855824</c:v>
                </c:pt>
                <c:pt idx="61" formatCode="0">
                  <c:v>3810.8322744251304</c:v>
                </c:pt>
                <c:pt idx="62" formatCode="0">
                  <c:v>3273.4743606555303</c:v>
                </c:pt>
                <c:pt idx="63" formatCode="0">
                  <c:v>3575.755550414251</c:v>
                </c:pt>
                <c:pt idx="64" formatCode="0">
                  <c:v>3315.4838651111741</c:v>
                </c:pt>
                <c:pt idx="65" formatCode="0">
                  <c:v>1242.0614939711136</c:v>
                </c:pt>
                <c:pt idx="66" formatCode="0">
                  <c:v>1002.5913322914854</c:v>
                </c:pt>
                <c:pt idx="67" formatCode="0">
                  <c:v>1331.3879606540249</c:v>
                </c:pt>
                <c:pt idx="68" formatCode="0">
                  <c:v>1194.8585045955601</c:v>
                </c:pt>
                <c:pt idx="69" formatCode="0">
                  <c:v>1887.1371581109645</c:v>
                </c:pt>
                <c:pt idx="70" formatCode="0">
                  <c:v>3082.4115975508485</c:v>
                </c:pt>
                <c:pt idx="71" formatCode="0">
                  <c:v>2547.1214163147806</c:v>
                </c:pt>
                <c:pt idx="72" formatCode="0">
                  <c:v>2836.284173709636</c:v>
                </c:pt>
                <c:pt idx="73" formatCode="0">
                  <c:v>3352.7604964533411</c:v>
                </c:pt>
                <c:pt idx="74" formatCode="0">
                  <c:v>3109.8213900859387</c:v>
                </c:pt>
                <c:pt idx="75" formatCode="0">
                  <c:v>2116.7758923149349</c:v>
                </c:pt>
                <c:pt idx="76" formatCode="0">
                  <c:v>2404.7848812449688</c:v>
                </c:pt>
                <c:pt idx="77" formatCode="0">
                  <c:v>2197.7920679936715</c:v>
                </c:pt>
                <c:pt idx="78" formatCode="0">
                  <c:v>1773.855203070611</c:v>
                </c:pt>
                <c:pt idx="79" formatCode="0">
                  <c:v>1931.3009135440152</c:v>
                </c:pt>
                <c:pt idx="80" formatCode="0">
                  <c:v>2766.2383720301682</c:v>
                </c:pt>
                <c:pt idx="81" formatCode="0">
                  <c:v>2652.967414397157</c:v>
                </c:pt>
                <c:pt idx="82" formatCode="0">
                  <c:v>2814.5426893466542</c:v>
                </c:pt>
                <c:pt idx="83" formatCode="0">
                  <c:v>3151.9251940330541</c:v>
                </c:pt>
                <c:pt idx="84" formatCode="0">
                  <c:v>3060.3861576252002</c:v>
                </c:pt>
                <c:pt idx="85" formatCode="0">
                  <c:v>2362.1781012777387</c:v>
                </c:pt>
                <c:pt idx="86" formatCode="0">
                  <c:v>2351.9022134863462</c:v>
                </c:pt>
                <c:pt idx="87" formatCode="0">
                  <c:v>2211.8151878806498</c:v>
                </c:pt>
                <c:pt idx="88" formatCode="0">
                  <c:v>1926.6268891738553</c:v>
                </c:pt>
                <c:pt idx="89" formatCode="0">
                  <c:v>1982.6214825252523</c:v>
                </c:pt>
              </c:numCache>
            </c:numRef>
          </c:yVal>
          <c:smooth val="0"/>
          <c:extLst>
            <c:ext xmlns:c16="http://schemas.microsoft.com/office/drawing/2014/chart" uri="{C3380CC4-5D6E-409C-BE32-E72D297353CC}">
              <c16:uniqueId val="{00000004-56A3-4B64-82BD-0FFF7B1878F6}"/>
            </c:ext>
          </c:extLst>
        </c:ser>
        <c:ser>
          <c:idx val="2"/>
          <c:order val="4"/>
          <c:tx>
            <c:strRef>
              <c:f>'Retrospective Run1'!$ES$13</c:f>
              <c:strCache>
                <c:ptCount val="1"/>
                <c:pt idx="0">
                  <c:v>Chilcotin SH spawners</c:v>
                </c:pt>
              </c:strCache>
            </c:strRef>
          </c:tx>
          <c:spPr>
            <a:ln w="28575" cap="rnd">
              <a:solidFill>
                <a:srgbClr val="FF66FF"/>
              </a:solidFill>
              <a:prstDash val="sysDash"/>
              <a:round/>
            </a:ln>
            <a:effectLst/>
          </c:spPr>
          <c:marker>
            <c:symbol val="none"/>
          </c:marker>
          <c:xVal>
            <c:numRef>
              <c:f>'Retrospective Run1'!$O$14:$O$103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Run1'!$ES$14:$ES$103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1371.0647439114964</c:v>
                </c:pt>
                <c:pt idx="41" formatCode="0">
                  <c:v>1315.2897476728767</c:v>
                </c:pt>
                <c:pt idx="42" formatCode="0">
                  <c:v>1522.9495311640351</c:v>
                </c:pt>
                <c:pt idx="43" formatCode="0">
                  <c:v>1398.7892187634141</c:v>
                </c:pt>
                <c:pt idx="44" formatCode="0">
                  <c:v>1407.7988725422654</c:v>
                </c:pt>
                <c:pt idx="45" formatCode="0">
                  <c:v>1415.9884635015735</c:v>
                </c:pt>
                <c:pt idx="46" formatCode="0">
                  <c:v>1558.9705840107017</c:v>
                </c:pt>
                <c:pt idx="47" formatCode="0">
                  <c:v>1546.5326055436472</c:v>
                </c:pt>
                <c:pt idx="48" formatCode="0">
                  <c:v>1531.9871000010419</c:v>
                </c:pt>
                <c:pt idx="49" formatCode="0">
                  <c:v>1596.7755673172032</c:v>
                </c:pt>
                <c:pt idx="50" formatCode="0">
                  <c:v>1859.4847585874397</c:v>
                </c:pt>
                <c:pt idx="51" formatCode="0">
                  <c:v>2021.441387092581</c:v>
                </c:pt>
                <c:pt idx="52" formatCode="0">
                  <c:v>2020.8272504745032</c:v>
                </c:pt>
                <c:pt idx="53" formatCode="0">
                  <c:v>2075.4197414168934</c:v>
                </c:pt>
                <c:pt idx="54" formatCode="0">
                  <c:v>1637.0097508195622</c:v>
                </c:pt>
                <c:pt idx="55" formatCode="0">
                  <c:v>1266.6013958766475</c:v>
                </c:pt>
                <c:pt idx="56" formatCode="0">
                  <c:v>1102.7679578254217</c:v>
                </c:pt>
                <c:pt idx="57" formatCode="0">
                  <c:v>1174.5204670289529</c:v>
                </c:pt>
                <c:pt idx="58" formatCode="0">
                  <c:v>1236.7671170916483</c:v>
                </c:pt>
                <c:pt idx="59" formatCode="0">
                  <c:v>1440.2800912855084</c:v>
                </c:pt>
                <c:pt idx="60" formatCode="0">
                  <c:v>1651.5950587998832</c:v>
                </c:pt>
                <c:pt idx="61" formatCode="0">
                  <c:v>1657.6256289815647</c:v>
                </c:pt>
                <c:pt idx="62" formatCode="0">
                  <c:v>1735.112237190614</c:v>
                </c:pt>
                <c:pt idx="63" formatCode="0">
                  <c:v>1856.4114196925839</c:v>
                </c:pt>
                <c:pt idx="64" formatCode="0">
                  <c:v>1681.5108686812887</c:v>
                </c:pt>
                <c:pt idx="65" formatCode="0">
                  <c:v>1624.3495065550526</c:v>
                </c:pt>
                <c:pt idx="66" formatCode="0">
                  <c:v>1307.1726577012371</c:v>
                </c:pt>
                <c:pt idx="67" formatCode="0">
                  <c:v>1214.2320694757841</c:v>
                </c:pt>
                <c:pt idx="68" formatCode="0">
                  <c:v>1153.8117141580801</c:v>
                </c:pt>
                <c:pt idx="69" formatCode="0">
                  <c:v>859.31587300077854</c:v>
                </c:pt>
                <c:pt idx="70" formatCode="0">
                  <c:v>770.12180373498131</c:v>
                </c:pt>
                <c:pt idx="71" formatCode="0">
                  <c:v>859.31526460121336</c:v>
                </c:pt>
                <c:pt idx="72" formatCode="0">
                  <c:v>1088.3925959720518</c:v>
                </c:pt>
                <c:pt idx="73" formatCode="0">
                  <c:v>1456.5948693909927</c:v>
                </c:pt>
                <c:pt idx="74" formatCode="0">
                  <c:v>1521.4919544905149</c:v>
                </c:pt>
                <c:pt idx="75" formatCode="0">
                  <c:v>1522.3451930063068</c:v>
                </c:pt>
                <c:pt idx="76" formatCode="0">
                  <c:v>1514.6042837707625</c:v>
                </c:pt>
                <c:pt idx="77" formatCode="0">
                  <c:v>1529.0617866600674</c:v>
                </c:pt>
                <c:pt idx="78" formatCode="0">
                  <c:v>1496.2334724542402</c:v>
                </c:pt>
                <c:pt idx="79" formatCode="0">
                  <c:v>1411.3682174590292</c:v>
                </c:pt>
                <c:pt idx="80" formatCode="0">
                  <c:v>1380.9494926917505</c:v>
                </c:pt>
                <c:pt idx="81" formatCode="0">
                  <c:v>1378.6486241954399</c:v>
                </c:pt>
                <c:pt idx="82" formatCode="0">
                  <c:v>1378.8620191818045</c:v>
                </c:pt>
                <c:pt idx="83" formatCode="0">
                  <c:v>1379.9392138218664</c:v>
                </c:pt>
                <c:pt idx="84" formatCode="0">
                  <c:v>1401.1546293399913</c:v>
                </c:pt>
                <c:pt idx="85" formatCode="0">
                  <c:v>1430.8051036927163</c:v>
                </c:pt>
                <c:pt idx="86" formatCode="0">
                  <c:v>1442.8001385217697</c:v>
                </c:pt>
                <c:pt idx="87" formatCode="0">
                  <c:v>1444.6580530980054</c:v>
                </c:pt>
                <c:pt idx="88" formatCode="0">
                  <c:v>1444.517104360825</c:v>
                </c:pt>
                <c:pt idx="89" formatCode="0">
                  <c:v>1386.4888217050673</c:v>
                </c:pt>
              </c:numCache>
            </c:numRef>
          </c:yVal>
          <c:smooth val="0"/>
          <c:extLst>
            <c:ext xmlns:c16="http://schemas.microsoft.com/office/drawing/2014/chart" uri="{C3380CC4-5D6E-409C-BE32-E72D297353CC}">
              <c16:uniqueId val="{00000005-56A3-4B64-82BD-0FFF7B1878F6}"/>
            </c:ext>
          </c:extLst>
        </c:ser>
        <c:dLbls>
          <c:showLegendKey val="0"/>
          <c:showVal val="0"/>
          <c:showCatName val="0"/>
          <c:showSerName val="0"/>
          <c:showPercent val="0"/>
          <c:showBubbleSize val="0"/>
        </c:dLbls>
        <c:axId val="1260689951"/>
        <c:axId val="1260694943"/>
      </c:scatterChart>
      <c:valAx>
        <c:axId val="1260687455"/>
        <c:scaling>
          <c:orientation val="minMax"/>
          <c:max val="2026"/>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Thompson steelhead bycatch rates versus</a:t>
            </a:r>
            <a:r>
              <a:rPr lang="en-US" baseline="0"/>
              <a:t> Fraser Chum harvest rates</a:t>
            </a:r>
            <a:endParaRPr lang="en-US"/>
          </a:p>
        </c:rich>
      </c:tx>
      <c:overlay val="0"/>
      <c:spPr>
        <a:noFill/>
        <a:ln>
          <a:noFill/>
        </a:ln>
        <a:effectLst/>
      </c:spPr>
    </c:title>
    <c:autoTitleDeleted val="0"/>
    <c:plotArea>
      <c:layout/>
      <c:scatterChart>
        <c:scatterStyle val="lineMarker"/>
        <c:varyColors val="0"/>
        <c:ser>
          <c:idx val="1"/>
          <c:order val="0"/>
          <c:spPr>
            <a:ln w="25400">
              <a:noFill/>
            </a:ln>
          </c:spPr>
          <c:trendline>
            <c:trendlineType val="linear"/>
            <c:dispRSqr val="1"/>
            <c:dispEq val="1"/>
            <c:trendlineLbl>
              <c:layout>
                <c:manualLayout>
                  <c:x val="0.35716171320990348"/>
                  <c:y val="-3.639648994847007E-2"/>
                </c:manualLayout>
              </c:layout>
              <c:numFmt formatCode="General" sourceLinked="0"/>
            </c:trendlineLbl>
          </c:trendline>
          <c:xVal>
            <c:numRef>
              <c:f>'Retrospective Run1'!$J$60:$J$79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Run1'!$BV$60:$BV$79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5-D36D-4141-8818-6BCA138807C6}"/>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fishery harvest</a:t>
                </a:r>
                <a:r>
                  <a:rPr lang="en-US" baseline="0"/>
                  <a:t> rate</a:t>
                </a:r>
                <a:endParaRPr lang="en-US"/>
              </a:p>
            </c:rich>
          </c:tx>
          <c:overlay val="0"/>
          <c:spPr>
            <a:noFill/>
            <a:ln>
              <a:noFill/>
            </a:ln>
            <a:effectLst/>
          </c:sp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a:t>
                </a:r>
                <a:r>
                  <a:rPr lang="en-US" baseline="0"/>
                  <a:t> River steelhead harvest rate</a:t>
                </a:r>
                <a:endParaRPr lang="en-US"/>
              </a:p>
            </c:rich>
          </c:tx>
          <c:overlay val="0"/>
          <c:spPr>
            <a:noFill/>
            <a:ln>
              <a:noFill/>
            </a:ln>
            <a:effectLst/>
          </c:sp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Run1'!$BJ$13</c:f>
              <c:strCache>
                <c:ptCount val="1"/>
                <c:pt idx="0">
                  <c:v>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'Retrospective Run1'!$AH$14:$AH$81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Run1'!$BJ$14:$BJ$81</c:f>
              <c:numCache>
                <c:formatCode>General</c:formatCode>
                <c:ptCount val="6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1.3995613068480541</c:v>
                </c:pt>
                <c:pt idx="28" formatCode="0.00">
                  <c:v>0.557040015926622</c:v>
                </c:pt>
                <c:pt idx="29" formatCode="0.00">
                  <c:v>2.4042729061425714</c:v>
                </c:pt>
                <c:pt idx="30" formatCode="0.00">
                  <c:v>1.3191327823502919</c:v>
                </c:pt>
                <c:pt idx="31" formatCode="0.00">
                  <c:v>0.92632426086373287</c:v>
                </c:pt>
                <c:pt idx="32" formatCode="0.00">
                  <c:v>0.29413652137481666</c:v>
                </c:pt>
                <c:pt idx="33" formatCode="0.00">
                  <c:v>1.1247556486477006</c:v>
                </c:pt>
                <c:pt idx="34" formatCode="0.00">
                  <c:v>-0.47583255025828242</c:v>
                </c:pt>
                <c:pt idx="35" formatCode="0.00">
                  <c:v>-2.6529061779904519E-2</c:v>
                </c:pt>
                <c:pt idx="36" formatCode="0.00">
                  <c:v>0.20682057728227912</c:v>
                </c:pt>
                <c:pt idx="37" formatCode="0.00">
                  <c:v>1.0512877166602876</c:v>
                </c:pt>
                <c:pt idx="38" formatCode="0.00">
                  <c:v>0.95297483580382603</c:v>
                </c:pt>
                <c:pt idx="39" formatCode="0.00">
                  <c:v>1.1830044978897396</c:v>
                </c:pt>
                <c:pt idx="40" formatCode="0.00">
                  <c:v>0.22314355131420976</c:v>
                </c:pt>
                <c:pt idx="41" formatCode="0.00">
                  <c:v>1.3358778752058746</c:v>
                </c:pt>
                <c:pt idx="42" formatCode="0.00">
                  <c:v>-0.2890343377017946</c:v>
                </c:pt>
                <c:pt idx="43" formatCode="0.00">
                  <c:v>0.21892413577150149</c:v>
                </c:pt>
                <c:pt idx="44" formatCode="0.00">
                  <c:v>-0.54419476494060903</c:v>
                </c:pt>
                <c:pt idx="45" formatCode="0.00">
                  <c:v>0.78399107335082918</c:v>
                </c:pt>
                <c:pt idx="46" formatCode="0.00">
                  <c:v>0.10945213356107979</c:v>
                </c:pt>
                <c:pt idx="47" formatCode="0.00">
                  <c:v>0.19639440373593706</c:v>
                </c:pt>
                <c:pt idx="48" formatCode="0.00">
                  <c:v>-0.53221681374730823</c:v>
                </c:pt>
                <c:pt idx="49" formatCode="0.00">
                  <c:v>0.82095388504760158</c:v>
                </c:pt>
                <c:pt idx="50" formatCode="0.00">
                  <c:v>-7.4533051862566868E-2</c:v>
                </c:pt>
                <c:pt idx="51" formatCode="0.00">
                  <c:v>-1.1485740249361478</c:v>
                </c:pt>
                <c:pt idx="52" formatCode="0.00">
                  <c:v>-0.12583904700136705</c:v>
                </c:pt>
                <c:pt idx="53" formatCode="0.00">
                  <c:v>-7.0874339586656995E-2</c:v>
                </c:pt>
                <c:pt idx="54" formatCode="0.00">
                  <c:v>-1.2094522700905614</c:v>
                </c:pt>
                <c:pt idx="55" formatCode="0.00">
                  <c:v>-0.80927496040238711</c:v>
                </c:pt>
                <c:pt idx="56" formatCode="0.00">
                  <c:v>0.58853713398049323</c:v>
                </c:pt>
                <c:pt idx="57" formatCode="0.00">
                  <c:v>1.4548823159866388E-2</c:v>
                </c:pt>
                <c:pt idx="58" formatCode="0.00">
                  <c:v>0.95996084057697828</c:v>
                </c:pt>
                <c:pt idx="59" formatCode="0.00">
                  <c:v>0.55816194711719469</c:v>
                </c:pt>
                <c:pt idx="60" formatCode="0.00">
                  <c:v>-0.21595789165333543</c:v>
                </c:pt>
                <c:pt idx="61" formatCode="0.00">
                  <c:v>-1.0966142860054366</c:v>
                </c:pt>
                <c:pt idx="62" formatCode="0.00">
                  <c:v>-1.6003054288708278</c:v>
                </c:pt>
                <c:pt idx="63" formatCode="0.00">
                  <c:v>-1.5141277326297757</c:v>
                </c:pt>
                <c:pt idx="64" formatCode="0.00">
                  <c:v>-1.117615235793725</c:v>
                </c:pt>
                <c:pt idx="65" formatCode="0.00">
                  <c:v>-0.54856595174883782</c:v>
                </c:pt>
                <c:pt idx="66" formatCode="0.00">
                  <c:v>-0.44368632092836208</c:v>
                </c:pt>
                <c:pt idx="67" formatCode="0.00">
                  <c:v>0.92160989335175514</c:v>
                </c:pt>
              </c:numCache>
            </c:numRef>
          </c:yVal>
          <c:smooth val="0"/>
          <c:extLst>
            <c:ext xmlns:c16="http://schemas.microsoft.com/office/drawing/2014/chart" uri="{C3380CC4-5D6E-409C-BE32-E72D297353CC}">
              <c16:uniqueId val="{00000000-9E17-45FD-8A02-8B856FC41403}"/>
            </c:ext>
          </c:extLst>
        </c:ser>
        <c:dLbls>
          <c:showLegendKey val="0"/>
          <c:showVal val="0"/>
          <c:showCatName val="0"/>
          <c:showSerName val="0"/>
          <c:showPercent val="0"/>
          <c:showBubbleSize val="0"/>
        </c:dLbls>
        <c:axId val="443181344"/>
        <c:axId val="443186144"/>
      </c:scatterChart>
      <c:valAx>
        <c:axId val="443181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86144"/>
        <c:crosses val="autoZero"/>
        <c:crossBetween val="midCat"/>
      </c:valAx>
      <c:valAx>
        <c:axId val="44318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813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Run1'!$DN$13</c:f>
              <c:strCache>
                <c:ptCount val="1"/>
                <c:pt idx="0">
                  <c:v>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'Retrospective Run1'!$DF$14:$DF$80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Run1'!$DN$14:$DN$80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00">
                  <c:v>0.25658048373700376</c:v>
                </c:pt>
                <c:pt idx="23" formatCode="0.00">
                  <c:v>0.85787996971774061</c:v>
                </c:pt>
                <c:pt idx="24" formatCode="0.00">
                  <c:v>0.87839145928316908</c:v>
                </c:pt>
                <c:pt idx="25" formatCode="0.00">
                  <c:v>0.55052022245093746</c:v>
                </c:pt>
                <c:pt idx="26" formatCode="0.00">
                  <c:v>1.6150853659271756</c:v>
                </c:pt>
                <c:pt idx="27" formatCode="0.00">
                  <c:v>0.88202992027005422</c:v>
                </c:pt>
                <c:pt idx="28" formatCode="0.00">
                  <c:v>1.8503801648759965</c:v>
                </c:pt>
                <c:pt idx="29" formatCode="0.00">
                  <c:v>1.5446754020470765</c:v>
                </c:pt>
                <c:pt idx="30" formatCode="0.00">
                  <c:v>1.9348792736294347</c:v>
                </c:pt>
                <c:pt idx="31" formatCode="0.00">
                  <c:v>1.3924187312144489</c:v>
                </c:pt>
                <c:pt idx="32" formatCode="0.00">
                  <c:v>0.2222286979536629</c:v>
                </c:pt>
                <c:pt idx="33" formatCode="0.00">
                  <c:v>-0.13290115374313349</c:v>
                </c:pt>
                <c:pt idx="34" formatCode="0.00">
                  <c:v>-1.1672876494364071</c:v>
                </c:pt>
                <c:pt idx="35" formatCode="0.00">
                  <c:v>-0.4780681890824659</c:v>
                </c:pt>
                <c:pt idx="36" formatCode="0.00">
                  <c:v>-0.21267448870600347</c:v>
                </c:pt>
                <c:pt idx="37" formatCode="0.00">
                  <c:v>-0.40760231772696898</c:v>
                </c:pt>
                <c:pt idx="38" formatCode="0.00">
                  <c:v>0.83290912293510411</c:v>
                </c:pt>
                <c:pt idx="39" formatCode="0.00">
                  <c:v>1.031036349759703</c:v>
                </c:pt>
                <c:pt idx="40" formatCode="0.00">
                  <c:v>1.059219886957449</c:v>
                </c:pt>
                <c:pt idx="41" formatCode="0.00">
                  <c:v>0.70050015486520401</c:v>
                </c:pt>
                <c:pt idx="42" formatCode="0.00">
                  <c:v>-0.52559565769321726</c:v>
                </c:pt>
                <c:pt idx="43" formatCode="0.00">
                  <c:v>2.5835667328914673E-2</c:v>
                </c:pt>
                <c:pt idx="44" formatCode="0.00">
                  <c:v>0.4038573907200676</c:v>
                </c:pt>
                <c:pt idx="45" formatCode="0.00">
                  <c:v>0.89994159387262551</c:v>
                </c:pt>
                <c:pt idx="46" formatCode="0.00">
                  <c:v>-0.27777741363255271</c:v>
                </c:pt>
                <c:pt idx="47" formatCode="0.00">
                  <c:v>-0.20034006229663295</c:v>
                </c:pt>
                <c:pt idx="48" formatCode="0.00">
                  <c:v>-0.38946476676172315</c:v>
                </c:pt>
                <c:pt idx="49" formatCode="0.00">
                  <c:v>-0.21003632283275248</c:v>
                </c:pt>
                <c:pt idx="50" formatCode="0.00">
                  <c:v>-0.95519353054375422</c:v>
                </c:pt>
                <c:pt idx="51" formatCode="0.00">
                  <c:v>-1.315268847096543</c:v>
                </c:pt>
                <c:pt idx="52" formatCode="0.00">
                  <c:v>-1.018989096879402</c:v>
                </c:pt>
                <c:pt idx="53" formatCode="0.00">
                  <c:v>8.3066598698613478E-2</c:v>
                </c:pt>
                <c:pt idx="54" formatCode="0.00">
                  <c:v>0</c:v>
                </c:pt>
                <c:pt idx="55" formatCode="0.00">
                  <c:v>-0.23590580292806104</c:v>
                </c:pt>
                <c:pt idx="56" formatCode="0.00">
                  <c:v>0.41079845408352683</c:v>
                </c:pt>
                <c:pt idx="57" formatCode="0.00">
                  <c:v>1.8481557549349685</c:v>
                </c:pt>
                <c:pt idx="58" formatCode="0.00">
                  <c:v>0.68741650585096037</c:v>
                </c:pt>
                <c:pt idx="59" formatCode="0.00">
                  <c:v>0.74061371779886909</c:v>
                </c:pt>
                <c:pt idx="60" formatCode="0.00">
                  <c:v>-0.49491016846009117</c:v>
                </c:pt>
                <c:pt idx="61" formatCode="0.00">
                  <c:v>-0.77808785720902895</c:v>
                </c:pt>
                <c:pt idx="62" formatCode="0.00">
                  <c:v>-1.2057569261194372</c:v>
                </c:pt>
                <c:pt idx="63" formatCode="0.00">
                  <c:v>-2.8012683299343109</c:v>
                </c:pt>
                <c:pt idx="64" formatCode="0.00">
                  <c:v>-2.7396445665204272</c:v>
                </c:pt>
                <c:pt idx="65" formatCode="0.00">
                  <c:v>-1.2342781538212648</c:v>
                </c:pt>
                <c:pt idx="66" formatCode="0.00">
                  <c:v>-0.53062825106217038</c:v>
                </c:pt>
              </c:numCache>
            </c:numRef>
          </c:yVal>
          <c:smooth val="0"/>
          <c:extLst>
            <c:ext xmlns:c16="http://schemas.microsoft.com/office/drawing/2014/chart" uri="{C3380CC4-5D6E-409C-BE32-E72D297353CC}">
              <c16:uniqueId val="{00000000-A2E8-4D10-BA9A-DD322A959893}"/>
            </c:ext>
          </c:extLst>
        </c:ser>
        <c:dLbls>
          <c:showLegendKey val="0"/>
          <c:showVal val="0"/>
          <c:showCatName val="0"/>
          <c:showSerName val="0"/>
          <c:showPercent val="0"/>
          <c:showBubbleSize val="0"/>
        </c:dLbls>
        <c:axId val="413180960"/>
        <c:axId val="413186240"/>
      </c:scatterChart>
      <c:valAx>
        <c:axId val="413180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86240"/>
        <c:crosses val="autoZero"/>
        <c:crossBetween val="midCat"/>
      </c:valAx>
      <c:valAx>
        <c:axId val="41318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8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Predicted and observed ln(R/S) for Fraser River chum salmon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10892388451444"/>
          <c:y val="0.17171296296296296"/>
          <c:w val="0.72986220472440944"/>
          <c:h val="0.62271617089530473"/>
        </c:manualLayout>
      </c:layout>
      <c:scatterChart>
        <c:scatterStyle val="lineMarker"/>
        <c:varyColors val="0"/>
        <c:ser>
          <c:idx val="0"/>
          <c:order val="0"/>
          <c:tx>
            <c:strRef>
              <c:f>'Retrospective Run1'!$F$13</c:f>
              <c:strCache>
                <c:ptCount val="1"/>
                <c:pt idx="0">
                  <c:v>ln(Robs/Spawners)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Run1'!$F$14:$F$79</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yVal>
          <c:smooth val="0"/>
          <c:extLst>
            <c:ext xmlns:c16="http://schemas.microsoft.com/office/drawing/2014/chart" uri="{C3380CC4-5D6E-409C-BE32-E72D297353CC}">
              <c16:uniqueId val="{00000000-724C-4ED3-9614-BB389BBDCDDF}"/>
            </c:ext>
          </c:extLst>
        </c:ser>
        <c:ser>
          <c:idx val="1"/>
          <c:order val="1"/>
          <c:tx>
            <c:strRef>
              <c:f>'Retrospective Run1'!$AV$13</c:f>
              <c:strCache>
                <c:ptCount val="1"/>
                <c:pt idx="0">
                  <c:v>Predicted chum ln(R/S)</c:v>
                </c:pt>
              </c:strCache>
            </c:strRef>
          </c:tx>
          <c:spPr>
            <a:ln w="19050" cap="rnd">
              <a:solidFill>
                <a:schemeClr val="accent2"/>
              </a:solidFill>
              <a:round/>
            </a:ln>
            <a:effectLst/>
          </c:spPr>
          <c:marker>
            <c:symbol val="circle"/>
            <c:size val="5"/>
            <c:spPr>
              <a:noFill/>
              <a:ln w="9525">
                <a:solidFill>
                  <a:schemeClr val="accent2"/>
                </a:solidFill>
              </a:ln>
              <a:effectLst/>
            </c:spPr>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Run1'!$AV$14:$AV$79</c:f>
              <c:numCache>
                <c:formatCode>0.00</c:formatCode>
                <c:ptCount val="66"/>
                <c:pt idx="0">
                  <c:v>0.70835517919100688</c:v>
                </c:pt>
                <c:pt idx="1">
                  <c:v>0.92830697359909142</c:v>
                </c:pt>
                <c:pt idx="2">
                  <c:v>1.2492067280773886</c:v>
                </c:pt>
                <c:pt idx="3">
                  <c:v>1.197400677446222</c:v>
                </c:pt>
                <c:pt idx="4">
                  <c:v>1.4518510161894393</c:v>
                </c:pt>
                <c:pt idx="5">
                  <c:v>1.2094817672927352</c:v>
                </c:pt>
                <c:pt idx="6">
                  <c:v>0.89210875465268702</c:v>
                </c:pt>
                <c:pt idx="7">
                  <c:v>1.0172865470207193</c:v>
                </c:pt>
                <c:pt idx="8">
                  <c:v>1.0960455756673084</c:v>
                </c:pt>
                <c:pt idx="9">
                  <c:v>1.1472200270453579</c:v>
                </c:pt>
                <c:pt idx="10">
                  <c:v>1.2343326509532984</c:v>
                </c:pt>
                <c:pt idx="11">
                  <c:v>1.0574225242478894</c:v>
                </c:pt>
                <c:pt idx="12">
                  <c:v>1.1341141580080325</c:v>
                </c:pt>
                <c:pt idx="13">
                  <c:v>1.0264822834489331</c:v>
                </c:pt>
                <c:pt idx="14">
                  <c:v>1.1525429305733133</c:v>
                </c:pt>
                <c:pt idx="15">
                  <c:v>0.88869161166717991</c:v>
                </c:pt>
                <c:pt idx="16">
                  <c:v>0.90500922787578653</c:v>
                </c:pt>
                <c:pt idx="17">
                  <c:v>0.76126760832649609</c:v>
                </c:pt>
                <c:pt idx="18">
                  <c:v>0.84858708963777296</c:v>
                </c:pt>
                <c:pt idx="19">
                  <c:v>1.1464237961330999</c:v>
                </c:pt>
                <c:pt idx="20">
                  <c:v>1.1056631573695137</c:v>
                </c:pt>
                <c:pt idx="21">
                  <c:v>1.082706423631421</c:v>
                </c:pt>
                <c:pt idx="22">
                  <c:v>1.1924612157708232</c:v>
                </c:pt>
                <c:pt idx="23">
                  <c:v>1.0881548520817459</c:v>
                </c:pt>
                <c:pt idx="24">
                  <c:v>1.4069858885675266</c:v>
                </c:pt>
                <c:pt idx="25">
                  <c:v>1.1342539027028022</c:v>
                </c:pt>
                <c:pt idx="26">
                  <c:v>0.97901471701690124</c:v>
                </c:pt>
                <c:pt idx="27">
                  <c:v>1.0818552021233372</c:v>
                </c:pt>
                <c:pt idx="28">
                  <c:v>1.014168458596904</c:v>
                </c:pt>
                <c:pt idx="29">
                  <c:v>0.92256214967415551</c:v>
                </c:pt>
                <c:pt idx="30">
                  <c:v>1.00451999745312</c:v>
                </c:pt>
                <c:pt idx="31">
                  <c:v>1.1288555696947409</c:v>
                </c:pt>
                <c:pt idx="32">
                  <c:v>0.88100066270442889</c:v>
                </c:pt>
                <c:pt idx="33">
                  <c:v>0.78418969092089696</c:v>
                </c:pt>
                <c:pt idx="34">
                  <c:v>0.16923151858411722</c:v>
                </c:pt>
                <c:pt idx="35">
                  <c:v>0.36982280861043149</c:v>
                </c:pt>
                <c:pt idx="36">
                  <c:v>0.97770151234321101</c:v>
                </c:pt>
                <c:pt idx="37">
                  <c:v>1.0944054806836938</c:v>
                </c:pt>
                <c:pt idx="38">
                  <c:v>0.92034985173143946</c:v>
                </c:pt>
                <c:pt idx="39">
                  <c:v>0.7617660009271614</c:v>
                </c:pt>
                <c:pt idx="40">
                  <c:v>0.60477553014277641</c:v>
                </c:pt>
                <c:pt idx="41">
                  <c:v>0.41211916668763959</c:v>
                </c:pt>
                <c:pt idx="42">
                  <c:v>0.44442603075638548</c:v>
                </c:pt>
                <c:pt idx="43">
                  <c:v>0.129818834751393</c:v>
                </c:pt>
                <c:pt idx="44">
                  <c:v>-3.6864568046209079E-2</c:v>
                </c:pt>
                <c:pt idx="45">
                  <c:v>0.25591239405406985</c:v>
                </c:pt>
                <c:pt idx="46">
                  <c:v>0.38252445795884782</c:v>
                </c:pt>
                <c:pt idx="47">
                  <c:v>-0.40158363792467888</c:v>
                </c:pt>
                <c:pt idx="48">
                  <c:v>-0.15864140661746018</c:v>
                </c:pt>
                <c:pt idx="49">
                  <c:v>0.86170335517569019</c:v>
                </c:pt>
                <c:pt idx="50">
                  <c:v>-0.36487068695490388</c:v>
                </c:pt>
                <c:pt idx="51">
                  <c:v>-0.29827243011496107</c:v>
                </c:pt>
                <c:pt idx="52">
                  <c:v>8.8583454563204045E-2</c:v>
                </c:pt>
                <c:pt idx="53">
                  <c:v>-0.73294112453440152</c:v>
                </c:pt>
                <c:pt idx="54">
                  <c:v>6.9781891757739967E-2</c:v>
                </c:pt>
                <c:pt idx="55">
                  <c:v>-0.29652802087883989</c:v>
                </c:pt>
                <c:pt idx="56">
                  <c:v>0.26891423944590231</c:v>
                </c:pt>
                <c:pt idx="57">
                  <c:v>0.33968751508041883</c:v>
                </c:pt>
                <c:pt idx="58">
                  <c:v>0.59194713639888474</c:v>
                </c:pt>
                <c:pt idx="59">
                  <c:v>0.69826483551259755</c:v>
                </c:pt>
                <c:pt idx="60">
                  <c:v>0.42832675171232126</c:v>
                </c:pt>
                <c:pt idx="61">
                  <c:v>0.1223284261027936</c:v>
                </c:pt>
                <c:pt idx="62">
                  <c:v>-0.11220608853759362</c:v>
                </c:pt>
                <c:pt idx="63">
                  <c:v>-0.44624540682264158</c:v>
                </c:pt>
                <c:pt idx="64">
                  <c:v>-0.21242891978710005</c:v>
                </c:pt>
                <c:pt idx="65">
                  <c:v>-0.80437105758911076</c:v>
                </c:pt>
              </c:numCache>
            </c:numRef>
          </c:yVal>
          <c:smooth val="0"/>
          <c:extLst>
            <c:ext xmlns:c16="http://schemas.microsoft.com/office/drawing/2014/chart" uri="{C3380CC4-5D6E-409C-BE32-E72D297353CC}">
              <c16:uniqueId val="{00000001-724C-4ED3-9614-BB389BBDCDDF}"/>
            </c:ext>
          </c:extLst>
        </c:ser>
        <c:dLbls>
          <c:showLegendKey val="0"/>
          <c:showVal val="0"/>
          <c:showCatName val="0"/>
          <c:showSerName val="0"/>
          <c:showPercent val="0"/>
          <c:showBubbleSize val="0"/>
        </c:dLbls>
        <c:axId val="927770032"/>
        <c:axId val="927768592"/>
      </c:scatterChart>
      <c:valAx>
        <c:axId val="92777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68592"/>
        <c:crossesAt val="-1.5"/>
        <c:crossBetween val="midCat"/>
      </c:valAx>
      <c:valAx>
        <c:axId val="927768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70032"/>
        <c:crosses val="autoZero"/>
        <c:crossBetween val="midCat"/>
      </c:valAx>
      <c:spPr>
        <a:noFill/>
        <a:ln>
          <a:noFill/>
        </a:ln>
        <a:effectLst/>
      </c:spPr>
    </c:plotArea>
    <c:legend>
      <c:legendPos val="r"/>
      <c:layout>
        <c:manualLayout>
          <c:xMode val="edge"/>
          <c:yMode val="edge"/>
          <c:x val="0.66008223972003499"/>
          <c:y val="0.19986038203557888"/>
          <c:w val="0.26831763918073293"/>
          <c:h val="0.1421062577704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67904757083623"/>
          <c:y val="0.13850909090909094"/>
          <c:w val="0.52754064713272619"/>
          <c:h val="0.70366070150322124"/>
        </c:manualLayout>
      </c:layout>
      <c:scatterChart>
        <c:scatterStyle val="lineMarker"/>
        <c:varyColors val="0"/>
        <c:ser>
          <c:idx val="0"/>
          <c:order val="0"/>
          <c:tx>
            <c:strRef>
              <c:f>'Retrospective Run1'!$AV$13</c:f>
              <c:strCache>
                <c:ptCount val="1"/>
                <c:pt idx="0">
                  <c:v>Predicted chum ln(R/S)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579046369203849"/>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Run1'!$F$14:$F$79</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xVal>
          <c:yVal>
            <c:numRef>
              <c:f>'Retrospective Run1'!$AV$14:$AV$79</c:f>
              <c:numCache>
                <c:formatCode>0.00</c:formatCode>
                <c:ptCount val="66"/>
                <c:pt idx="0">
                  <c:v>0.70835517919100688</c:v>
                </c:pt>
                <c:pt idx="1">
                  <c:v>0.92830697359909142</c:v>
                </c:pt>
                <c:pt idx="2">
                  <c:v>1.2492067280773886</c:v>
                </c:pt>
                <c:pt idx="3">
                  <c:v>1.197400677446222</c:v>
                </c:pt>
                <c:pt idx="4">
                  <c:v>1.4518510161894393</c:v>
                </c:pt>
                <c:pt idx="5">
                  <c:v>1.2094817672927352</c:v>
                </c:pt>
                <c:pt idx="6">
                  <c:v>0.89210875465268702</c:v>
                </c:pt>
                <c:pt idx="7">
                  <c:v>1.0172865470207193</c:v>
                </c:pt>
                <c:pt idx="8">
                  <c:v>1.0960455756673084</c:v>
                </c:pt>
                <c:pt idx="9">
                  <c:v>1.1472200270453579</c:v>
                </c:pt>
                <c:pt idx="10">
                  <c:v>1.2343326509532984</c:v>
                </c:pt>
                <c:pt idx="11">
                  <c:v>1.0574225242478894</c:v>
                </c:pt>
                <c:pt idx="12">
                  <c:v>1.1341141580080325</c:v>
                </c:pt>
                <c:pt idx="13">
                  <c:v>1.0264822834489331</c:v>
                </c:pt>
                <c:pt idx="14">
                  <c:v>1.1525429305733133</c:v>
                </c:pt>
                <c:pt idx="15">
                  <c:v>0.88869161166717991</c:v>
                </c:pt>
                <c:pt idx="16">
                  <c:v>0.90500922787578653</c:v>
                </c:pt>
                <c:pt idx="17">
                  <c:v>0.76126760832649609</c:v>
                </c:pt>
                <c:pt idx="18">
                  <c:v>0.84858708963777296</c:v>
                </c:pt>
                <c:pt idx="19">
                  <c:v>1.1464237961330999</c:v>
                </c:pt>
                <c:pt idx="20">
                  <c:v>1.1056631573695137</c:v>
                </c:pt>
                <c:pt idx="21">
                  <c:v>1.082706423631421</c:v>
                </c:pt>
                <c:pt idx="22">
                  <c:v>1.1924612157708232</c:v>
                </c:pt>
                <c:pt idx="23">
                  <c:v>1.0881548520817459</c:v>
                </c:pt>
                <c:pt idx="24">
                  <c:v>1.4069858885675266</c:v>
                </c:pt>
                <c:pt idx="25">
                  <c:v>1.1342539027028022</c:v>
                </c:pt>
                <c:pt idx="26">
                  <c:v>0.97901471701690124</c:v>
                </c:pt>
                <c:pt idx="27">
                  <c:v>1.0818552021233372</c:v>
                </c:pt>
                <c:pt idx="28">
                  <c:v>1.014168458596904</c:v>
                </c:pt>
                <c:pt idx="29">
                  <c:v>0.92256214967415551</c:v>
                </c:pt>
                <c:pt idx="30">
                  <c:v>1.00451999745312</c:v>
                </c:pt>
                <c:pt idx="31">
                  <c:v>1.1288555696947409</c:v>
                </c:pt>
                <c:pt idx="32">
                  <c:v>0.88100066270442889</c:v>
                </c:pt>
                <c:pt idx="33">
                  <c:v>0.78418969092089696</c:v>
                </c:pt>
                <c:pt idx="34">
                  <c:v>0.16923151858411722</c:v>
                </c:pt>
                <c:pt idx="35">
                  <c:v>0.36982280861043149</c:v>
                </c:pt>
                <c:pt idx="36">
                  <c:v>0.97770151234321101</c:v>
                </c:pt>
                <c:pt idx="37">
                  <c:v>1.0944054806836938</c:v>
                </c:pt>
                <c:pt idx="38">
                  <c:v>0.92034985173143946</c:v>
                </c:pt>
                <c:pt idx="39">
                  <c:v>0.7617660009271614</c:v>
                </c:pt>
                <c:pt idx="40">
                  <c:v>0.60477553014277641</c:v>
                </c:pt>
                <c:pt idx="41">
                  <c:v>0.41211916668763959</c:v>
                </c:pt>
                <c:pt idx="42">
                  <c:v>0.44442603075638548</c:v>
                </c:pt>
                <c:pt idx="43">
                  <c:v>0.129818834751393</c:v>
                </c:pt>
                <c:pt idx="44">
                  <c:v>-3.6864568046209079E-2</c:v>
                </c:pt>
                <c:pt idx="45">
                  <c:v>0.25591239405406985</c:v>
                </c:pt>
                <c:pt idx="46">
                  <c:v>0.38252445795884782</c:v>
                </c:pt>
                <c:pt idx="47">
                  <c:v>-0.40158363792467888</c:v>
                </c:pt>
                <c:pt idx="48">
                  <c:v>-0.15864140661746018</c:v>
                </c:pt>
                <c:pt idx="49">
                  <c:v>0.86170335517569019</c:v>
                </c:pt>
                <c:pt idx="50">
                  <c:v>-0.36487068695490388</c:v>
                </c:pt>
                <c:pt idx="51">
                  <c:v>-0.29827243011496107</c:v>
                </c:pt>
                <c:pt idx="52">
                  <c:v>8.8583454563204045E-2</c:v>
                </c:pt>
                <c:pt idx="53">
                  <c:v>-0.73294112453440152</c:v>
                </c:pt>
                <c:pt idx="54">
                  <c:v>6.9781891757739967E-2</c:v>
                </c:pt>
                <c:pt idx="55">
                  <c:v>-0.29652802087883989</c:v>
                </c:pt>
                <c:pt idx="56">
                  <c:v>0.26891423944590231</c:v>
                </c:pt>
                <c:pt idx="57">
                  <c:v>0.33968751508041883</c:v>
                </c:pt>
                <c:pt idx="58">
                  <c:v>0.59194713639888474</c:v>
                </c:pt>
                <c:pt idx="59">
                  <c:v>0.69826483551259755</c:v>
                </c:pt>
                <c:pt idx="60">
                  <c:v>0.42832675171232126</c:v>
                </c:pt>
                <c:pt idx="61">
                  <c:v>0.1223284261027936</c:v>
                </c:pt>
                <c:pt idx="62">
                  <c:v>-0.11220608853759362</c:v>
                </c:pt>
                <c:pt idx="63">
                  <c:v>-0.44624540682264158</c:v>
                </c:pt>
                <c:pt idx="64">
                  <c:v>-0.21242891978710005</c:v>
                </c:pt>
                <c:pt idx="65">
                  <c:v>-0.80437105758911076</c:v>
                </c:pt>
              </c:numCache>
            </c:numRef>
          </c:yVal>
          <c:smooth val="0"/>
          <c:extLst>
            <c:ext xmlns:c16="http://schemas.microsoft.com/office/drawing/2014/chart" uri="{C3380CC4-5D6E-409C-BE32-E72D297353CC}">
              <c16:uniqueId val="{00000000-CA97-490B-846E-1227EE7526C4}"/>
            </c:ext>
          </c:extLst>
        </c:ser>
        <c:dLbls>
          <c:showLegendKey val="0"/>
          <c:showVal val="0"/>
          <c:showCatName val="0"/>
          <c:showSerName val="0"/>
          <c:showPercent val="0"/>
          <c:showBubbleSize val="0"/>
        </c:dLbls>
        <c:axId val="1828281920"/>
        <c:axId val="1828288160"/>
      </c:scatterChart>
      <c:valAx>
        <c:axId val="182828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Observed ln(R/S)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288160"/>
        <c:crossesAt val="-1"/>
        <c:crossBetween val="midCat"/>
      </c:valAx>
      <c:valAx>
        <c:axId val="1828288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ln(R/S)</a:t>
                </a:r>
              </a:p>
            </c:rich>
          </c:tx>
          <c:layout>
            <c:manualLayout>
              <c:xMode val="edge"/>
              <c:yMode val="edge"/>
              <c:x val="2.7777777777777776E-2"/>
              <c:y val="0.413229075532225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281920"/>
        <c:crossesAt val="-2"/>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model'!$G$12</c:f>
              <c:strCache>
                <c:ptCount val="1"/>
                <c:pt idx="0">
                  <c:v>pred lnRS</c:v>
                </c:pt>
              </c:strCache>
            </c:strRef>
          </c:tx>
          <c:spPr>
            <a:ln w="19050" cap="rnd">
              <a:noFill/>
              <a:round/>
            </a:ln>
            <a:effectLst/>
          </c:spPr>
          <c:marker>
            <c:symbol val="circle"/>
            <c:size val="5"/>
            <c:spPr>
              <a:solidFill>
                <a:schemeClr val="accent1"/>
              </a:solidFill>
              <a:ln w="9525">
                <a:solidFill>
                  <a:schemeClr val="accent1"/>
                </a:solidFill>
              </a:ln>
              <a:effectLst/>
            </c:spPr>
          </c:marker>
          <c:xVal>
            <c:numRef>
              <c:f>'lag 1 autocorr model'!$F$13:$F$79</c:f>
              <c:numCache>
                <c:formatCode>0.0000</c:formatCode>
                <c:ptCount val="67"/>
                <c:pt idx="0">
                  <c:v>0.97880481210932424</c:v>
                </c:pt>
                <c:pt idx="1">
                  <c:v>0.52759293102705407</c:v>
                </c:pt>
                <c:pt idx="2">
                  <c:v>0.90219690375368433</c:v>
                </c:pt>
                <c:pt idx="3">
                  <c:v>1.8414905396689467</c:v>
                </c:pt>
                <c:pt idx="4">
                  <c:v>1.7031661006594034</c:v>
                </c:pt>
                <c:pt idx="5">
                  <c:v>2.4976327950288577</c:v>
                </c:pt>
                <c:pt idx="6">
                  <c:v>1.1520721594430823</c:v>
                </c:pt>
                <c:pt idx="7">
                  <c:v>1.0746105334743972</c:v>
                </c:pt>
                <c:pt idx="8">
                  <c:v>0.78552169051632736</c:v>
                </c:pt>
                <c:pt idx="9">
                  <c:v>0.85874365455198154</c:v>
                </c:pt>
                <c:pt idx="10">
                  <c:v>0.77317706044885026</c:v>
                </c:pt>
                <c:pt idx="11">
                  <c:v>1.0732751083257228</c:v>
                </c:pt>
                <c:pt idx="12">
                  <c:v>0.83530246968352773</c:v>
                </c:pt>
                <c:pt idx="13">
                  <c:v>1.3870416551709261</c:v>
                </c:pt>
                <c:pt idx="14">
                  <c:v>1.6306110833419334</c:v>
                </c:pt>
                <c:pt idx="15">
                  <c:v>0.62651479602582782</c:v>
                </c:pt>
                <c:pt idx="16">
                  <c:v>0.9360026468140249</c:v>
                </c:pt>
                <c:pt idx="17">
                  <c:v>0.63510663384920174</c:v>
                </c:pt>
                <c:pt idx="18">
                  <c:v>1.4990931204305669</c:v>
                </c:pt>
                <c:pt idx="19">
                  <c:v>0.9997635949536845</c:v>
                </c:pt>
                <c:pt idx="20">
                  <c:v>0.69211656775706687</c:v>
                </c:pt>
                <c:pt idx="21">
                  <c:v>0.76684125428570438</c:v>
                </c:pt>
                <c:pt idx="22">
                  <c:v>1.1133549533851508</c:v>
                </c:pt>
                <c:pt idx="23">
                  <c:v>1.0683047361601732</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0.59367741908002325</c:v>
                </c:pt>
                <c:pt idx="33">
                  <c:v>0.59758741069926624</c:v>
                </c:pt>
                <c:pt idx="34">
                  <c:v>-0.1809708444426518</c:v>
                </c:pt>
                <c:pt idx="35">
                  <c:v>0.4230600280662542</c:v>
                </c:pt>
                <c:pt idx="36">
                  <c:v>1.4053733752002293</c:v>
                </c:pt>
                <c:pt idx="37">
                  <c:v>1.066603333152512</c:v>
                </c:pt>
                <c:pt idx="38">
                  <c:v>0.76758471907752701</c:v>
                </c:pt>
                <c:pt idx="39">
                  <c:v>0.9123259851787926</c:v>
                </c:pt>
                <c:pt idx="40">
                  <c:v>0.49406585647799256</c:v>
                </c:pt>
                <c:pt idx="41">
                  <c:v>0.22826200410556324</c:v>
                </c:pt>
                <c:pt idx="42">
                  <c:v>0.44394984953044858</c:v>
                </c:pt>
                <c:pt idx="43">
                  <c:v>0.77590848442231863</c:v>
                </c:pt>
                <c:pt idx="44">
                  <c:v>0.57418750802358465</c:v>
                </c:pt>
                <c:pt idx="45">
                  <c:v>0.17037224390010886</c:v>
                </c:pt>
                <c:pt idx="46">
                  <c:v>1.0624598565660222</c:v>
                </c:pt>
                <c:pt idx="47">
                  <c:v>-0.33658315858273763</c:v>
                </c:pt>
                <c:pt idx="48">
                  <c:v>2.9931796714352529E-2</c:v>
                </c:pt>
                <c:pt idx="49">
                  <c:v>1.1819744052431649</c:v>
                </c:pt>
                <c:pt idx="50">
                  <c:v>-0.52278051581601337</c:v>
                </c:pt>
                <c:pt idx="51">
                  <c:v>0.20514067570148123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5.2434168798394958E-2</c:v>
                </c:pt>
                <c:pt idx="61">
                  <c:v>0.7849032116775021</c:v>
                </c:pt>
                <c:pt idx="62">
                  <c:v>-0.37187559005235787</c:v>
                </c:pt>
                <c:pt idx="63">
                  <c:v>-0.23558675521758229</c:v>
                </c:pt>
                <c:pt idx="64">
                  <c:v>-0.8908996050049991</c:v>
                </c:pt>
                <c:pt idx="65">
                  <c:v>-1.008849632885948</c:v>
                </c:pt>
                <c:pt idx="66">
                  <c:v>-0.2727544397691033</c:v>
                </c:pt>
              </c:numCache>
            </c:numRef>
          </c:xVal>
          <c:yVal>
            <c:numRef>
              <c:f>'lag 1 autocorr model'!$G$13:$G$79</c:f>
              <c:numCache>
                <c:formatCode>0.0000</c:formatCode>
                <c:ptCount val="67"/>
                <c:pt idx="0">
                  <c:v>1.0141849864321715</c:v>
                </c:pt>
                <c:pt idx="1">
                  <c:v>0.88901645410724617</c:v>
                </c:pt>
                <c:pt idx="2">
                  <c:v>0.79305134580542502</c:v>
                </c:pt>
                <c:pt idx="3">
                  <c:v>1.3271072150792964</c:v>
                </c:pt>
                <c:pt idx="4">
                  <c:v>1.2843555583723694</c:v>
                </c:pt>
                <c:pt idx="5">
                  <c:v>1.6740397411778796</c:v>
                </c:pt>
                <c:pt idx="6">
                  <c:v>1.3686018457773761</c:v>
                </c:pt>
                <c:pt idx="7">
                  <c:v>1.0170495882840127</c:v>
                </c:pt>
                <c:pt idx="8">
                  <c:v>0.97768651216578106</c:v>
                </c:pt>
                <c:pt idx="9">
                  <c:v>0.94545645417824353</c:v>
                </c:pt>
                <c:pt idx="10">
                  <c:v>0.92588594262400936</c:v>
                </c:pt>
                <c:pt idx="11">
                  <c:v>1.0221777121094411</c:v>
                </c:pt>
                <c:pt idx="12">
                  <c:v>0.94754223221548328</c:v>
                </c:pt>
                <c:pt idx="13">
                  <c:v>0.98611348936632537</c:v>
                </c:pt>
                <c:pt idx="14">
                  <c:v>1.3926235644712932</c:v>
                </c:pt>
                <c:pt idx="15">
                  <c:v>0.89093576258883889</c:v>
                </c:pt>
                <c:pt idx="16">
                  <c:v>0.90788373260087241</c:v>
                </c:pt>
                <c:pt idx="17">
                  <c:v>0.63672724477242204</c:v>
                </c:pt>
                <c:pt idx="18">
                  <c:v>1.0926196147202565</c:v>
                </c:pt>
                <c:pt idx="19">
                  <c:v>1.1238395560941576</c:v>
                </c:pt>
                <c:pt idx="20">
                  <c:v>0.83353401305334829</c:v>
                </c:pt>
                <c:pt idx="21">
                  <c:v>0.7719875743812058</c:v>
                </c:pt>
                <c:pt idx="22">
                  <c:v>0.97983165586763887</c:v>
                </c:pt>
                <c:pt idx="23">
                  <c:v>1.0158295637556463</c:v>
                </c:pt>
                <c:pt idx="24">
                  <c:v>0.97648746588721169</c:v>
                </c:pt>
                <c:pt idx="25">
                  <c:v>0.94816974320065128</c:v>
                </c:pt>
                <c:pt idx="26">
                  <c:v>0.48796254137160827</c:v>
                </c:pt>
                <c:pt idx="27">
                  <c:v>0.65067885236667289</c:v>
                </c:pt>
                <c:pt idx="28">
                  <c:v>0.88533007148271414</c:v>
                </c:pt>
                <c:pt idx="29">
                  <c:v>0.8232539696947937</c:v>
                </c:pt>
                <c:pt idx="30">
                  <c:v>0.95179269617647255</c:v>
                </c:pt>
                <c:pt idx="31">
                  <c:v>1.2633486875767321</c:v>
                </c:pt>
                <c:pt idx="32">
                  <c:v>0.88585304850193647</c:v>
                </c:pt>
                <c:pt idx="33">
                  <c:v>0.66567063455345876</c:v>
                </c:pt>
                <c:pt idx="34">
                  <c:v>0.12566601996309809</c:v>
                </c:pt>
                <c:pt idx="35">
                  <c:v>0.32799251177968591</c:v>
                </c:pt>
                <c:pt idx="36">
                  <c:v>1.0580008354065882</c:v>
                </c:pt>
                <c:pt idx="37">
                  <c:v>0.9972228511041612</c:v>
                </c:pt>
                <c:pt idx="38">
                  <c:v>0.68887546599935834</c:v>
                </c:pt>
                <c:pt idx="39">
                  <c:v>0.70203251002624678</c:v>
                </c:pt>
                <c:pt idx="40">
                  <c:v>0.5394646252664137</c:v>
                </c:pt>
                <c:pt idx="41">
                  <c:v>0.41050099857036593</c:v>
                </c:pt>
                <c:pt idx="42">
                  <c:v>0.37498624626902755</c:v>
                </c:pt>
                <c:pt idx="43">
                  <c:v>0.26419510131042323</c:v>
                </c:pt>
                <c:pt idx="44">
                  <c:v>0.47036220414551366</c:v>
                </c:pt>
                <c:pt idx="45">
                  <c:v>0.31134416991537506</c:v>
                </c:pt>
                <c:pt idx="46">
                  <c:v>0.55018093764711151</c:v>
                </c:pt>
                <c:pt idx="47">
                  <c:v>-0.739329429348072</c:v>
                </c:pt>
                <c:pt idx="48">
                  <c:v>-0.40339676815617248</c:v>
                </c:pt>
                <c:pt idx="49">
                  <c:v>0.97994873928994219</c:v>
                </c:pt>
                <c:pt idx="50">
                  <c:v>-0.73083688595084262</c:v>
                </c:pt>
                <c:pt idx="51">
                  <c:v>-4.2323439732677437E-2</c:v>
                </c:pt>
                <c:pt idx="52">
                  <c:v>0.18744083211107299</c:v>
                </c:pt>
                <c:pt idx="53">
                  <c:v>-0.68614590392139596</c:v>
                </c:pt>
                <c:pt idx="54">
                  <c:v>0.14712050521803771</c:v>
                </c:pt>
                <c:pt idx="55">
                  <c:v>-0.65171693378346363</c:v>
                </c:pt>
                <c:pt idx="56">
                  <c:v>0.38115078723670115</c:v>
                </c:pt>
                <c:pt idx="57">
                  <c:v>0.4985083237423209</c:v>
                </c:pt>
                <c:pt idx="58">
                  <c:v>0.83662240902301233</c:v>
                </c:pt>
                <c:pt idx="59">
                  <c:v>1.0148804352874294</c:v>
                </c:pt>
                <c:pt idx="60">
                  <c:v>0.22900230377915648</c:v>
                </c:pt>
                <c:pt idx="61">
                  <c:v>0.44116019275577351</c:v>
                </c:pt>
                <c:pt idx="62">
                  <c:v>0.29908202205136158</c:v>
                </c:pt>
                <c:pt idx="63">
                  <c:v>0.10054666098535481</c:v>
                </c:pt>
                <c:pt idx="64">
                  <c:v>3.711511507342119E-2</c:v>
                </c:pt>
                <c:pt idx="65">
                  <c:v>-0.60923304555905033</c:v>
                </c:pt>
                <c:pt idx="66">
                  <c:v>0.29817189479265938</c:v>
                </c:pt>
              </c:numCache>
            </c:numRef>
          </c:yVal>
          <c:smooth val="0"/>
          <c:extLst>
            <c:ext xmlns:c16="http://schemas.microsoft.com/office/drawing/2014/chart" uri="{C3380CC4-5D6E-409C-BE32-E72D297353CC}">
              <c16:uniqueId val="{00000000-F569-44BC-826A-98C9836D1F24}"/>
            </c:ext>
          </c:extLst>
        </c:ser>
        <c:dLbls>
          <c:showLegendKey val="0"/>
          <c:showVal val="0"/>
          <c:showCatName val="0"/>
          <c:showSerName val="0"/>
          <c:showPercent val="0"/>
          <c:showBubbleSize val="0"/>
        </c:dLbls>
        <c:axId val="1989606047"/>
        <c:axId val="1989611039"/>
      </c:scatterChart>
      <c:valAx>
        <c:axId val="1989606047"/>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11039"/>
        <c:crossesAt val="-1.5"/>
        <c:crossBetween val="midCat"/>
      </c:valAx>
      <c:valAx>
        <c:axId val="19896110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6047"/>
        <c:crossesAt val="-1.5"/>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model'!$I$12</c:f>
              <c:strCache>
                <c:ptCount val="1"/>
                <c:pt idx="0">
                  <c:v>dev pred 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model'!$I$13:$I$79</c:f>
              <c:numCache>
                <c:formatCode>0.0000</c:formatCode>
                <c:ptCount val="67"/>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pt idx="66">
                  <c:v>-0.57092633456176267</c:v>
                </c:pt>
              </c:numCache>
            </c:numRef>
          </c:yVal>
          <c:smooth val="0"/>
          <c:extLst>
            <c:ext xmlns:c16="http://schemas.microsoft.com/office/drawing/2014/chart" uri="{C3380CC4-5D6E-409C-BE32-E72D297353CC}">
              <c16:uniqueId val="{00000000-0D40-4AC4-A419-EE3AA4B2F076}"/>
            </c:ext>
          </c:extLst>
        </c:ser>
        <c:dLbls>
          <c:showLegendKey val="0"/>
          <c:showVal val="0"/>
          <c:showCatName val="0"/>
          <c:showSerName val="0"/>
          <c:showPercent val="0"/>
          <c:showBubbleSize val="0"/>
        </c:dLbls>
        <c:axId val="2102424575"/>
        <c:axId val="2102426239"/>
      </c:scatterChart>
      <c:valAx>
        <c:axId val="210242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6239"/>
        <c:crossesAt val="-1.5"/>
        <c:crossBetween val="midCat"/>
      </c:valAx>
      <c:valAx>
        <c:axId val="21024262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model'!$J$12</c:f>
              <c:strCache>
                <c:ptCount val="1"/>
                <c:pt idx="0">
                  <c:v>dev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90201224846896"/>
                  <c:y val="-0.240281787693205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'lag 1 autocorr model'!$I$13:$I$78</c:f>
              <c:numCache>
                <c:formatCode>0.0000</c:formatCode>
                <c:ptCount val="66"/>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numCache>
            </c:numRef>
          </c:xVal>
          <c:yVal>
            <c:numRef>
              <c:f>'lag 1 autocorr model'!$J$13:$J$78</c:f>
              <c:numCache>
                <c:formatCode>0.0000</c:formatCode>
                <c:ptCount val="66"/>
                <c:pt idx="0">
                  <c:v>-0.3614235230801921</c:v>
                </c:pt>
                <c:pt idx="1">
                  <c:v>0.10914555794825931</c:v>
                </c:pt>
                <c:pt idx="2">
                  <c:v>0.5143833245896503</c:v>
                </c:pt>
                <c:pt idx="3">
                  <c:v>0.41881054228703407</c:v>
                </c:pt>
                <c:pt idx="4">
                  <c:v>0.82359305385097814</c:v>
                </c:pt>
                <c:pt idx="5">
                  <c:v>-0.21652968633429381</c:v>
                </c:pt>
                <c:pt idx="6">
                  <c:v>5.756094519038446E-2</c:v>
                </c:pt>
                <c:pt idx="7">
                  <c:v>-0.1921648216494537</c:v>
                </c:pt>
                <c:pt idx="8">
                  <c:v>-8.6712799626261994E-2</c:v>
                </c:pt>
                <c:pt idx="9">
                  <c:v>-0.1527088821751591</c:v>
                </c:pt>
                <c:pt idx="10">
                  <c:v>5.1097396216281732E-2</c:v>
                </c:pt>
                <c:pt idx="11">
                  <c:v>-0.11223976253195556</c:v>
                </c:pt>
                <c:pt idx="12">
                  <c:v>0.40092816580460078</c:v>
                </c:pt>
                <c:pt idx="13">
                  <c:v>0.23798751887064018</c:v>
                </c:pt>
                <c:pt idx="14">
                  <c:v>-0.26442096656301106</c:v>
                </c:pt>
                <c:pt idx="15">
                  <c:v>2.8118914213152491E-2</c:v>
                </c:pt>
                <c:pt idx="16">
                  <c:v>-1.6206109232203003E-3</c:v>
                </c:pt>
                <c:pt idx="17">
                  <c:v>0.40647350571031038</c:v>
                </c:pt>
                <c:pt idx="18">
                  <c:v>-0.12407596114047315</c:v>
                </c:pt>
                <c:pt idx="19">
                  <c:v>-0.14141744529628142</c:v>
                </c:pt>
                <c:pt idx="20">
                  <c:v>-5.1463200955014221E-3</c:v>
                </c:pt>
                <c:pt idx="21">
                  <c:v>0.13352329751751191</c:v>
                </c:pt>
                <c:pt idx="22">
                  <c:v>5.2475172404526926E-2</c:v>
                </c:pt>
                <c:pt idx="23">
                  <c:v>-5.2306154243649372E-2</c:v>
                </c:pt>
                <c:pt idx="24">
                  <c:v>-0.10579539502182345</c:v>
                </c:pt>
                <c:pt idx="25">
                  <c:v>-0.53174597115018085</c:v>
                </c:pt>
                <c:pt idx="26">
                  <c:v>-3.2169456509434591E-2</c:v>
                </c:pt>
                <c:pt idx="27">
                  <c:v>-0.17877697422502348</c:v>
                </c:pt>
                <c:pt idx="28">
                  <c:v>6.1343647812618363E-2</c:v>
                </c:pt>
                <c:pt idx="29">
                  <c:v>0.38965585251618118</c:v>
                </c:pt>
                <c:pt idx="30">
                  <c:v>0.2365284626138453</c:v>
                </c:pt>
                <c:pt idx="31">
                  <c:v>-0.29217562942191322</c:v>
                </c:pt>
                <c:pt idx="32">
                  <c:v>-6.8083223854192521E-2</c:v>
                </c:pt>
                <c:pt idx="33">
                  <c:v>-0.30663686440574989</c:v>
                </c:pt>
                <c:pt idx="34">
                  <c:v>9.5067516286568288E-2</c:v>
                </c:pt>
                <c:pt idx="35">
                  <c:v>0.34737253979364113</c:v>
                </c:pt>
                <c:pt idx="36">
                  <c:v>6.9380482048350789E-2</c:v>
                </c:pt>
                <c:pt idx="37">
                  <c:v>7.8709253078168673E-2</c:v>
                </c:pt>
                <c:pt idx="38">
                  <c:v>0.21029347515254582</c:v>
                </c:pt>
                <c:pt idx="39">
                  <c:v>-4.539876878842114E-2</c:v>
                </c:pt>
                <c:pt idx="40">
                  <c:v>-0.18223899446480268</c:v>
                </c:pt>
                <c:pt idx="41">
                  <c:v>6.8963603261421036E-2</c:v>
                </c:pt>
                <c:pt idx="42">
                  <c:v>0.5117133831118954</c:v>
                </c:pt>
                <c:pt idx="43">
                  <c:v>0.10382530387807098</c:v>
                </c:pt>
                <c:pt idx="44">
                  <c:v>-0.1409719260152662</c:v>
                </c:pt>
                <c:pt idx="45">
                  <c:v>0.51227891891891064</c:v>
                </c:pt>
                <c:pt idx="46">
                  <c:v>0.40274627076533437</c:v>
                </c:pt>
                <c:pt idx="47">
                  <c:v>0.43332856487052501</c:v>
                </c:pt>
                <c:pt idx="48">
                  <c:v>0.20202566595322269</c:v>
                </c:pt>
                <c:pt idx="49">
                  <c:v>0.20805637013482925</c:v>
                </c:pt>
                <c:pt idx="50">
                  <c:v>0.24746411543415867</c:v>
                </c:pt>
                <c:pt idx="51">
                  <c:v>-0.31017537323006289</c:v>
                </c:pt>
                <c:pt idx="52">
                  <c:v>-7.0413355703979552E-2</c:v>
                </c:pt>
                <c:pt idx="53">
                  <c:v>-0.62353972790308965</c:v>
                </c:pt>
                <c:pt idx="54">
                  <c:v>-0.45238667034042801</c:v>
                </c:pt>
                <c:pt idx="55">
                  <c:v>0.21502965956974651</c:v>
                </c:pt>
                <c:pt idx="56">
                  <c:v>-0.18651597742142467</c:v>
                </c:pt>
                <c:pt idx="57">
                  <c:v>0.38211832140349755</c:v>
                </c:pt>
                <c:pt idx="58">
                  <c:v>-5.0362540781139886E-2</c:v>
                </c:pt>
                <c:pt idx="59">
                  <c:v>-0.17656813498076152</c:v>
                </c:pt>
                <c:pt idx="60">
                  <c:v>0.34374301892172859</c:v>
                </c:pt>
                <c:pt idx="61">
                  <c:v>-0.67095761210371951</c:v>
                </c:pt>
                <c:pt idx="62">
                  <c:v>-0.33613341620293713</c:v>
                </c:pt>
                <c:pt idx="63">
                  <c:v>-0.92801472007842034</c:v>
                </c:pt>
                <c:pt idx="64">
                  <c:v>-0.39961658732689764</c:v>
                </c:pt>
                <c:pt idx="65">
                  <c:v>-0.57092633456176267</c:v>
                </c:pt>
              </c:numCache>
            </c:numRef>
          </c:yVal>
          <c:smooth val="0"/>
          <c:extLst>
            <c:ext xmlns:c16="http://schemas.microsoft.com/office/drawing/2014/chart" uri="{C3380CC4-5D6E-409C-BE32-E72D297353CC}">
              <c16:uniqueId val="{00000000-C452-4640-AB9D-197E16193171}"/>
            </c:ext>
          </c:extLst>
        </c:ser>
        <c:dLbls>
          <c:showLegendKey val="0"/>
          <c:showVal val="0"/>
          <c:showCatName val="0"/>
          <c:showSerName val="0"/>
          <c:showPercent val="0"/>
          <c:showBubbleSize val="0"/>
        </c:dLbls>
        <c:axId val="1834546959"/>
        <c:axId val="1834534063"/>
      </c:scatterChart>
      <c:valAx>
        <c:axId val="18345469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34063"/>
        <c:crossesAt val="-0.60000000000000009"/>
        <c:crossBetween val="midCat"/>
      </c:valAx>
      <c:valAx>
        <c:axId val="183453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46959"/>
        <c:crossesAt val="-0.60000000000000009"/>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'lag 1 autocorr model'!$E$12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model'!$E$13:$E$79</c:f>
              <c:numCache>
                <c:formatCode>#,##0</c:formatCode>
                <c:ptCount val="67"/>
                <c:pt idx="0">
                  <c:v>457.00721211789283</c:v>
                </c:pt>
                <c:pt idx="1">
                  <c:v>298.71692108672789</c:v>
                </c:pt>
                <c:pt idx="2">
                  <c:v>339.24735388798553</c:v>
                </c:pt>
                <c:pt idx="3">
                  <c:v>544.67474685929324</c:v>
                </c:pt>
                <c:pt idx="4">
                  <c:v>606.78930472412844</c:v>
                </c:pt>
                <c:pt idx="5">
                  <c:v>400.46407254387827</c:v>
                </c:pt>
                <c:pt idx="6">
                  <c:v>267.91140112163424</c:v>
                </c:pt>
                <c:pt idx="7">
                  <c:v>261.83936777785595</c:v>
                </c:pt>
                <c:pt idx="8">
                  <c:v>334.07781684886322</c:v>
                </c:pt>
                <c:pt idx="9">
                  <c:v>341.71355149719119</c:v>
                </c:pt>
                <c:pt idx="10">
                  <c:v>225.15711171453759</c:v>
                </c:pt>
                <c:pt idx="11">
                  <c:v>381.28683850328019</c:v>
                </c:pt>
                <c:pt idx="12">
                  <c:v>443.22301796618348</c:v>
                </c:pt>
                <c:pt idx="13">
                  <c:v>987.70182797867938</c:v>
                </c:pt>
                <c:pt idx="14">
                  <c:v>661.14640932591669</c:v>
                </c:pt>
                <c:pt idx="15">
                  <c:v>675.10369413613466</c:v>
                </c:pt>
                <c:pt idx="16">
                  <c:v>545.3266798881674</c:v>
                </c:pt>
                <c:pt idx="17">
                  <c:v>1265.058668922991</c:v>
                </c:pt>
                <c:pt idx="18">
                  <c:v>1384.5716850271895</c:v>
                </c:pt>
                <c:pt idx="19">
                  <c:v>772.48896786137789</c:v>
                </c:pt>
                <c:pt idx="20">
                  <c:v>579.65229497526025</c:v>
                </c:pt>
                <c:pt idx="21">
                  <c:v>911.32426470989026</c:v>
                </c:pt>
                <c:pt idx="22">
                  <c:v>813.13991537652919</c:v>
                </c:pt>
                <c:pt idx="23">
                  <c:v>1019.5712613318693</c:v>
                </c:pt>
                <c:pt idx="24">
                  <c:v>482.34097376990769</c:v>
                </c:pt>
                <c:pt idx="25">
                  <c:v>790.63735533950648</c:v>
                </c:pt>
                <c:pt idx="26">
                  <c:v>573.66596733916629</c:v>
                </c:pt>
                <c:pt idx="27">
                  <c:v>666.34258408459743</c:v>
                </c:pt>
                <c:pt idx="28">
                  <c:v>518.16816439239653</c:v>
                </c:pt>
                <c:pt idx="29">
                  <c:v>760.53766313594872</c:v>
                </c:pt>
                <c:pt idx="30">
                  <c:v>1671.325980114849</c:v>
                </c:pt>
                <c:pt idx="31">
                  <c:v>1462.8183804338967</c:v>
                </c:pt>
                <c:pt idx="32">
                  <c:v>673.13964376411798</c:v>
                </c:pt>
                <c:pt idx="33">
                  <c:v>984.25976243600269</c:v>
                </c:pt>
                <c:pt idx="34">
                  <c:v>1154.7319912101116</c:v>
                </c:pt>
                <c:pt idx="35">
                  <c:v>1522.5452624981394</c:v>
                </c:pt>
                <c:pt idx="36">
                  <c:v>1482.7043872326303</c:v>
                </c:pt>
                <c:pt idx="37">
                  <c:v>1535.4575528593045</c:v>
                </c:pt>
                <c:pt idx="38">
                  <c:v>1593.6109601886883</c:v>
                </c:pt>
                <c:pt idx="39">
                  <c:v>2146.4031629478714</c:v>
                </c:pt>
                <c:pt idx="40">
                  <c:v>1813.2673024832011</c:v>
                </c:pt>
                <c:pt idx="41">
                  <c:v>1301.4682344712223</c:v>
                </c:pt>
                <c:pt idx="42">
                  <c:v>1536.2162121439503</c:v>
                </c:pt>
                <c:pt idx="43">
                  <c:v>3619.6648765380078</c:v>
                </c:pt>
                <c:pt idx="44">
                  <c:v>2891.7811987866558</c:v>
                </c:pt>
                <c:pt idx="45">
                  <c:v>1406.5083752676437</c:v>
                </c:pt>
                <c:pt idx="46">
                  <c:v>3026.0445640955563</c:v>
                </c:pt>
                <c:pt idx="47">
                  <c:v>2543.3200171653757</c:v>
                </c:pt>
                <c:pt idx="48">
                  <c:v>3078.0215509376185</c:v>
                </c:pt>
                <c:pt idx="49">
                  <c:v>2282.4859433021657</c:v>
                </c:pt>
                <c:pt idx="50">
                  <c:v>1868.662078775011</c:v>
                </c:pt>
                <c:pt idx="51">
                  <c:v>2826.4671680969705</c:v>
                </c:pt>
                <c:pt idx="52">
                  <c:v>1321.8749421960777</c:v>
                </c:pt>
                <c:pt idx="53">
                  <c:v>1274.8574320357504</c:v>
                </c:pt>
                <c:pt idx="54">
                  <c:v>826.79295575855997</c:v>
                </c:pt>
                <c:pt idx="55">
                  <c:v>653.27645190826433</c:v>
                </c:pt>
                <c:pt idx="56">
                  <c:v>1919.0873845169126</c:v>
                </c:pt>
                <c:pt idx="57">
                  <c:v>1341.5754990023809</c:v>
                </c:pt>
                <c:pt idx="58">
                  <c:v>1605.3670756795239</c:v>
                </c:pt>
                <c:pt idx="59">
                  <c:v>1596.9853916231559</c:v>
                </c:pt>
                <c:pt idx="60">
                  <c:v>1137.1576669372032</c:v>
                </c:pt>
                <c:pt idx="61">
                  <c:v>3027.5787899983843</c:v>
                </c:pt>
                <c:pt idx="62">
                  <c:v>805.15493228744583</c:v>
                </c:pt>
                <c:pt idx="63">
                  <c:v>920.93305007688298</c:v>
                </c:pt>
                <c:pt idx="64">
                  <c:v>390.1270641711933</c:v>
                </c:pt>
                <c:pt idx="65">
                  <c:v>720.30120758067005</c:v>
                </c:pt>
                <c:pt idx="66">
                  <c:v>502.19109895925203</c:v>
                </c:pt>
              </c:numCache>
            </c:numRef>
          </c:yVal>
          <c:smooth val="0"/>
          <c:extLst>
            <c:ext xmlns:c16="http://schemas.microsoft.com/office/drawing/2014/chart" uri="{C3380CC4-5D6E-409C-BE32-E72D297353CC}">
              <c16:uniqueId val="{00000000-FD21-4DD7-A688-0CF1526AAC1C}"/>
            </c:ext>
          </c:extLst>
        </c:ser>
        <c:ser>
          <c:idx val="1"/>
          <c:order val="1"/>
          <c:tx>
            <c:strRef>
              <c:f>'lag 1 autocorr model'!$H$12</c:f>
              <c:strCache>
                <c:ptCount val="1"/>
                <c:pt idx="0">
                  <c:v>pred recruits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model'!$H$13:$H$79</c:f>
              <c:numCache>
                <c:formatCode>0.0000</c:formatCode>
                <c:ptCount val="67"/>
                <c:pt idx="0">
                  <c:v>473.46564120114033</c:v>
                </c:pt>
                <c:pt idx="1">
                  <c:v>428.76967892732625</c:v>
                </c:pt>
                <c:pt idx="2">
                  <c:v>304.16914382825559</c:v>
                </c:pt>
                <c:pt idx="3">
                  <c:v>325.6442400106385</c:v>
                </c:pt>
                <c:pt idx="4">
                  <c:v>399.1634887990088</c:v>
                </c:pt>
                <c:pt idx="5">
                  <c:v>175.74445894216174</c:v>
                </c:pt>
                <c:pt idx="6">
                  <c:v>332.68164755423447</c:v>
                </c:pt>
                <c:pt idx="7">
                  <c:v>247.19321318748933</c:v>
                </c:pt>
                <c:pt idx="8">
                  <c:v>404.85896507125386</c:v>
                </c:pt>
                <c:pt idx="9">
                  <c:v>372.66713323206284</c:v>
                </c:pt>
                <c:pt idx="10">
                  <c:v>262.3048337387159</c:v>
                </c:pt>
                <c:pt idx="11">
                  <c:v>362.29346225358427</c:v>
                </c:pt>
                <c:pt idx="12">
                  <c:v>495.86952240964223</c:v>
                </c:pt>
                <c:pt idx="13">
                  <c:v>661.46210328459722</c:v>
                </c:pt>
                <c:pt idx="14">
                  <c:v>521.12388321167998</c:v>
                </c:pt>
                <c:pt idx="15">
                  <c:v>879.44169319525872</c:v>
                </c:pt>
                <c:pt idx="16">
                  <c:v>530.20626681971078</c:v>
                </c:pt>
                <c:pt idx="17">
                  <c:v>1267.1104989803903</c:v>
                </c:pt>
                <c:pt idx="18">
                  <c:v>922.11745999012555</c:v>
                </c:pt>
                <c:pt idx="19">
                  <c:v>874.53620003497679</c:v>
                </c:pt>
                <c:pt idx="20">
                  <c:v>667.70461167568703</c:v>
                </c:pt>
                <c:pt idx="21">
                  <c:v>916.0263198496425</c:v>
                </c:pt>
                <c:pt idx="22">
                  <c:v>711.50318562557641</c:v>
                </c:pt>
                <c:pt idx="23">
                  <c:v>967.44861606376878</c:v>
                </c:pt>
                <c:pt idx="24">
                  <c:v>508.24185797468391</c:v>
                </c:pt>
                <c:pt idx="25">
                  <c:v>878.86806887031128</c:v>
                </c:pt>
                <c:pt idx="26">
                  <c:v>976.32279043984352</c:v>
                </c:pt>
                <c:pt idx="27">
                  <c:v>688.12698031432649</c:v>
                </c:pt>
                <c:pt idx="28">
                  <c:v>619.60167102704975</c:v>
                </c:pt>
                <c:pt idx="29">
                  <c:v>715.28565961067011</c:v>
                </c:pt>
                <c:pt idx="30">
                  <c:v>1131.9722427369452</c:v>
                </c:pt>
                <c:pt idx="31">
                  <c:v>1154.6953117718551</c:v>
                </c:pt>
                <c:pt idx="32">
                  <c:v>901.56165510564153</c:v>
                </c:pt>
                <c:pt idx="33">
                  <c:v>1053.6051856787624</c:v>
                </c:pt>
                <c:pt idx="34">
                  <c:v>1569.1046015938553</c:v>
                </c:pt>
                <c:pt idx="35">
                  <c:v>1384.4679759264452</c:v>
                </c:pt>
                <c:pt idx="36">
                  <c:v>1047.5930183356968</c:v>
                </c:pt>
                <c:pt idx="37">
                  <c:v>1432.5383413837076</c:v>
                </c:pt>
                <c:pt idx="38">
                  <c:v>1472.9883558253696</c:v>
                </c:pt>
                <c:pt idx="39">
                  <c:v>1739.3300643206244</c:v>
                </c:pt>
                <c:pt idx="40">
                  <c:v>1897.4846226573054</c:v>
                </c:pt>
                <c:pt idx="41">
                  <c:v>1561.6329439897188</c:v>
                </c:pt>
                <c:pt idx="42">
                  <c:v>1433.8437634495342</c:v>
                </c:pt>
                <c:pt idx="43">
                  <c:v>2169.871746691148</c:v>
                </c:pt>
                <c:pt idx="44">
                  <c:v>2606.6016943881982</c:v>
                </c:pt>
                <c:pt idx="45">
                  <c:v>1619.4429460254103</c:v>
                </c:pt>
                <c:pt idx="46">
                  <c:v>1812.9900133528074</c:v>
                </c:pt>
                <c:pt idx="47">
                  <c:v>1700.1628662239195</c:v>
                </c:pt>
                <c:pt idx="48">
                  <c:v>1995.6273700833001</c:v>
                </c:pt>
                <c:pt idx="49">
                  <c:v>1864.9598207858605</c:v>
                </c:pt>
                <c:pt idx="50">
                  <c:v>1517.6549367931229</c:v>
                </c:pt>
                <c:pt idx="51">
                  <c:v>2206.8440558265029</c:v>
                </c:pt>
                <c:pt idx="52">
                  <c:v>1802.59359287457</c:v>
                </c:pt>
                <c:pt idx="53">
                  <c:v>1367.8603218151361</c:v>
                </c:pt>
                <c:pt idx="54">
                  <c:v>1542.3986302452897</c:v>
                </c:pt>
                <c:pt idx="55">
                  <c:v>1026.9895829580519</c:v>
                </c:pt>
                <c:pt idx="56">
                  <c:v>1547.7775958360655</c:v>
                </c:pt>
                <c:pt idx="57">
                  <c:v>1616.6573384940225</c:v>
                </c:pt>
                <c:pt idx="58">
                  <c:v>1095.5254559516068</c:v>
                </c:pt>
                <c:pt idx="59">
                  <c:v>1679.4733507705212</c:v>
                </c:pt>
                <c:pt idx="60">
                  <c:v>1356.7606850236552</c:v>
                </c:pt>
                <c:pt idx="61">
                  <c:v>2146.8898253577881</c:v>
                </c:pt>
                <c:pt idx="62">
                  <c:v>1574.9713072466793</c:v>
                </c:pt>
                <c:pt idx="63">
                  <c:v>1288.8695008152681</c:v>
                </c:pt>
                <c:pt idx="64">
                  <c:v>986.81956552785448</c:v>
                </c:pt>
                <c:pt idx="65">
                  <c:v>1074.151209060253</c:v>
                </c:pt>
                <c:pt idx="66">
                  <c:v>888.83094740579952</c:v>
                </c:pt>
              </c:numCache>
            </c:numRef>
          </c:yVal>
          <c:smooth val="0"/>
          <c:extLst>
            <c:ext xmlns:c16="http://schemas.microsoft.com/office/drawing/2014/chart" uri="{C3380CC4-5D6E-409C-BE32-E72D297353CC}">
              <c16:uniqueId val="{00000003-FD21-4DD7-A688-0CF1526AAC1C}"/>
            </c:ext>
          </c:extLst>
        </c:ser>
        <c:dLbls>
          <c:showLegendKey val="0"/>
          <c:showVal val="0"/>
          <c:showCatName val="0"/>
          <c:showSerName val="0"/>
          <c:showPercent val="0"/>
          <c:showBubbleSize val="0"/>
        </c:dLbls>
        <c:axId val="1530593488"/>
        <c:axId val="1530590160"/>
      </c:scatterChart>
      <c:valAx>
        <c:axId val="15305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0160"/>
        <c:crosses val="autoZero"/>
        <c:crossBetween val="midCat"/>
      </c:valAx>
      <c:valAx>
        <c:axId val="1530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model'!$L$12</c:f>
              <c:strCache>
                <c:ptCount val="1"/>
                <c:pt idx="0">
                  <c:v>alpha(y)</c:v>
                </c:pt>
              </c:strCache>
            </c:strRef>
          </c:tx>
          <c:spPr>
            <a:ln w="19050" cap="rnd">
              <a:solidFill>
                <a:schemeClr val="accent1"/>
              </a:solidFill>
              <a:round/>
            </a:ln>
            <a:effectLst/>
          </c:spPr>
          <c:marker>
            <c:symbol val="none"/>
          </c:marker>
          <c:trendline>
            <c:spPr>
              <a:ln w="50800" cap="rnd">
                <a:solidFill>
                  <a:srgbClr val="FF0000"/>
                </a:solidFill>
                <a:prstDash val="sysDot"/>
              </a:ln>
              <a:effectLst/>
            </c:spPr>
            <c:trendlineType val="movingAvg"/>
            <c:period val="5"/>
            <c:dispRSqr val="0"/>
            <c:dispEq val="0"/>
          </c:trendline>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model'!$L$13:$L$79</c:f>
              <c:numCache>
                <c:formatCode>0.0000</c:formatCode>
                <c:ptCount val="67"/>
                <c:pt idx="0">
                  <c:v>1.1205077162580441</c:v>
                </c:pt>
                <c:pt idx="1">
                  <c:v>0.99814081649950148</c:v>
                </c:pt>
                <c:pt idx="2">
                  <c:v>0.87826122026916476</c:v>
                </c:pt>
                <c:pt idx="3">
                  <c:v>1.380585891967983</c:v>
                </c:pt>
                <c:pt idx="4">
                  <c:v>1.3527711160707763</c:v>
                </c:pt>
                <c:pt idx="5">
                  <c:v>1.6944405794236941</c:v>
                </c:pt>
                <c:pt idx="6">
                  <c:v>1.4210155927181782</c:v>
                </c:pt>
                <c:pt idx="7">
                  <c:v>1.0724011797612758</c:v>
                </c:pt>
                <c:pt idx="8">
                  <c:v>1.0719823441790606</c:v>
                </c:pt>
                <c:pt idx="9">
                  <c:v>1.0350975516867571</c:v>
                </c:pt>
                <c:pt idx="10">
                  <c:v>0.99022752412643866</c:v>
                </c:pt>
                <c:pt idx="11">
                  <c:v>1.1028876383980495</c:v>
                </c:pt>
                <c:pt idx="12">
                  <c:v>1.0665698239777479</c:v>
                </c:pt>
                <c:pt idx="13">
                  <c:v>1.1388820244076159</c:v>
                </c:pt>
                <c:pt idx="14">
                  <c:v>1.4727774982638548</c:v>
                </c:pt>
                <c:pt idx="15">
                  <c:v>1.1143295849703971</c:v>
                </c:pt>
                <c:pt idx="16">
                  <c:v>1.0403021993124686</c:v>
                </c:pt>
                <c:pt idx="17">
                  <c:v>1.0517576878571069</c:v>
                </c:pt>
                <c:pt idx="18">
                  <c:v>1.284071730118459</c:v>
                </c:pt>
                <c:pt idx="19">
                  <c:v>1.2998316128884757</c:v>
                </c:pt>
                <c:pt idx="20">
                  <c:v>1.0131635485940749</c:v>
                </c:pt>
                <c:pt idx="21">
                  <c:v>1.0340655962649943</c:v>
                </c:pt>
                <c:pt idx="22">
                  <c:v>1.1451929875426661</c:v>
                </c:pt>
                <c:pt idx="23">
                  <c:v>1.2327254560191521</c:v>
                </c:pt>
                <c:pt idx="24">
                  <c:v>1.0950042627616825</c:v>
                </c:pt>
                <c:pt idx="25">
                  <c:v>1.1589992496331256</c:v>
                </c:pt>
                <c:pt idx="26">
                  <c:v>0.85904171572926313</c:v>
                </c:pt>
                <c:pt idx="27">
                  <c:v>0.87294583026849248</c:v>
                </c:pt>
                <c:pt idx="28">
                  <c:v>1.0436046658417597</c:v>
                </c:pt>
                <c:pt idx="29">
                  <c:v>1.0176724103141099</c:v>
                </c:pt>
                <c:pt idx="30">
                  <c:v>1.2223567237961377</c:v>
                </c:pt>
                <c:pt idx="31">
                  <c:v>1.465461866214834</c:v>
                </c:pt>
                <c:pt idx="32">
                  <c:v>1.1160327035746669</c:v>
                </c:pt>
                <c:pt idx="33">
                  <c:v>1.0009242033445713</c:v>
                </c:pt>
                <c:pt idx="34">
                  <c:v>0.98244426491800319</c:v>
                </c:pt>
                <c:pt idx="35">
                  <c:v>0.94548285488085348</c:v>
                </c:pt>
                <c:pt idx="36">
                  <c:v>1.2831660325444822</c:v>
                </c:pt>
                <c:pt idx="37">
                  <c:v>1.3244207201557809</c:v>
                </c:pt>
                <c:pt idx="38">
                  <c:v>1.1468244434197523</c:v>
                </c:pt>
                <c:pt idx="39">
                  <c:v>1.235718438536755</c:v>
                </c:pt>
                <c:pt idx="40">
                  <c:v>1.2244548101398709</c:v>
                </c:pt>
                <c:pt idx="41">
                  <c:v>1.0518482490854251</c:v>
                </c:pt>
                <c:pt idx="42">
                  <c:v>0.98514095563616144</c:v>
                </c:pt>
                <c:pt idx="43">
                  <c:v>1.2957401144742604</c:v>
                </c:pt>
                <c:pt idx="44">
                  <c:v>1.4786663594874043</c:v>
                </c:pt>
                <c:pt idx="45">
                  <c:v>1.0457619638583278</c:v>
                </c:pt>
                <c:pt idx="46">
                  <c:v>1.1976923989535311</c:v>
                </c:pt>
                <c:pt idx="47">
                  <c:v>1.4654736732130855</c:v>
                </c:pt>
                <c:pt idx="48">
                  <c:v>1.44614879951724</c:v>
                </c:pt>
                <c:pt idx="49">
                  <c:v>1.4133356027786304</c:v>
                </c:pt>
                <c:pt idx="50">
                  <c:v>1.2206429095306479</c:v>
                </c:pt>
                <c:pt idx="51">
                  <c:v>1.3831038698705551</c:v>
                </c:pt>
                <c:pt idx="52">
                  <c:v>1.1127479383576773</c:v>
                </c:pt>
                <c:pt idx="53">
                  <c:v>0.99584531935872933</c:v>
                </c:pt>
                <c:pt idx="54">
                  <c:v>0.97144005684860812</c:v>
                </c:pt>
                <c:pt idx="55">
                  <c:v>0.56838383297845718</c:v>
                </c:pt>
                <c:pt idx="56">
                  <c:v>1.0357409369699615</c:v>
                </c:pt>
                <c:pt idx="57">
                  <c:v>1.1065189328713589</c:v>
                </c:pt>
                <c:pt idx="58">
                  <c:v>1.1304378199350393</c:v>
                </c:pt>
                <c:pt idx="59">
                  <c:v>1.3917653352970116</c:v>
                </c:pt>
                <c:pt idx="60">
                  <c:v>0.89710220436290755</c:v>
                </c:pt>
                <c:pt idx="61">
                  <c:v>1.2962444561191595</c:v>
                </c:pt>
                <c:pt idx="62">
                  <c:v>1.0221440717070156</c:v>
                </c:pt>
                <c:pt idx="63">
                  <c:v>0.82221006136643238</c:v>
                </c:pt>
                <c:pt idx="64">
                  <c:v>0.62583872838469401</c:v>
                </c:pt>
                <c:pt idx="65">
                  <c:v>0.61381794864570216</c:v>
                </c:pt>
                <c:pt idx="66">
                  <c:v>0.70660162963641471</c:v>
                </c:pt>
              </c:numCache>
            </c:numRef>
          </c:yVal>
          <c:smooth val="0"/>
          <c:extLst>
            <c:ext xmlns:c16="http://schemas.microsoft.com/office/drawing/2014/chart" uri="{C3380CC4-5D6E-409C-BE32-E72D297353CC}">
              <c16:uniqueId val="{00000000-258C-4276-B821-594A04AF86D5}"/>
            </c:ext>
          </c:extLst>
        </c:ser>
        <c:dLbls>
          <c:showLegendKey val="0"/>
          <c:showVal val="0"/>
          <c:showCatName val="0"/>
          <c:showSerName val="0"/>
          <c:showPercent val="0"/>
          <c:showBubbleSize val="0"/>
        </c:dLbls>
        <c:axId val="582104560"/>
        <c:axId val="582099984"/>
      </c:scatterChart>
      <c:valAx>
        <c:axId val="582104560"/>
        <c:scaling>
          <c:orientation val="minMax"/>
          <c:max val="2020"/>
          <c:min val="19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9984"/>
        <c:crosses val="autoZero"/>
        <c:crossBetween val="midCat"/>
      </c:valAx>
      <c:valAx>
        <c:axId val="58209998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0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chart" Target="../charts/chart35.xml"/><Relationship Id="rId17" Type="http://schemas.openxmlformats.org/officeDocument/2006/relationships/chart" Target="../charts/chart40.xml"/><Relationship Id="rId2" Type="http://schemas.openxmlformats.org/officeDocument/2006/relationships/chart" Target="../charts/chart25.xml"/><Relationship Id="rId16" Type="http://schemas.openxmlformats.org/officeDocument/2006/relationships/chart" Target="../charts/chart39.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chart" Target="../charts/chart3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18" Type="http://schemas.openxmlformats.org/officeDocument/2006/relationships/chart" Target="../charts/chart58.xml"/><Relationship Id="rId26" Type="http://schemas.openxmlformats.org/officeDocument/2006/relationships/chart" Target="../charts/chart66.xml"/><Relationship Id="rId3" Type="http://schemas.openxmlformats.org/officeDocument/2006/relationships/chart" Target="../charts/chart43.xml"/><Relationship Id="rId21" Type="http://schemas.openxmlformats.org/officeDocument/2006/relationships/chart" Target="../charts/chart61.xml"/><Relationship Id="rId7" Type="http://schemas.openxmlformats.org/officeDocument/2006/relationships/chart" Target="../charts/chart47.xml"/><Relationship Id="rId12" Type="http://schemas.openxmlformats.org/officeDocument/2006/relationships/chart" Target="../charts/chart52.xml"/><Relationship Id="rId17" Type="http://schemas.openxmlformats.org/officeDocument/2006/relationships/chart" Target="../charts/chart57.xml"/><Relationship Id="rId25" Type="http://schemas.openxmlformats.org/officeDocument/2006/relationships/chart" Target="../charts/chart65.xml"/><Relationship Id="rId2" Type="http://schemas.openxmlformats.org/officeDocument/2006/relationships/chart" Target="../charts/chart42.xml"/><Relationship Id="rId16" Type="http://schemas.openxmlformats.org/officeDocument/2006/relationships/chart" Target="../charts/chart56.xml"/><Relationship Id="rId20" Type="http://schemas.openxmlformats.org/officeDocument/2006/relationships/chart" Target="../charts/chart60.xml"/><Relationship Id="rId29" Type="http://schemas.openxmlformats.org/officeDocument/2006/relationships/chart" Target="../charts/chart69.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24" Type="http://schemas.openxmlformats.org/officeDocument/2006/relationships/chart" Target="../charts/chart64.xml"/><Relationship Id="rId32" Type="http://schemas.openxmlformats.org/officeDocument/2006/relationships/chart" Target="../charts/chart72.xml"/><Relationship Id="rId5" Type="http://schemas.openxmlformats.org/officeDocument/2006/relationships/chart" Target="../charts/chart45.xml"/><Relationship Id="rId15" Type="http://schemas.openxmlformats.org/officeDocument/2006/relationships/chart" Target="../charts/chart55.xml"/><Relationship Id="rId23" Type="http://schemas.openxmlformats.org/officeDocument/2006/relationships/chart" Target="../charts/chart63.xml"/><Relationship Id="rId28" Type="http://schemas.openxmlformats.org/officeDocument/2006/relationships/chart" Target="../charts/chart68.xml"/><Relationship Id="rId10" Type="http://schemas.openxmlformats.org/officeDocument/2006/relationships/chart" Target="../charts/chart50.xml"/><Relationship Id="rId19" Type="http://schemas.openxmlformats.org/officeDocument/2006/relationships/chart" Target="../charts/chart59.xml"/><Relationship Id="rId31" Type="http://schemas.openxmlformats.org/officeDocument/2006/relationships/chart" Target="../charts/chart71.xml"/><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4.xml"/><Relationship Id="rId22" Type="http://schemas.openxmlformats.org/officeDocument/2006/relationships/chart" Target="../charts/chart62.xml"/><Relationship Id="rId27" Type="http://schemas.openxmlformats.org/officeDocument/2006/relationships/chart" Target="../charts/chart67.xml"/><Relationship Id="rId30" Type="http://schemas.openxmlformats.org/officeDocument/2006/relationships/chart" Target="../charts/chart7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8.xml.rels><?xml version="1.0" encoding="UTF-8" standalone="yes"?>
<Relationships xmlns="http://schemas.openxmlformats.org/package/2006/relationships"><Relationship Id="rId13" Type="http://schemas.openxmlformats.org/officeDocument/2006/relationships/chart" Target="../charts/chart90.xml"/><Relationship Id="rId18" Type="http://schemas.openxmlformats.org/officeDocument/2006/relationships/chart" Target="../charts/chart95.xml"/><Relationship Id="rId26" Type="http://schemas.openxmlformats.org/officeDocument/2006/relationships/chart" Target="../charts/chart103.xml"/><Relationship Id="rId39" Type="http://schemas.openxmlformats.org/officeDocument/2006/relationships/chart" Target="../charts/chart116.xml"/><Relationship Id="rId21" Type="http://schemas.openxmlformats.org/officeDocument/2006/relationships/chart" Target="../charts/chart98.xml"/><Relationship Id="rId34" Type="http://schemas.openxmlformats.org/officeDocument/2006/relationships/chart" Target="../charts/chart111.xml"/><Relationship Id="rId42" Type="http://schemas.openxmlformats.org/officeDocument/2006/relationships/chart" Target="../charts/chart119.xml"/><Relationship Id="rId47" Type="http://schemas.openxmlformats.org/officeDocument/2006/relationships/chart" Target="../charts/chart124.xml"/><Relationship Id="rId7" Type="http://schemas.openxmlformats.org/officeDocument/2006/relationships/chart" Target="../charts/chart84.xml"/><Relationship Id="rId2" Type="http://schemas.openxmlformats.org/officeDocument/2006/relationships/chart" Target="../charts/chart79.xml"/><Relationship Id="rId16" Type="http://schemas.openxmlformats.org/officeDocument/2006/relationships/chart" Target="../charts/chart93.xml"/><Relationship Id="rId29" Type="http://schemas.openxmlformats.org/officeDocument/2006/relationships/chart" Target="../charts/chart106.xml"/><Relationship Id="rId1" Type="http://schemas.openxmlformats.org/officeDocument/2006/relationships/chart" Target="../charts/chart78.xml"/><Relationship Id="rId6" Type="http://schemas.openxmlformats.org/officeDocument/2006/relationships/chart" Target="../charts/chart83.xml"/><Relationship Id="rId11" Type="http://schemas.openxmlformats.org/officeDocument/2006/relationships/chart" Target="../charts/chart88.xml"/><Relationship Id="rId24" Type="http://schemas.openxmlformats.org/officeDocument/2006/relationships/chart" Target="../charts/chart101.xml"/><Relationship Id="rId32" Type="http://schemas.openxmlformats.org/officeDocument/2006/relationships/chart" Target="../charts/chart109.xml"/><Relationship Id="rId37" Type="http://schemas.openxmlformats.org/officeDocument/2006/relationships/chart" Target="../charts/chart114.xml"/><Relationship Id="rId40" Type="http://schemas.openxmlformats.org/officeDocument/2006/relationships/chart" Target="../charts/chart117.xml"/><Relationship Id="rId45" Type="http://schemas.openxmlformats.org/officeDocument/2006/relationships/chart" Target="../charts/chart122.xml"/><Relationship Id="rId5" Type="http://schemas.openxmlformats.org/officeDocument/2006/relationships/chart" Target="../charts/chart82.xml"/><Relationship Id="rId15" Type="http://schemas.openxmlformats.org/officeDocument/2006/relationships/chart" Target="../charts/chart92.xml"/><Relationship Id="rId23" Type="http://schemas.openxmlformats.org/officeDocument/2006/relationships/chart" Target="../charts/chart100.xml"/><Relationship Id="rId28" Type="http://schemas.openxmlformats.org/officeDocument/2006/relationships/chart" Target="../charts/chart105.xml"/><Relationship Id="rId36" Type="http://schemas.openxmlformats.org/officeDocument/2006/relationships/chart" Target="../charts/chart113.xml"/><Relationship Id="rId10" Type="http://schemas.openxmlformats.org/officeDocument/2006/relationships/chart" Target="../charts/chart87.xml"/><Relationship Id="rId19" Type="http://schemas.openxmlformats.org/officeDocument/2006/relationships/chart" Target="../charts/chart96.xml"/><Relationship Id="rId31" Type="http://schemas.openxmlformats.org/officeDocument/2006/relationships/chart" Target="../charts/chart108.xml"/><Relationship Id="rId44" Type="http://schemas.openxmlformats.org/officeDocument/2006/relationships/chart" Target="../charts/chart121.xml"/><Relationship Id="rId4" Type="http://schemas.openxmlformats.org/officeDocument/2006/relationships/chart" Target="../charts/chart81.xml"/><Relationship Id="rId9" Type="http://schemas.openxmlformats.org/officeDocument/2006/relationships/chart" Target="../charts/chart86.xml"/><Relationship Id="rId14" Type="http://schemas.openxmlformats.org/officeDocument/2006/relationships/chart" Target="../charts/chart91.xml"/><Relationship Id="rId22" Type="http://schemas.openxmlformats.org/officeDocument/2006/relationships/chart" Target="../charts/chart99.xml"/><Relationship Id="rId27" Type="http://schemas.openxmlformats.org/officeDocument/2006/relationships/chart" Target="../charts/chart104.xml"/><Relationship Id="rId30" Type="http://schemas.openxmlformats.org/officeDocument/2006/relationships/chart" Target="../charts/chart107.xml"/><Relationship Id="rId35" Type="http://schemas.openxmlformats.org/officeDocument/2006/relationships/chart" Target="../charts/chart112.xml"/><Relationship Id="rId43" Type="http://schemas.openxmlformats.org/officeDocument/2006/relationships/chart" Target="../charts/chart120.xml"/><Relationship Id="rId48" Type="http://schemas.openxmlformats.org/officeDocument/2006/relationships/chart" Target="../charts/chart125.xml"/><Relationship Id="rId8" Type="http://schemas.openxmlformats.org/officeDocument/2006/relationships/chart" Target="../charts/chart85.xml"/><Relationship Id="rId3" Type="http://schemas.openxmlformats.org/officeDocument/2006/relationships/chart" Target="../charts/chart80.xml"/><Relationship Id="rId12" Type="http://schemas.openxmlformats.org/officeDocument/2006/relationships/chart" Target="../charts/chart89.xml"/><Relationship Id="rId17" Type="http://schemas.openxmlformats.org/officeDocument/2006/relationships/chart" Target="../charts/chart94.xml"/><Relationship Id="rId25" Type="http://schemas.openxmlformats.org/officeDocument/2006/relationships/chart" Target="../charts/chart102.xml"/><Relationship Id="rId33" Type="http://schemas.openxmlformats.org/officeDocument/2006/relationships/chart" Target="../charts/chart110.xml"/><Relationship Id="rId38" Type="http://schemas.openxmlformats.org/officeDocument/2006/relationships/chart" Target="../charts/chart115.xml"/><Relationship Id="rId46" Type="http://schemas.openxmlformats.org/officeDocument/2006/relationships/chart" Target="../charts/chart123.xml"/><Relationship Id="rId20" Type="http://schemas.openxmlformats.org/officeDocument/2006/relationships/chart" Target="../charts/chart97.xml"/><Relationship Id="rId41" Type="http://schemas.openxmlformats.org/officeDocument/2006/relationships/chart" Target="../charts/chart11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8.xml"/><Relationship Id="rId2" Type="http://schemas.openxmlformats.org/officeDocument/2006/relationships/chart" Target="../charts/chart127.xml"/><Relationship Id="rId1" Type="http://schemas.openxmlformats.org/officeDocument/2006/relationships/chart" Target="../charts/chart126.xml"/><Relationship Id="rId5" Type="http://schemas.openxmlformats.org/officeDocument/2006/relationships/chart" Target="../charts/chart130.xml"/><Relationship Id="rId4" Type="http://schemas.openxmlformats.org/officeDocument/2006/relationships/chart" Target="../charts/chart129.xml"/></Relationships>
</file>

<file path=xl/drawings/drawing1.xml><?xml version="1.0" encoding="utf-8"?>
<xdr:wsDr xmlns:xdr="http://schemas.openxmlformats.org/drawingml/2006/spreadsheetDrawing" xmlns:a="http://schemas.openxmlformats.org/drawingml/2006/main">
  <xdr:twoCellAnchor>
    <xdr:from>
      <xdr:col>58</xdr:col>
      <xdr:colOff>464820</xdr:colOff>
      <xdr:row>12</xdr:row>
      <xdr:rowOff>45720</xdr:rowOff>
    </xdr:from>
    <xdr:to>
      <xdr:col>66</xdr:col>
      <xdr:colOff>160020</xdr:colOff>
      <xdr:row>27</xdr:row>
      <xdr:rowOff>45720</xdr:rowOff>
    </xdr:to>
    <xdr:graphicFrame macro="">
      <xdr:nvGraphicFramePr>
        <xdr:cNvPr id="2" name="Chart 1">
          <a:extLst>
            <a:ext uri="{FF2B5EF4-FFF2-40B4-BE49-F238E27FC236}">
              <a16:creationId xmlns:a16="http://schemas.microsoft.com/office/drawing/2014/main" id="{B9BB3448-E897-457D-8219-5D07562B1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352758</xdr:colOff>
      <xdr:row>0</xdr:row>
      <xdr:rowOff>173715</xdr:rowOff>
    </xdr:from>
    <xdr:to>
      <xdr:col>34</xdr:col>
      <xdr:colOff>726831</xdr:colOff>
      <xdr:row>11</xdr:row>
      <xdr:rowOff>7461</xdr:rowOff>
    </xdr:to>
    <xdr:graphicFrame macro="">
      <xdr:nvGraphicFramePr>
        <xdr:cNvPr id="3" name="Chart 2">
          <a:extLst>
            <a:ext uri="{FF2B5EF4-FFF2-40B4-BE49-F238E27FC236}">
              <a16:creationId xmlns:a16="http://schemas.microsoft.com/office/drawing/2014/main" id="{E7AD010C-064A-470C-9F13-375180724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371942</xdr:colOff>
      <xdr:row>12</xdr:row>
      <xdr:rowOff>47958</xdr:rowOff>
    </xdr:from>
    <xdr:to>
      <xdr:col>34</xdr:col>
      <xdr:colOff>746015</xdr:colOff>
      <xdr:row>27</xdr:row>
      <xdr:rowOff>87923</xdr:rowOff>
    </xdr:to>
    <xdr:graphicFrame macro="">
      <xdr:nvGraphicFramePr>
        <xdr:cNvPr id="5" name="Chart 4">
          <a:extLst>
            <a:ext uri="{FF2B5EF4-FFF2-40B4-BE49-F238E27FC236}">
              <a16:creationId xmlns:a16="http://schemas.microsoft.com/office/drawing/2014/main" id="{0D6F34EA-324E-4632-AD66-A40F8177D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555171</xdr:colOff>
      <xdr:row>77</xdr:row>
      <xdr:rowOff>87087</xdr:rowOff>
    </xdr:from>
    <xdr:to>
      <xdr:col>17</xdr:col>
      <xdr:colOff>107868</xdr:colOff>
      <xdr:row>92</xdr:row>
      <xdr:rowOff>117155</xdr:rowOff>
    </xdr:to>
    <xdr:graphicFrame macro="">
      <xdr:nvGraphicFramePr>
        <xdr:cNvPr id="6" name="Chart 5">
          <a:extLst>
            <a:ext uri="{FF2B5EF4-FFF2-40B4-BE49-F238E27FC236}">
              <a16:creationId xmlns:a16="http://schemas.microsoft.com/office/drawing/2014/main" id="{C0E2BD5A-74F1-4752-9CE8-4C2CEA25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283028</xdr:colOff>
      <xdr:row>78</xdr:row>
      <xdr:rowOff>38097</xdr:rowOff>
    </xdr:from>
    <xdr:to>
      <xdr:col>9</xdr:col>
      <xdr:colOff>141512</xdr:colOff>
      <xdr:row>98</xdr:row>
      <xdr:rowOff>185055</xdr:rowOff>
    </xdr:to>
    <xdr:graphicFrame macro="">
      <xdr:nvGraphicFramePr>
        <xdr:cNvPr id="4" name="Chart 3">
          <a:extLst>
            <a:ext uri="{FF2B5EF4-FFF2-40B4-BE49-F238E27FC236}">
              <a16:creationId xmlns:a16="http://schemas.microsoft.com/office/drawing/2014/main" id="{53DC7844-AE23-48F0-99E0-9D38E4A1D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533400</xdr:colOff>
      <xdr:row>57</xdr:row>
      <xdr:rowOff>81642</xdr:rowOff>
    </xdr:from>
    <xdr:to>
      <xdr:col>37</xdr:col>
      <xdr:colOff>566057</xdr:colOff>
      <xdr:row>81</xdr:row>
      <xdr:rowOff>141513</xdr:rowOff>
    </xdr:to>
    <xdr:graphicFrame macro="">
      <xdr:nvGraphicFramePr>
        <xdr:cNvPr id="7" name="Chart 6">
          <a:extLst>
            <a:ext uri="{FF2B5EF4-FFF2-40B4-BE49-F238E27FC236}">
              <a16:creationId xmlns:a16="http://schemas.microsoft.com/office/drawing/2014/main" id="{C12E5C1A-AD3A-45A2-B625-BF947E98C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446314</xdr:colOff>
      <xdr:row>77</xdr:row>
      <xdr:rowOff>54429</xdr:rowOff>
    </xdr:from>
    <xdr:to>
      <xdr:col>25</xdr:col>
      <xdr:colOff>772885</xdr:colOff>
      <xdr:row>101</xdr:row>
      <xdr:rowOff>114300</xdr:rowOff>
    </xdr:to>
    <xdr:graphicFrame macro="">
      <xdr:nvGraphicFramePr>
        <xdr:cNvPr id="11" name="Chart 10">
          <a:extLst>
            <a:ext uri="{FF2B5EF4-FFF2-40B4-BE49-F238E27FC236}">
              <a16:creationId xmlns:a16="http://schemas.microsoft.com/office/drawing/2014/main" id="{38242B27-9737-4655-89F1-9229DBCE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446314</xdr:colOff>
      <xdr:row>101</xdr:row>
      <xdr:rowOff>97972</xdr:rowOff>
    </xdr:from>
    <xdr:to>
      <xdr:col>25</xdr:col>
      <xdr:colOff>772885</xdr:colOff>
      <xdr:row>125</xdr:row>
      <xdr:rowOff>157842</xdr:rowOff>
    </xdr:to>
    <xdr:graphicFrame macro="">
      <xdr:nvGraphicFramePr>
        <xdr:cNvPr id="9" name="Chart 8">
          <a:extLst>
            <a:ext uri="{FF2B5EF4-FFF2-40B4-BE49-F238E27FC236}">
              <a16:creationId xmlns:a16="http://schemas.microsoft.com/office/drawing/2014/main" id="{CA01AD62-D4B1-4FC1-9B4B-2B65B816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94</xdr:row>
      <xdr:rowOff>0</xdr:rowOff>
    </xdr:from>
    <xdr:to>
      <xdr:col>16</xdr:col>
      <xdr:colOff>342407</xdr:colOff>
      <xdr:row>109</xdr:row>
      <xdr:rowOff>30068</xdr:rowOff>
    </xdr:to>
    <xdr:graphicFrame macro="">
      <xdr:nvGraphicFramePr>
        <xdr:cNvPr id="10" name="Chart 9">
          <a:extLst>
            <a:ext uri="{FF2B5EF4-FFF2-40B4-BE49-F238E27FC236}">
              <a16:creationId xmlns:a16="http://schemas.microsoft.com/office/drawing/2014/main" id="{19056B62-1CF3-4697-919A-E5C4BD6C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206433</xdr:colOff>
      <xdr:row>0</xdr:row>
      <xdr:rowOff>95597</xdr:rowOff>
    </xdr:from>
    <xdr:to>
      <xdr:col>27</xdr:col>
      <xdr:colOff>538942</xdr:colOff>
      <xdr:row>15</xdr:row>
      <xdr:rowOff>95597</xdr:rowOff>
    </xdr:to>
    <xdr:graphicFrame macro="">
      <xdr:nvGraphicFramePr>
        <xdr:cNvPr id="3" name="Chart 2">
          <a:extLst>
            <a:ext uri="{FF2B5EF4-FFF2-40B4-BE49-F238E27FC236}">
              <a16:creationId xmlns:a16="http://schemas.microsoft.com/office/drawing/2014/main" id="{0AB0AAAE-03B4-4367-9DCC-4A5D21400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523701</xdr:colOff>
      <xdr:row>85</xdr:row>
      <xdr:rowOff>28401</xdr:rowOff>
    </xdr:from>
    <xdr:to>
      <xdr:col>17</xdr:col>
      <xdr:colOff>124691</xdr:colOff>
      <xdr:row>100</xdr:row>
      <xdr:rowOff>28401</xdr:rowOff>
    </xdr:to>
    <xdr:graphicFrame macro="">
      <xdr:nvGraphicFramePr>
        <xdr:cNvPr id="6" name="Chart 5">
          <a:extLst>
            <a:ext uri="{FF2B5EF4-FFF2-40B4-BE49-F238E27FC236}">
              <a16:creationId xmlns:a16="http://schemas.microsoft.com/office/drawing/2014/main" id="{98DA8AC8-E24A-4896-8FF2-AAD230E1A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415636</xdr:colOff>
      <xdr:row>69</xdr:row>
      <xdr:rowOff>84513</xdr:rowOff>
    </xdr:from>
    <xdr:to>
      <xdr:col>17</xdr:col>
      <xdr:colOff>110836</xdr:colOff>
      <xdr:row>84</xdr:row>
      <xdr:rowOff>96981</xdr:rowOff>
    </xdr:to>
    <xdr:graphicFrame macro="">
      <xdr:nvGraphicFramePr>
        <xdr:cNvPr id="25" name="Chart 24">
          <a:extLst>
            <a:ext uri="{FF2B5EF4-FFF2-40B4-BE49-F238E27FC236}">
              <a16:creationId xmlns:a16="http://schemas.microsoft.com/office/drawing/2014/main" id="{31D2E2C5-42EE-4CAC-B0EB-B0D07451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353290</xdr:colOff>
      <xdr:row>58</xdr:row>
      <xdr:rowOff>48491</xdr:rowOff>
    </xdr:from>
    <xdr:to>
      <xdr:col>54</xdr:col>
      <xdr:colOff>408708</xdr:colOff>
      <xdr:row>73</xdr:row>
      <xdr:rowOff>90054</xdr:rowOff>
    </xdr:to>
    <xdr:graphicFrame macro="">
      <xdr:nvGraphicFramePr>
        <xdr:cNvPr id="26" name="Chart 25">
          <a:extLst>
            <a:ext uri="{FF2B5EF4-FFF2-40B4-BE49-F238E27FC236}">
              <a16:creationId xmlns:a16="http://schemas.microsoft.com/office/drawing/2014/main" id="{C1491616-A694-44D7-95B4-D0154E8A3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363070</xdr:colOff>
      <xdr:row>7</xdr:row>
      <xdr:rowOff>106355</xdr:rowOff>
    </xdr:from>
    <xdr:to>
      <xdr:col>10</xdr:col>
      <xdr:colOff>264459</xdr:colOff>
      <xdr:row>22</xdr:row>
      <xdr:rowOff>64792</xdr:rowOff>
    </xdr:to>
    <xdr:graphicFrame macro="">
      <xdr:nvGraphicFramePr>
        <xdr:cNvPr id="27" name="Chart 26">
          <a:extLst>
            <a:ext uri="{FF2B5EF4-FFF2-40B4-BE49-F238E27FC236}">
              <a16:creationId xmlns:a16="http://schemas.microsoft.com/office/drawing/2014/main" id="{37B47E0A-7EDB-491B-9312-5EB30681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225830</xdr:colOff>
      <xdr:row>16</xdr:row>
      <xdr:rowOff>133004</xdr:rowOff>
    </xdr:from>
    <xdr:to>
      <xdr:col>47</xdr:col>
      <xdr:colOff>216131</xdr:colOff>
      <xdr:row>26</xdr:row>
      <xdr:rowOff>105294</xdr:rowOff>
    </xdr:to>
    <xdr:graphicFrame macro="">
      <xdr:nvGraphicFramePr>
        <xdr:cNvPr id="28" name="Chart 27">
          <a:extLst>
            <a:ext uri="{FF2B5EF4-FFF2-40B4-BE49-F238E27FC236}">
              <a16:creationId xmlns:a16="http://schemas.microsoft.com/office/drawing/2014/main" id="{51FBE9CC-E8FF-402E-B523-D9CD1687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1320339</xdr:colOff>
      <xdr:row>35</xdr:row>
      <xdr:rowOff>133004</xdr:rowOff>
    </xdr:from>
    <xdr:to>
      <xdr:col>54</xdr:col>
      <xdr:colOff>451659</xdr:colOff>
      <xdr:row>45</xdr:row>
      <xdr:rowOff>91440</xdr:rowOff>
    </xdr:to>
    <xdr:graphicFrame macro="">
      <xdr:nvGraphicFramePr>
        <xdr:cNvPr id="29" name="Chart 28">
          <a:extLst>
            <a:ext uri="{FF2B5EF4-FFF2-40B4-BE49-F238E27FC236}">
              <a16:creationId xmlns:a16="http://schemas.microsoft.com/office/drawing/2014/main" id="{556EED77-6EE9-4426-9493-FE53F90C8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1334194</xdr:colOff>
      <xdr:row>47</xdr:row>
      <xdr:rowOff>77585</xdr:rowOff>
    </xdr:from>
    <xdr:to>
      <xdr:col>54</xdr:col>
      <xdr:colOff>465514</xdr:colOff>
      <xdr:row>57</xdr:row>
      <xdr:rowOff>105295</xdr:rowOff>
    </xdr:to>
    <xdr:graphicFrame macro="">
      <xdr:nvGraphicFramePr>
        <xdr:cNvPr id="30" name="Chart 29">
          <a:extLst>
            <a:ext uri="{FF2B5EF4-FFF2-40B4-BE49-F238E27FC236}">
              <a16:creationId xmlns:a16="http://schemas.microsoft.com/office/drawing/2014/main" id="{5906E240-15F6-4E8F-B749-2E8B55FBC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189114</xdr:colOff>
      <xdr:row>15</xdr:row>
      <xdr:rowOff>105295</xdr:rowOff>
    </xdr:from>
    <xdr:to>
      <xdr:col>38</xdr:col>
      <xdr:colOff>516774</xdr:colOff>
      <xdr:row>25</xdr:row>
      <xdr:rowOff>119150</xdr:rowOff>
    </xdr:to>
    <xdr:graphicFrame macro="">
      <xdr:nvGraphicFramePr>
        <xdr:cNvPr id="31" name="Chart 30">
          <a:extLst>
            <a:ext uri="{FF2B5EF4-FFF2-40B4-BE49-F238E27FC236}">
              <a16:creationId xmlns:a16="http://schemas.microsoft.com/office/drawing/2014/main" id="{C13F104E-DCF3-48BE-A5E6-05A95773C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604751</xdr:colOff>
      <xdr:row>60</xdr:row>
      <xdr:rowOff>119149</xdr:rowOff>
    </xdr:from>
    <xdr:to>
      <xdr:col>39</xdr:col>
      <xdr:colOff>322811</xdr:colOff>
      <xdr:row>71</xdr:row>
      <xdr:rowOff>22167</xdr:rowOff>
    </xdr:to>
    <xdr:graphicFrame macro="">
      <xdr:nvGraphicFramePr>
        <xdr:cNvPr id="32" name="Chart 31">
          <a:extLst>
            <a:ext uri="{FF2B5EF4-FFF2-40B4-BE49-F238E27FC236}">
              <a16:creationId xmlns:a16="http://schemas.microsoft.com/office/drawing/2014/main" id="{22F1DEDA-A508-4591-A70A-64A63CAC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327660</xdr:colOff>
      <xdr:row>49</xdr:row>
      <xdr:rowOff>188422</xdr:rowOff>
    </xdr:from>
    <xdr:to>
      <xdr:col>38</xdr:col>
      <xdr:colOff>45720</xdr:colOff>
      <xdr:row>60</xdr:row>
      <xdr:rowOff>49877</xdr:rowOff>
    </xdr:to>
    <xdr:graphicFrame macro="">
      <xdr:nvGraphicFramePr>
        <xdr:cNvPr id="33" name="Chart 32">
          <a:extLst>
            <a:ext uri="{FF2B5EF4-FFF2-40B4-BE49-F238E27FC236}">
              <a16:creationId xmlns:a16="http://schemas.microsoft.com/office/drawing/2014/main" id="{0A4DAE5A-5FE0-4F6B-A8CE-BEF1115FE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8312</xdr:colOff>
      <xdr:row>26</xdr:row>
      <xdr:rowOff>160712</xdr:rowOff>
    </xdr:from>
    <xdr:to>
      <xdr:col>46</xdr:col>
      <xdr:colOff>267392</xdr:colOff>
      <xdr:row>36</xdr:row>
      <xdr:rowOff>160712</xdr:rowOff>
    </xdr:to>
    <xdr:graphicFrame macro="">
      <xdr:nvGraphicFramePr>
        <xdr:cNvPr id="34" name="Chart 33">
          <a:extLst>
            <a:ext uri="{FF2B5EF4-FFF2-40B4-BE49-F238E27FC236}">
              <a16:creationId xmlns:a16="http://schemas.microsoft.com/office/drawing/2014/main" id="{432F7A37-9BFF-4CF7-BD4D-5F471B783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123998</xdr:colOff>
      <xdr:row>57</xdr:row>
      <xdr:rowOff>63731</xdr:rowOff>
    </xdr:from>
    <xdr:to>
      <xdr:col>47</xdr:col>
      <xdr:colOff>253539</xdr:colOff>
      <xdr:row>67</xdr:row>
      <xdr:rowOff>119149</xdr:rowOff>
    </xdr:to>
    <xdr:graphicFrame macro="">
      <xdr:nvGraphicFramePr>
        <xdr:cNvPr id="35" name="Chart 34">
          <a:extLst>
            <a:ext uri="{FF2B5EF4-FFF2-40B4-BE49-F238E27FC236}">
              <a16:creationId xmlns:a16="http://schemas.microsoft.com/office/drawing/2014/main" id="{C8514A8B-7DDE-48EE-87D8-8A12060F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193272</xdr:colOff>
      <xdr:row>3</xdr:row>
      <xdr:rowOff>91440</xdr:rowOff>
    </xdr:from>
    <xdr:to>
      <xdr:col>36</xdr:col>
      <xdr:colOff>119843</xdr:colOff>
      <xdr:row>13</xdr:row>
      <xdr:rowOff>160712</xdr:rowOff>
    </xdr:to>
    <xdr:graphicFrame macro="">
      <xdr:nvGraphicFramePr>
        <xdr:cNvPr id="36" name="Chart 35">
          <a:extLst>
            <a:ext uri="{FF2B5EF4-FFF2-40B4-BE49-F238E27FC236}">
              <a16:creationId xmlns:a16="http://schemas.microsoft.com/office/drawing/2014/main" id="{42AF4B0B-86CD-4204-A2B0-A2BEDF2B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175359</xdr:colOff>
      <xdr:row>70</xdr:row>
      <xdr:rowOff>55121</xdr:rowOff>
    </xdr:from>
    <xdr:to>
      <xdr:col>16</xdr:col>
      <xdr:colOff>385949</xdr:colOff>
      <xdr:row>85</xdr:row>
      <xdr:rowOff>74913</xdr:rowOff>
    </xdr:to>
    <xdr:graphicFrame macro="">
      <xdr:nvGraphicFramePr>
        <xdr:cNvPr id="2" name="Chart 1">
          <a:extLst>
            <a:ext uri="{FF2B5EF4-FFF2-40B4-BE49-F238E27FC236}">
              <a16:creationId xmlns:a16="http://schemas.microsoft.com/office/drawing/2014/main" id="{D1DCE40B-CE3A-4D21-A2A0-A52545EBC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83128</xdr:colOff>
      <xdr:row>85</xdr:row>
      <xdr:rowOff>167640</xdr:rowOff>
    </xdr:from>
    <xdr:to>
      <xdr:col>16</xdr:col>
      <xdr:colOff>387928</xdr:colOff>
      <xdr:row>100</xdr:row>
      <xdr:rowOff>166254</xdr:rowOff>
    </xdr:to>
    <xdr:graphicFrame macro="">
      <xdr:nvGraphicFramePr>
        <xdr:cNvPr id="3" name="Chart 2">
          <a:extLst>
            <a:ext uri="{FF2B5EF4-FFF2-40B4-BE49-F238E27FC236}">
              <a16:creationId xmlns:a16="http://schemas.microsoft.com/office/drawing/2014/main" id="{A640F8FB-C9D6-43F6-9968-E6756AD1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5</xdr:row>
      <xdr:rowOff>36616</xdr:rowOff>
    </xdr:from>
    <xdr:to>
      <xdr:col>8</xdr:col>
      <xdr:colOff>78181</xdr:colOff>
      <xdr:row>20</xdr:row>
      <xdr:rowOff>8908</xdr:rowOff>
    </xdr:to>
    <xdr:graphicFrame macro="">
      <xdr:nvGraphicFramePr>
        <xdr:cNvPr id="4" name="Chart 3">
          <a:extLst>
            <a:ext uri="{FF2B5EF4-FFF2-40B4-BE49-F238E27FC236}">
              <a16:creationId xmlns:a16="http://schemas.microsoft.com/office/drawing/2014/main" id="{024A2AC5-9184-4CEF-BD18-C206CE67A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107576</xdr:colOff>
      <xdr:row>11</xdr:row>
      <xdr:rowOff>80683</xdr:rowOff>
    </xdr:from>
    <xdr:to>
      <xdr:col>34</xdr:col>
      <xdr:colOff>34962</xdr:colOff>
      <xdr:row>21</xdr:row>
      <xdr:rowOff>84268</xdr:rowOff>
    </xdr:to>
    <xdr:graphicFrame macro="">
      <xdr:nvGraphicFramePr>
        <xdr:cNvPr id="5" name="Chart 4">
          <a:extLst>
            <a:ext uri="{FF2B5EF4-FFF2-40B4-BE49-F238E27FC236}">
              <a16:creationId xmlns:a16="http://schemas.microsoft.com/office/drawing/2014/main" id="{0ADFB912-428B-432D-B434-14D1CAF4E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437606</xdr:colOff>
      <xdr:row>25</xdr:row>
      <xdr:rowOff>154577</xdr:rowOff>
    </xdr:from>
    <xdr:to>
      <xdr:col>17</xdr:col>
      <xdr:colOff>88174</xdr:colOff>
      <xdr:row>35</xdr:row>
      <xdr:rowOff>154578</xdr:rowOff>
    </xdr:to>
    <xdr:graphicFrame macro="">
      <xdr:nvGraphicFramePr>
        <xdr:cNvPr id="6" name="Chart 5">
          <a:extLst>
            <a:ext uri="{FF2B5EF4-FFF2-40B4-BE49-F238E27FC236}">
              <a16:creationId xmlns:a16="http://schemas.microsoft.com/office/drawing/2014/main" id="{8BCA91E1-A43B-4E22-B5C2-5466C8B3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535576</xdr:colOff>
      <xdr:row>41</xdr:row>
      <xdr:rowOff>34835</xdr:rowOff>
    </xdr:from>
    <xdr:to>
      <xdr:col>15</xdr:col>
      <xdr:colOff>99058</xdr:colOff>
      <xdr:row>51</xdr:row>
      <xdr:rowOff>67492</xdr:rowOff>
    </xdr:to>
    <xdr:graphicFrame macro="">
      <xdr:nvGraphicFramePr>
        <xdr:cNvPr id="7" name="Chart 6">
          <a:extLst>
            <a:ext uri="{FF2B5EF4-FFF2-40B4-BE49-F238E27FC236}">
              <a16:creationId xmlns:a16="http://schemas.microsoft.com/office/drawing/2014/main" id="{0DDAE29F-FDF4-4120-B10C-6F3A2F88B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339634</xdr:colOff>
      <xdr:row>9</xdr:row>
      <xdr:rowOff>121920</xdr:rowOff>
    </xdr:from>
    <xdr:to>
      <xdr:col>16</xdr:col>
      <xdr:colOff>599803</xdr:colOff>
      <xdr:row>19</xdr:row>
      <xdr:rowOff>143691</xdr:rowOff>
    </xdr:to>
    <xdr:graphicFrame macro="">
      <xdr:nvGraphicFramePr>
        <xdr:cNvPr id="8" name="Chart 7">
          <a:extLst>
            <a:ext uri="{FF2B5EF4-FFF2-40B4-BE49-F238E27FC236}">
              <a16:creationId xmlns:a16="http://schemas.microsoft.com/office/drawing/2014/main" id="{58E139CC-39D6-4415-89A6-CDA118F2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115049</xdr:colOff>
      <xdr:row>35</xdr:row>
      <xdr:rowOff>151027</xdr:rowOff>
    </xdr:from>
    <xdr:to>
      <xdr:col>35</xdr:col>
      <xdr:colOff>375218</xdr:colOff>
      <xdr:row>45</xdr:row>
      <xdr:rowOff>157023</xdr:rowOff>
    </xdr:to>
    <xdr:graphicFrame macro="">
      <xdr:nvGraphicFramePr>
        <xdr:cNvPr id="9" name="Chart 8">
          <a:extLst>
            <a:ext uri="{FF2B5EF4-FFF2-40B4-BE49-F238E27FC236}">
              <a16:creationId xmlns:a16="http://schemas.microsoft.com/office/drawing/2014/main" id="{CE4F76A6-4085-439E-B7F6-DCEBA617D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484019</xdr:colOff>
      <xdr:row>48</xdr:row>
      <xdr:rowOff>79367</xdr:rowOff>
    </xdr:from>
    <xdr:to>
      <xdr:col>35</xdr:col>
      <xdr:colOff>5047</xdr:colOff>
      <xdr:row>58</xdr:row>
      <xdr:rowOff>101139</xdr:rowOff>
    </xdr:to>
    <xdr:graphicFrame macro="">
      <xdr:nvGraphicFramePr>
        <xdr:cNvPr id="10" name="Chart 9">
          <a:extLst>
            <a:ext uri="{FF2B5EF4-FFF2-40B4-BE49-F238E27FC236}">
              <a16:creationId xmlns:a16="http://schemas.microsoft.com/office/drawing/2014/main" id="{323DE838-98F8-41DA-A9EC-11DA0B82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360317</xdr:colOff>
      <xdr:row>1</xdr:row>
      <xdr:rowOff>121920</xdr:rowOff>
    </xdr:from>
    <xdr:to>
      <xdr:col>34</xdr:col>
      <xdr:colOff>360317</xdr:colOff>
      <xdr:row>11</xdr:row>
      <xdr:rowOff>143691</xdr:rowOff>
    </xdr:to>
    <xdr:graphicFrame macro="">
      <xdr:nvGraphicFramePr>
        <xdr:cNvPr id="11" name="Chart 10">
          <a:extLst>
            <a:ext uri="{FF2B5EF4-FFF2-40B4-BE49-F238E27FC236}">
              <a16:creationId xmlns:a16="http://schemas.microsoft.com/office/drawing/2014/main" id="{CD8A729E-F54D-4AA4-A834-F96BA9C5C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197031</xdr:colOff>
      <xdr:row>3</xdr:row>
      <xdr:rowOff>132806</xdr:rowOff>
    </xdr:from>
    <xdr:to>
      <xdr:col>40</xdr:col>
      <xdr:colOff>265611</xdr:colOff>
      <xdr:row>13</xdr:row>
      <xdr:rowOff>143691</xdr:rowOff>
    </xdr:to>
    <xdr:graphicFrame macro="">
      <xdr:nvGraphicFramePr>
        <xdr:cNvPr id="12" name="Chart 11">
          <a:extLst>
            <a:ext uri="{FF2B5EF4-FFF2-40B4-BE49-F238E27FC236}">
              <a16:creationId xmlns:a16="http://schemas.microsoft.com/office/drawing/2014/main" id="{89184C68-CA5E-43AC-9EB6-A8AB9C12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218803</xdr:colOff>
      <xdr:row>16</xdr:row>
      <xdr:rowOff>111035</xdr:rowOff>
    </xdr:from>
    <xdr:to>
      <xdr:col>39</xdr:col>
      <xdr:colOff>287383</xdr:colOff>
      <xdr:row>26</xdr:row>
      <xdr:rowOff>100149</xdr:rowOff>
    </xdr:to>
    <xdr:graphicFrame macro="">
      <xdr:nvGraphicFramePr>
        <xdr:cNvPr id="13" name="Chart 12">
          <a:extLst>
            <a:ext uri="{FF2B5EF4-FFF2-40B4-BE49-F238E27FC236}">
              <a16:creationId xmlns:a16="http://schemas.microsoft.com/office/drawing/2014/main" id="{AD9B2DFC-73D4-4B6C-81C1-7D1E70E2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511628</xdr:colOff>
      <xdr:row>81</xdr:row>
      <xdr:rowOff>146958</xdr:rowOff>
    </xdr:from>
    <xdr:to>
      <xdr:col>37</xdr:col>
      <xdr:colOff>272142</xdr:colOff>
      <xdr:row>96</xdr:row>
      <xdr:rowOff>114301</xdr:rowOff>
    </xdr:to>
    <xdr:graphicFrame macro="">
      <xdr:nvGraphicFramePr>
        <xdr:cNvPr id="14" name="Chart 13">
          <a:extLst>
            <a:ext uri="{FF2B5EF4-FFF2-40B4-BE49-F238E27FC236}">
              <a16:creationId xmlns:a16="http://schemas.microsoft.com/office/drawing/2014/main" id="{F7554BE7-E842-4247-9A33-48E4E8704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0</xdr:colOff>
      <xdr:row>65</xdr:row>
      <xdr:rowOff>0</xdr:rowOff>
    </xdr:from>
    <xdr:to>
      <xdr:col>37</xdr:col>
      <xdr:colOff>370114</xdr:colOff>
      <xdr:row>79</xdr:row>
      <xdr:rowOff>152400</xdr:rowOff>
    </xdr:to>
    <xdr:graphicFrame macro="">
      <xdr:nvGraphicFramePr>
        <xdr:cNvPr id="15" name="Chart 14">
          <a:extLst>
            <a:ext uri="{FF2B5EF4-FFF2-40B4-BE49-F238E27FC236}">
              <a16:creationId xmlns:a16="http://schemas.microsoft.com/office/drawing/2014/main" id="{9A3B92A1-D61B-461A-B1D8-EF41A247C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79168</xdr:colOff>
      <xdr:row>101</xdr:row>
      <xdr:rowOff>110835</xdr:rowOff>
    </xdr:from>
    <xdr:to>
      <xdr:col>16</xdr:col>
      <xdr:colOff>378030</xdr:colOff>
      <xdr:row>116</xdr:row>
      <xdr:rowOff>109449</xdr:rowOff>
    </xdr:to>
    <xdr:graphicFrame macro="">
      <xdr:nvGraphicFramePr>
        <xdr:cNvPr id="16" name="Chart 15">
          <a:extLst>
            <a:ext uri="{FF2B5EF4-FFF2-40B4-BE49-F238E27FC236}">
              <a16:creationId xmlns:a16="http://schemas.microsoft.com/office/drawing/2014/main" id="{F07A9BD6-BF0A-468C-A4BE-FCA28252C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408708</xdr:colOff>
      <xdr:row>110</xdr:row>
      <xdr:rowOff>90055</xdr:rowOff>
    </xdr:from>
    <xdr:to>
      <xdr:col>24</xdr:col>
      <xdr:colOff>131618</xdr:colOff>
      <xdr:row>125</xdr:row>
      <xdr:rowOff>117764</xdr:rowOff>
    </xdr:to>
    <xdr:graphicFrame macro="">
      <xdr:nvGraphicFramePr>
        <xdr:cNvPr id="17" name="Chart 16">
          <a:extLst>
            <a:ext uri="{FF2B5EF4-FFF2-40B4-BE49-F238E27FC236}">
              <a16:creationId xmlns:a16="http://schemas.microsoft.com/office/drawing/2014/main" id="{215A3317-C4A0-482A-934C-598FDB9F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159807</xdr:colOff>
      <xdr:row>129</xdr:row>
      <xdr:rowOff>120831</xdr:rowOff>
    </xdr:from>
    <xdr:to>
      <xdr:col>12</xdr:col>
      <xdr:colOff>374570</xdr:colOff>
      <xdr:row>144</xdr:row>
      <xdr:rowOff>81073</xdr:rowOff>
    </xdr:to>
    <xdr:graphicFrame macro="">
      <xdr:nvGraphicFramePr>
        <xdr:cNvPr id="18" name="Chart 17">
          <a:extLst>
            <a:ext uri="{FF2B5EF4-FFF2-40B4-BE49-F238E27FC236}">
              <a16:creationId xmlns:a16="http://schemas.microsoft.com/office/drawing/2014/main" id="{C276C176-733B-4AB4-B117-5DDD6D297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268940</xdr:colOff>
      <xdr:row>3</xdr:row>
      <xdr:rowOff>128759</xdr:rowOff>
    </xdr:from>
    <xdr:to>
      <xdr:col>26</xdr:col>
      <xdr:colOff>439270</xdr:colOff>
      <xdr:row>18</xdr:row>
      <xdr:rowOff>105649</xdr:rowOff>
    </xdr:to>
    <xdr:graphicFrame macro="">
      <xdr:nvGraphicFramePr>
        <xdr:cNvPr id="6" name="Chart 5">
          <a:extLst>
            <a:ext uri="{FF2B5EF4-FFF2-40B4-BE49-F238E27FC236}">
              <a16:creationId xmlns:a16="http://schemas.microsoft.com/office/drawing/2014/main" id="{684B12A5-A336-45E0-BD12-7B277BDD2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124690</xdr:colOff>
      <xdr:row>86</xdr:row>
      <xdr:rowOff>167640</xdr:rowOff>
    </xdr:from>
    <xdr:to>
      <xdr:col>21</xdr:col>
      <xdr:colOff>182879</xdr:colOff>
      <xdr:row>101</xdr:row>
      <xdr:rowOff>166254</xdr:rowOff>
    </xdr:to>
    <xdr:graphicFrame macro="">
      <xdr:nvGraphicFramePr>
        <xdr:cNvPr id="25" name="Chart 24">
          <a:extLst>
            <a:ext uri="{FF2B5EF4-FFF2-40B4-BE49-F238E27FC236}">
              <a16:creationId xmlns:a16="http://schemas.microsoft.com/office/drawing/2014/main" id="{66B1FE16-BFD8-44C3-8D15-5DD065F1E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6</xdr:row>
      <xdr:rowOff>36616</xdr:rowOff>
    </xdr:from>
    <xdr:to>
      <xdr:col>8</xdr:col>
      <xdr:colOff>78181</xdr:colOff>
      <xdr:row>21</xdr:row>
      <xdr:rowOff>8908</xdr:rowOff>
    </xdr:to>
    <xdr:graphicFrame macro="">
      <xdr:nvGraphicFramePr>
        <xdr:cNvPr id="27" name="Chart 26">
          <a:extLst>
            <a:ext uri="{FF2B5EF4-FFF2-40B4-BE49-F238E27FC236}">
              <a16:creationId xmlns:a16="http://schemas.microsoft.com/office/drawing/2014/main" id="{FA8F21E2-C44A-4EB0-AFE5-4A936501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106877</xdr:colOff>
      <xdr:row>103</xdr:row>
      <xdr:rowOff>55417</xdr:rowOff>
    </xdr:from>
    <xdr:to>
      <xdr:col>21</xdr:col>
      <xdr:colOff>138546</xdr:colOff>
      <xdr:row>118</xdr:row>
      <xdr:rowOff>54031</xdr:rowOff>
    </xdr:to>
    <xdr:graphicFrame macro="">
      <xdr:nvGraphicFramePr>
        <xdr:cNvPr id="16" name="Chart 15">
          <a:extLst>
            <a:ext uri="{FF2B5EF4-FFF2-40B4-BE49-F238E27FC236}">
              <a16:creationId xmlns:a16="http://schemas.microsoft.com/office/drawing/2014/main" id="{9FDC604F-BE2F-4FE3-A335-590751FE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865909</xdr:colOff>
      <xdr:row>119</xdr:row>
      <xdr:rowOff>143843</xdr:rowOff>
    </xdr:from>
    <xdr:to>
      <xdr:col>97</xdr:col>
      <xdr:colOff>518161</xdr:colOff>
      <xdr:row>134</xdr:row>
      <xdr:rowOff>171552</xdr:rowOff>
    </xdr:to>
    <xdr:graphicFrame macro="">
      <xdr:nvGraphicFramePr>
        <xdr:cNvPr id="3" name="Chart 2">
          <a:extLst>
            <a:ext uri="{FF2B5EF4-FFF2-40B4-BE49-F238E27FC236}">
              <a16:creationId xmlns:a16="http://schemas.microsoft.com/office/drawing/2014/main" id="{A6EA929A-09BC-401F-A82D-69E68A621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138545</xdr:colOff>
      <xdr:row>120</xdr:row>
      <xdr:rowOff>95892</xdr:rowOff>
    </xdr:from>
    <xdr:to>
      <xdr:col>21</xdr:col>
      <xdr:colOff>166255</xdr:colOff>
      <xdr:row>135</xdr:row>
      <xdr:rowOff>56134</xdr:rowOff>
    </xdr:to>
    <xdr:graphicFrame macro="">
      <xdr:nvGraphicFramePr>
        <xdr:cNvPr id="4" name="Chart 3">
          <a:extLst>
            <a:ext uri="{FF2B5EF4-FFF2-40B4-BE49-F238E27FC236}">
              <a16:creationId xmlns:a16="http://schemas.microsoft.com/office/drawing/2014/main" id="{A353696A-7470-44F4-88B4-09E027043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43542</xdr:colOff>
      <xdr:row>3</xdr:row>
      <xdr:rowOff>148936</xdr:rowOff>
    </xdr:from>
    <xdr:to>
      <xdr:col>18</xdr:col>
      <xdr:colOff>555171</xdr:colOff>
      <xdr:row>17</xdr:row>
      <xdr:rowOff>184561</xdr:rowOff>
    </xdr:to>
    <xdr:graphicFrame macro="">
      <xdr:nvGraphicFramePr>
        <xdr:cNvPr id="5" name="Chart 4">
          <a:extLst>
            <a:ext uri="{FF2B5EF4-FFF2-40B4-BE49-F238E27FC236}">
              <a16:creationId xmlns:a16="http://schemas.microsoft.com/office/drawing/2014/main" id="{0E9ADE3E-9F2E-4CD9-BC9C-976E4EE7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247402</xdr:colOff>
      <xdr:row>19</xdr:row>
      <xdr:rowOff>84117</xdr:rowOff>
    </xdr:from>
    <xdr:to>
      <xdr:col>19</xdr:col>
      <xdr:colOff>0</xdr:colOff>
      <xdr:row>33</xdr:row>
      <xdr:rowOff>57398</xdr:rowOff>
    </xdr:to>
    <xdr:graphicFrame macro="">
      <xdr:nvGraphicFramePr>
        <xdr:cNvPr id="20" name="Chart 19">
          <a:extLst>
            <a:ext uri="{FF2B5EF4-FFF2-40B4-BE49-F238E27FC236}">
              <a16:creationId xmlns:a16="http://schemas.microsoft.com/office/drawing/2014/main" id="{F3BDA926-C7EF-42D3-881D-0F4D0CFF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337458</xdr:colOff>
      <xdr:row>38</xdr:row>
      <xdr:rowOff>81641</xdr:rowOff>
    </xdr:from>
    <xdr:to>
      <xdr:col>8</xdr:col>
      <xdr:colOff>576943</xdr:colOff>
      <xdr:row>61</xdr:row>
      <xdr:rowOff>54427</xdr:rowOff>
    </xdr:to>
    <xdr:graphicFrame macro="">
      <xdr:nvGraphicFramePr>
        <xdr:cNvPr id="7" name="Chart 6">
          <a:extLst>
            <a:ext uri="{FF2B5EF4-FFF2-40B4-BE49-F238E27FC236}">
              <a16:creationId xmlns:a16="http://schemas.microsoft.com/office/drawing/2014/main" id="{7D28814A-8599-4087-A5DC-F8076084F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498339</xdr:colOff>
      <xdr:row>70</xdr:row>
      <xdr:rowOff>43542</xdr:rowOff>
    </xdr:from>
    <xdr:to>
      <xdr:col>93</xdr:col>
      <xdr:colOff>489857</xdr:colOff>
      <xdr:row>94</xdr:row>
      <xdr:rowOff>43542</xdr:rowOff>
    </xdr:to>
    <xdr:graphicFrame macro="">
      <xdr:nvGraphicFramePr>
        <xdr:cNvPr id="21" name="Chart 20">
          <a:extLst>
            <a:ext uri="{FF2B5EF4-FFF2-40B4-BE49-F238E27FC236}">
              <a16:creationId xmlns:a16="http://schemas.microsoft.com/office/drawing/2014/main" id="{C402D8B1-8164-4A98-A916-135A077FC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23328</xdr:colOff>
      <xdr:row>100</xdr:row>
      <xdr:rowOff>147410</xdr:rowOff>
    </xdr:from>
    <xdr:to>
      <xdr:col>84</xdr:col>
      <xdr:colOff>316922</xdr:colOff>
      <xdr:row>118</xdr:row>
      <xdr:rowOff>157596</xdr:rowOff>
    </xdr:to>
    <xdr:graphicFrame macro="">
      <xdr:nvGraphicFramePr>
        <xdr:cNvPr id="8" name="Chart 7">
          <a:extLst>
            <a:ext uri="{FF2B5EF4-FFF2-40B4-BE49-F238E27FC236}">
              <a16:creationId xmlns:a16="http://schemas.microsoft.com/office/drawing/2014/main" id="{3EEF7272-E1D5-4C4A-9EB9-805C5449C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608734</xdr:colOff>
      <xdr:row>32</xdr:row>
      <xdr:rowOff>49356</xdr:rowOff>
    </xdr:from>
    <xdr:to>
      <xdr:col>84</xdr:col>
      <xdr:colOff>227734</xdr:colOff>
      <xdr:row>46</xdr:row>
      <xdr:rowOff>139411</xdr:rowOff>
    </xdr:to>
    <xdr:graphicFrame macro="">
      <xdr:nvGraphicFramePr>
        <xdr:cNvPr id="9" name="Chart 8">
          <a:extLst>
            <a:ext uri="{FF2B5EF4-FFF2-40B4-BE49-F238E27FC236}">
              <a16:creationId xmlns:a16="http://schemas.microsoft.com/office/drawing/2014/main" id="{C9DE9460-EB88-4FF5-865F-14668E11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120</xdr:col>
      <xdr:colOff>465176</xdr:colOff>
      <xdr:row>57</xdr:row>
      <xdr:rowOff>72561</xdr:rowOff>
    </xdr:from>
    <xdr:to>
      <xdr:col>128</xdr:col>
      <xdr:colOff>162821</xdr:colOff>
      <xdr:row>72</xdr:row>
      <xdr:rowOff>46307</xdr:rowOff>
    </xdr:to>
    <xdr:graphicFrame macro="">
      <xdr:nvGraphicFramePr>
        <xdr:cNvPr id="10" name="Chart 9">
          <a:extLst>
            <a:ext uri="{FF2B5EF4-FFF2-40B4-BE49-F238E27FC236}">
              <a16:creationId xmlns:a16="http://schemas.microsoft.com/office/drawing/2014/main" id="{9CD69AB5-06B9-4559-B070-DCF0F7AE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129</xdr:col>
      <xdr:colOff>19211</xdr:colOff>
      <xdr:row>65</xdr:row>
      <xdr:rowOff>70757</xdr:rowOff>
    </xdr:from>
    <xdr:to>
      <xdr:col>135</xdr:col>
      <xdr:colOff>62753</xdr:colOff>
      <xdr:row>80</xdr:row>
      <xdr:rowOff>14407</xdr:rowOff>
    </xdr:to>
    <xdr:graphicFrame macro="">
      <xdr:nvGraphicFramePr>
        <xdr:cNvPr id="11" name="Chart 10">
          <a:extLst>
            <a:ext uri="{FF2B5EF4-FFF2-40B4-BE49-F238E27FC236}">
              <a16:creationId xmlns:a16="http://schemas.microsoft.com/office/drawing/2014/main" id="{E3DD8C57-9445-4257-8A68-B8260F8E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77</xdr:col>
      <xdr:colOff>484094</xdr:colOff>
      <xdr:row>47</xdr:row>
      <xdr:rowOff>125506</xdr:rowOff>
    </xdr:from>
    <xdr:to>
      <xdr:col>84</xdr:col>
      <xdr:colOff>103094</xdr:colOff>
      <xdr:row>62</xdr:row>
      <xdr:rowOff>87727</xdr:rowOff>
    </xdr:to>
    <xdr:graphicFrame macro="">
      <xdr:nvGraphicFramePr>
        <xdr:cNvPr id="26" name="Chart 25">
          <a:extLst>
            <a:ext uri="{FF2B5EF4-FFF2-40B4-BE49-F238E27FC236}">
              <a16:creationId xmlns:a16="http://schemas.microsoft.com/office/drawing/2014/main" id="{205AFDBA-9EC8-4F23-B73D-660511D2F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78</xdr:col>
      <xdr:colOff>23750</xdr:colOff>
      <xdr:row>17</xdr:row>
      <xdr:rowOff>19793</xdr:rowOff>
    </xdr:from>
    <xdr:to>
      <xdr:col>84</xdr:col>
      <xdr:colOff>252350</xdr:colOff>
      <xdr:row>31</xdr:row>
      <xdr:rowOff>101931</xdr:rowOff>
    </xdr:to>
    <xdr:graphicFrame macro="">
      <xdr:nvGraphicFramePr>
        <xdr:cNvPr id="30" name="Chart 29">
          <a:extLst>
            <a:ext uri="{FF2B5EF4-FFF2-40B4-BE49-F238E27FC236}">
              <a16:creationId xmlns:a16="http://schemas.microsoft.com/office/drawing/2014/main" id="{1CC4AC91-3A40-409F-A5EF-EEF35624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326571</xdr:colOff>
      <xdr:row>69</xdr:row>
      <xdr:rowOff>157843</xdr:rowOff>
    </xdr:from>
    <xdr:to>
      <xdr:col>9</xdr:col>
      <xdr:colOff>10885</xdr:colOff>
      <xdr:row>84</xdr:row>
      <xdr:rowOff>92529</xdr:rowOff>
    </xdr:to>
    <xdr:graphicFrame macro="">
      <xdr:nvGraphicFramePr>
        <xdr:cNvPr id="13" name="Chart 12">
          <a:extLst>
            <a:ext uri="{FF2B5EF4-FFF2-40B4-BE49-F238E27FC236}">
              <a16:creationId xmlns:a16="http://schemas.microsoft.com/office/drawing/2014/main" id="{C141198F-0912-43D1-A1A4-C8047E29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326571</xdr:colOff>
      <xdr:row>23</xdr:row>
      <xdr:rowOff>103415</xdr:rowOff>
    </xdr:from>
    <xdr:to>
      <xdr:col>8</xdr:col>
      <xdr:colOff>97971</xdr:colOff>
      <xdr:row>37</xdr:row>
      <xdr:rowOff>168729</xdr:rowOff>
    </xdr:to>
    <xdr:graphicFrame macro="">
      <xdr:nvGraphicFramePr>
        <xdr:cNvPr id="14" name="Chart 13">
          <a:extLst>
            <a:ext uri="{FF2B5EF4-FFF2-40B4-BE49-F238E27FC236}">
              <a16:creationId xmlns:a16="http://schemas.microsoft.com/office/drawing/2014/main" id="{E3A6FC6C-F00C-4C8C-944B-246B35A8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77</xdr:col>
      <xdr:colOff>433566</xdr:colOff>
      <xdr:row>78</xdr:row>
      <xdr:rowOff>85746</xdr:rowOff>
    </xdr:from>
    <xdr:to>
      <xdr:col>84</xdr:col>
      <xdr:colOff>48490</xdr:colOff>
      <xdr:row>92</xdr:row>
      <xdr:rowOff>177665</xdr:rowOff>
    </xdr:to>
    <xdr:graphicFrame macro="">
      <xdr:nvGraphicFramePr>
        <xdr:cNvPr id="24" name="Chart 23">
          <a:extLst>
            <a:ext uri="{FF2B5EF4-FFF2-40B4-BE49-F238E27FC236}">
              <a16:creationId xmlns:a16="http://schemas.microsoft.com/office/drawing/2014/main" id="{E11620C3-E357-47A5-8F5C-AD696599A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277091</xdr:colOff>
      <xdr:row>34</xdr:row>
      <xdr:rowOff>41563</xdr:rowOff>
    </xdr:from>
    <xdr:to>
      <xdr:col>19</xdr:col>
      <xdr:colOff>29689</xdr:colOff>
      <xdr:row>48</xdr:row>
      <xdr:rowOff>167244</xdr:rowOff>
    </xdr:to>
    <xdr:graphicFrame macro="">
      <xdr:nvGraphicFramePr>
        <xdr:cNvPr id="28" name="Chart 27">
          <a:extLst>
            <a:ext uri="{FF2B5EF4-FFF2-40B4-BE49-F238E27FC236}">
              <a16:creationId xmlns:a16="http://schemas.microsoft.com/office/drawing/2014/main" id="{74C08D16-2808-4968-A92A-E0739BAC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0</xdr:colOff>
      <xdr:row>50</xdr:row>
      <xdr:rowOff>0</xdr:rowOff>
    </xdr:from>
    <xdr:to>
      <xdr:col>18</xdr:col>
      <xdr:colOff>609600</xdr:colOff>
      <xdr:row>64</xdr:row>
      <xdr:rowOff>125681</xdr:rowOff>
    </xdr:to>
    <xdr:graphicFrame macro="">
      <xdr:nvGraphicFramePr>
        <xdr:cNvPr id="31" name="Chart 30">
          <a:extLst>
            <a:ext uri="{FF2B5EF4-FFF2-40B4-BE49-F238E27FC236}">
              <a16:creationId xmlns:a16="http://schemas.microsoft.com/office/drawing/2014/main" id="{00485495-717B-447C-9EE6-79B77B13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108</xdr:col>
      <xdr:colOff>569259</xdr:colOff>
      <xdr:row>56</xdr:row>
      <xdr:rowOff>58272</xdr:rowOff>
    </xdr:from>
    <xdr:to>
      <xdr:col>116</xdr:col>
      <xdr:colOff>264459</xdr:colOff>
      <xdr:row>71</xdr:row>
      <xdr:rowOff>112060</xdr:rowOff>
    </xdr:to>
    <xdr:graphicFrame macro="">
      <xdr:nvGraphicFramePr>
        <xdr:cNvPr id="17" name="Chart 16">
          <a:extLst>
            <a:ext uri="{FF2B5EF4-FFF2-40B4-BE49-F238E27FC236}">
              <a16:creationId xmlns:a16="http://schemas.microsoft.com/office/drawing/2014/main" id="{0415C21D-131A-478A-B5F8-B2C0F672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139</xdr:col>
      <xdr:colOff>31377</xdr:colOff>
      <xdr:row>64</xdr:row>
      <xdr:rowOff>76200</xdr:rowOff>
    </xdr:from>
    <xdr:to>
      <xdr:col>145</xdr:col>
      <xdr:colOff>309283</xdr:colOff>
      <xdr:row>79</xdr:row>
      <xdr:rowOff>121023</xdr:rowOff>
    </xdr:to>
    <xdr:graphicFrame macro="">
      <xdr:nvGraphicFramePr>
        <xdr:cNvPr id="18" name="Chart 17">
          <a:extLst>
            <a:ext uri="{FF2B5EF4-FFF2-40B4-BE49-F238E27FC236}">
              <a16:creationId xmlns:a16="http://schemas.microsoft.com/office/drawing/2014/main" id="{1191C630-A708-4DA8-9E12-FAAB4855B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149</xdr:col>
      <xdr:colOff>201705</xdr:colOff>
      <xdr:row>62</xdr:row>
      <xdr:rowOff>58271</xdr:rowOff>
    </xdr:from>
    <xdr:to>
      <xdr:col>156</xdr:col>
      <xdr:colOff>22411</xdr:colOff>
      <xdr:row>77</xdr:row>
      <xdr:rowOff>103094</xdr:rowOff>
    </xdr:to>
    <xdr:graphicFrame macro="">
      <xdr:nvGraphicFramePr>
        <xdr:cNvPr id="19" name="Chart 18">
          <a:extLst>
            <a:ext uri="{FF2B5EF4-FFF2-40B4-BE49-F238E27FC236}">
              <a16:creationId xmlns:a16="http://schemas.microsoft.com/office/drawing/2014/main" id="{E1E391C8-A62C-4D70-A68A-F03BB4DD7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161</xdr:col>
      <xdr:colOff>327212</xdr:colOff>
      <xdr:row>69</xdr:row>
      <xdr:rowOff>4482</xdr:rowOff>
    </xdr:from>
    <xdr:to>
      <xdr:col>167</xdr:col>
      <xdr:colOff>569259</xdr:colOff>
      <xdr:row>84</xdr:row>
      <xdr:rowOff>31376</xdr:rowOff>
    </xdr:to>
    <xdr:graphicFrame macro="">
      <xdr:nvGraphicFramePr>
        <xdr:cNvPr id="22" name="Chart 21">
          <a:extLst>
            <a:ext uri="{FF2B5EF4-FFF2-40B4-BE49-F238E27FC236}">
              <a16:creationId xmlns:a16="http://schemas.microsoft.com/office/drawing/2014/main" id="{52FEE1D5-FE0C-4C20-BE29-F6BAEAB7B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78</xdr:col>
      <xdr:colOff>0</xdr:colOff>
      <xdr:row>2</xdr:row>
      <xdr:rowOff>116093</xdr:rowOff>
    </xdr:from>
    <xdr:to>
      <xdr:col>84</xdr:col>
      <xdr:colOff>228600</xdr:colOff>
      <xdr:row>16</xdr:row>
      <xdr:rowOff>153855</xdr:rowOff>
    </xdr:to>
    <xdr:graphicFrame macro="">
      <xdr:nvGraphicFramePr>
        <xdr:cNvPr id="32" name="Chart 31">
          <a:extLst>
            <a:ext uri="{FF2B5EF4-FFF2-40B4-BE49-F238E27FC236}">
              <a16:creationId xmlns:a16="http://schemas.microsoft.com/office/drawing/2014/main" id="{02AECAF6-AEA6-43D2-B3F3-E95C1174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489858</xdr:colOff>
      <xdr:row>71</xdr:row>
      <xdr:rowOff>119743</xdr:rowOff>
    </xdr:from>
    <xdr:to>
      <xdr:col>18</xdr:col>
      <xdr:colOff>489858</xdr:colOff>
      <xdr:row>86</xdr:row>
      <xdr:rowOff>20666</xdr:rowOff>
    </xdr:to>
    <xdr:graphicFrame macro="">
      <xdr:nvGraphicFramePr>
        <xdr:cNvPr id="33" name="Chart 32">
          <a:extLst>
            <a:ext uri="{FF2B5EF4-FFF2-40B4-BE49-F238E27FC236}">
              <a16:creationId xmlns:a16="http://schemas.microsoft.com/office/drawing/2014/main" id="{DD9D9D66-9707-4A74-B8BF-B1248341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85</xdr:col>
      <xdr:colOff>553810</xdr:colOff>
      <xdr:row>96</xdr:row>
      <xdr:rowOff>39461</xdr:rowOff>
    </xdr:from>
    <xdr:to>
      <xdr:col>100</xdr:col>
      <xdr:colOff>48985</xdr:colOff>
      <xdr:row>110</xdr:row>
      <xdr:rowOff>126546</xdr:rowOff>
    </xdr:to>
    <xdr:graphicFrame macro="">
      <xdr:nvGraphicFramePr>
        <xdr:cNvPr id="23" name="Chart 22">
          <a:extLst>
            <a:ext uri="{FF2B5EF4-FFF2-40B4-BE49-F238E27FC236}">
              <a16:creationId xmlns:a16="http://schemas.microsoft.com/office/drawing/2014/main" id="{5083CAA1-5401-49B7-B07A-F632B103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77</xdr:col>
      <xdr:colOff>402772</xdr:colOff>
      <xdr:row>70</xdr:row>
      <xdr:rowOff>108857</xdr:rowOff>
    </xdr:from>
    <xdr:to>
      <xdr:col>84</xdr:col>
      <xdr:colOff>17696</xdr:colOff>
      <xdr:row>85</xdr:row>
      <xdr:rowOff>28583</xdr:rowOff>
    </xdr:to>
    <xdr:graphicFrame macro="">
      <xdr:nvGraphicFramePr>
        <xdr:cNvPr id="34" name="Chart 33">
          <a:extLst>
            <a:ext uri="{FF2B5EF4-FFF2-40B4-BE49-F238E27FC236}">
              <a16:creationId xmlns:a16="http://schemas.microsoft.com/office/drawing/2014/main" id="{BB3A253A-1D90-46D8-95E0-B2E8D6B7A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171</xdr:col>
      <xdr:colOff>707572</xdr:colOff>
      <xdr:row>36</xdr:row>
      <xdr:rowOff>54429</xdr:rowOff>
    </xdr:from>
    <xdr:to>
      <xdr:col>179</xdr:col>
      <xdr:colOff>3551</xdr:colOff>
      <xdr:row>51</xdr:row>
      <xdr:rowOff>119918</xdr:rowOff>
    </xdr:to>
    <xdr:graphicFrame macro="">
      <xdr:nvGraphicFramePr>
        <xdr:cNvPr id="35" name="Chart 34">
          <a:extLst>
            <a:ext uri="{FF2B5EF4-FFF2-40B4-BE49-F238E27FC236}">
              <a16:creationId xmlns:a16="http://schemas.microsoft.com/office/drawing/2014/main" id="{FB3423EA-6C01-46D7-A6FD-0E39CC3B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180</xdr:col>
      <xdr:colOff>0</xdr:colOff>
      <xdr:row>37</xdr:row>
      <xdr:rowOff>0</xdr:rowOff>
    </xdr:from>
    <xdr:to>
      <xdr:col>187</xdr:col>
      <xdr:colOff>297465</xdr:colOff>
      <xdr:row>52</xdr:row>
      <xdr:rowOff>65489</xdr:rowOff>
    </xdr:to>
    <xdr:graphicFrame macro="">
      <xdr:nvGraphicFramePr>
        <xdr:cNvPr id="36" name="Chart 35">
          <a:extLst>
            <a:ext uri="{FF2B5EF4-FFF2-40B4-BE49-F238E27FC236}">
              <a16:creationId xmlns:a16="http://schemas.microsoft.com/office/drawing/2014/main" id="{6991B284-4678-4273-843A-16F62623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402771</xdr:colOff>
      <xdr:row>20</xdr:row>
      <xdr:rowOff>81643</xdr:rowOff>
    </xdr:from>
    <xdr:to>
      <xdr:col>26</xdr:col>
      <xdr:colOff>272143</xdr:colOff>
      <xdr:row>34</xdr:row>
      <xdr:rowOff>125185</xdr:rowOff>
    </xdr:to>
    <xdr:graphicFrame macro="">
      <xdr:nvGraphicFramePr>
        <xdr:cNvPr id="2" name="Chart 1">
          <a:extLst>
            <a:ext uri="{FF2B5EF4-FFF2-40B4-BE49-F238E27FC236}">
              <a16:creationId xmlns:a16="http://schemas.microsoft.com/office/drawing/2014/main" id="{F0882A81-2DA7-4902-AA6C-10AFD4BC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533400</xdr:colOff>
      <xdr:row>50</xdr:row>
      <xdr:rowOff>45720</xdr:rowOff>
    </xdr:from>
    <xdr:to>
      <xdr:col>21</xdr:col>
      <xdr:colOff>228600</xdr:colOff>
      <xdr:row>65</xdr:row>
      <xdr:rowOff>45720</xdr:rowOff>
    </xdr:to>
    <xdr:graphicFrame macro="">
      <xdr:nvGraphicFramePr>
        <xdr:cNvPr id="2" name="Chart 1">
          <a:extLst>
            <a:ext uri="{FF2B5EF4-FFF2-40B4-BE49-F238E27FC236}">
              <a16:creationId xmlns:a16="http://schemas.microsoft.com/office/drawing/2014/main" id="{C66ECEE9-BF43-44EC-9F2F-1E37156D6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843642</xdr:colOff>
      <xdr:row>27</xdr:row>
      <xdr:rowOff>90713</xdr:rowOff>
    </xdr:from>
    <xdr:to>
      <xdr:col>20</xdr:col>
      <xdr:colOff>14514</xdr:colOff>
      <xdr:row>41</xdr:row>
      <xdr:rowOff>18141</xdr:rowOff>
    </xdr:to>
    <xdr:graphicFrame macro="">
      <xdr:nvGraphicFramePr>
        <xdr:cNvPr id="3" name="Chart 2">
          <a:extLst>
            <a:ext uri="{FF2B5EF4-FFF2-40B4-BE49-F238E27FC236}">
              <a16:creationId xmlns:a16="http://schemas.microsoft.com/office/drawing/2014/main" id="{4144E189-5596-45B4-AF1F-F1BDB66B2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358322</xdr:colOff>
      <xdr:row>43</xdr:row>
      <xdr:rowOff>175078</xdr:rowOff>
    </xdr:from>
    <xdr:to>
      <xdr:col>57</xdr:col>
      <xdr:colOff>149679</xdr:colOff>
      <xdr:row>59</xdr:row>
      <xdr:rowOff>15421</xdr:rowOff>
    </xdr:to>
    <xdr:graphicFrame macro="">
      <xdr:nvGraphicFramePr>
        <xdr:cNvPr id="4" name="Chart 3">
          <a:extLst>
            <a:ext uri="{FF2B5EF4-FFF2-40B4-BE49-F238E27FC236}">
              <a16:creationId xmlns:a16="http://schemas.microsoft.com/office/drawing/2014/main" id="{5732E785-757F-5114-AE4F-B7334871D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586740</xdr:colOff>
      <xdr:row>48</xdr:row>
      <xdr:rowOff>137160</xdr:rowOff>
    </xdr:from>
    <xdr:to>
      <xdr:col>24</xdr:col>
      <xdr:colOff>281940</xdr:colOff>
      <xdr:row>63</xdr:row>
      <xdr:rowOff>137160</xdr:rowOff>
    </xdr:to>
    <xdr:graphicFrame macro="">
      <xdr:nvGraphicFramePr>
        <xdr:cNvPr id="2" name="Chart 1">
          <a:extLst>
            <a:ext uri="{FF2B5EF4-FFF2-40B4-BE49-F238E27FC236}">
              <a16:creationId xmlns:a16="http://schemas.microsoft.com/office/drawing/2014/main" id="{8257D996-60F9-4D99-A2A7-9BFD9DDF0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175260</xdr:colOff>
      <xdr:row>85</xdr:row>
      <xdr:rowOff>129540</xdr:rowOff>
    </xdr:from>
    <xdr:to>
      <xdr:col>23</xdr:col>
      <xdr:colOff>220980</xdr:colOff>
      <xdr:row>100</xdr:row>
      <xdr:rowOff>129540</xdr:rowOff>
    </xdr:to>
    <xdr:graphicFrame macro="">
      <xdr:nvGraphicFramePr>
        <xdr:cNvPr id="2" name="Chart 1">
          <a:extLst>
            <a:ext uri="{FF2B5EF4-FFF2-40B4-BE49-F238E27FC236}">
              <a16:creationId xmlns:a16="http://schemas.microsoft.com/office/drawing/2014/main" id="{3A58EB17-0782-4730-9C89-39494FCD1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21</xdr:col>
      <xdr:colOff>513389</xdr:colOff>
      <xdr:row>14</xdr:row>
      <xdr:rowOff>169851</xdr:rowOff>
    </xdr:from>
    <xdr:to>
      <xdr:col>31</xdr:col>
      <xdr:colOff>443464</xdr:colOff>
      <xdr:row>29</xdr:row>
      <xdr:rowOff>169851</xdr:rowOff>
    </xdr:to>
    <xdr:graphicFrame macro="">
      <xdr:nvGraphicFramePr>
        <xdr:cNvPr id="3" name="Chart 2">
          <a:extLst>
            <a:ext uri="{FF2B5EF4-FFF2-40B4-BE49-F238E27FC236}">
              <a16:creationId xmlns:a16="http://schemas.microsoft.com/office/drawing/2014/main" id="{94EB5E35-3D72-408F-8685-DC89085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582932</xdr:colOff>
      <xdr:row>53</xdr:row>
      <xdr:rowOff>52073</xdr:rowOff>
    </xdr:from>
    <xdr:to>
      <xdr:col>33</xdr:col>
      <xdr:colOff>528685</xdr:colOff>
      <xdr:row>67</xdr:row>
      <xdr:rowOff>51207</xdr:rowOff>
    </xdr:to>
    <xdr:graphicFrame macro="">
      <xdr:nvGraphicFramePr>
        <xdr:cNvPr id="2" name="Chart 1">
          <a:extLst>
            <a:ext uri="{FF2B5EF4-FFF2-40B4-BE49-F238E27FC236}">
              <a16:creationId xmlns:a16="http://schemas.microsoft.com/office/drawing/2014/main" id="{F18901EA-D09C-409E-BCB7-25EFE5F3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425146</xdr:colOff>
      <xdr:row>50</xdr:row>
      <xdr:rowOff>167573</xdr:rowOff>
    </xdr:from>
    <xdr:to>
      <xdr:col>56</xdr:col>
      <xdr:colOff>490408</xdr:colOff>
      <xdr:row>66</xdr:row>
      <xdr:rowOff>47830</xdr:rowOff>
    </xdr:to>
    <xdr:graphicFrame macro="">
      <xdr:nvGraphicFramePr>
        <xdr:cNvPr id="5" name="Chart 4">
          <a:extLst>
            <a:ext uri="{FF2B5EF4-FFF2-40B4-BE49-F238E27FC236}">
              <a16:creationId xmlns:a16="http://schemas.microsoft.com/office/drawing/2014/main" id="{76763C99-F573-4391-AB28-46FF8E1F3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173824</xdr:colOff>
      <xdr:row>34</xdr:row>
      <xdr:rowOff>94652</xdr:rowOff>
    </xdr:from>
    <xdr:to>
      <xdr:col>22</xdr:col>
      <xdr:colOff>283192</xdr:colOff>
      <xdr:row>54</xdr:row>
      <xdr:rowOff>140233</xdr:rowOff>
    </xdr:to>
    <xdr:graphicFrame macro="">
      <xdr:nvGraphicFramePr>
        <xdr:cNvPr id="6" name="Chart 5">
          <a:extLst>
            <a:ext uri="{FF2B5EF4-FFF2-40B4-BE49-F238E27FC236}">
              <a16:creationId xmlns:a16="http://schemas.microsoft.com/office/drawing/2014/main" id="{3C7DCB7D-7763-4679-BB94-7A109FDB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107869</xdr:colOff>
      <xdr:row>32</xdr:row>
      <xdr:rowOff>76008</xdr:rowOff>
    </xdr:from>
    <xdr:to>
      <xdr:col>34</xdr:col>
      <xdr:colOff>351515</xdr:colOff>
      <xdr:row>51</xdr:row>
      <xdr:rowOff>23197</xdr:rowOff>
    </xdr:to>
    <xdr:graphicFrame macro="">
      <xdr:nvGraphicFramePr>
        <xdr:cNvPr id="7" name="Chart 6">
          <a:extLst>
            <a:ext uri="{FF2B5EF4-FFF2-40B4-BE49-F238E27FC236}">
              <a16:creationId xmlns:a16="http://schemas.microsoft.com/office/drawing/2014/main" id="{6B8DEAB3-8585-4D03-8A4C-5475C77B1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299678</xdr:colOff>
      <xdr:row>37</xdr:row>
      <xdr:rowOff>73020</xdr:rowOff>
    </xdr:from>
    <xdr:to>
      <xdr:col>33</xdr:col>
      <xdr:colOff>230450</xdr:colOff>
      <xdr:row>54</xdr:row>
      <xdr:rowOff>173397</xdr:rowOff>
    </xdr:to>
    <xdr:graphicFrame macro="">
      <xdr:nvGraphicFramePr>
        <xdr:cNvPr id="8" name="Chart 7">
          <a:extLst>
            <a:ext uri="{FF2B5EF4-FFF2-40B4-BE49-F238E27FC236}">
              <a16:creationId xmlns:a16="http://schemas.microsoft.com/office/drawing/2014/main" id="{0CB5E557-2F73-4591-8830-4FB9E02B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395514</xdr:colOff>
      <xdr:row>15</xdr:row>
      <xdr:rowOff>23046</xdr:rowOff>
    </xdr:from>
    <xdr:to>
      <xdr:col>72</xdr:col>
      <xdr:colOff>243225</xdr:colOff>
      <xdr:row>32</xdr:row>
      <xdr:rowOff>90712</xdr:rowOff>
    </xdr:to>
    <xdr:graphicFrame macro="">
      <xdr:nvGraphicFramePr>
        <xdr:cNvPr id="11" name="Chart 10">
          <a:extLst>
            <a:ext uri="{FF2B5EF4-FFF2-40B4-BE49-F238E27FC236}">
              <a16:creationId xmlns:a16="http://schemas.microsoft.com/office/drawing/2014/main" id="{E1A9323F-D483-48C1-A096-950A7F72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373516</xdr:colOff>
      <xdr:row>32</xdr:row>
      <xdr:rowOff>55322</xdr:rowOff>
    </xdr:from>
    <xdr:to>
      <xdr:col>72</xdr:col>
      <xdr:colOff>209221</xdr:colOff>
      <xdr:row>49</xdr:row>
      <xdr:rowOff>185159</xdr:rowOff>
    </xdr:to>
    <xdr:graphicFrame macro="">
      <xdr:nvGraphicFramePr>
        <xdr:cNvPr id="12" name="Chart 11">
          <a:extLst>
            <a:ext uri="{FF2B5EF4-FFF2-40B4-BE49-F238E27FC236}">
              <a16:creationId xmlns:a16="http://schemas.microsoft.com/office/drawing/2014/main" id="{C0D7BB89-A50C-4188-BB57-4BA8520D1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184</xdr:col>
      <xdr:colOff>255392</xdr:colOff>
      <xdr:row>3</xdr:row>
      <xdr:rowOff>92804</xdr:rowOff>
    </xdr:from>
    <xdr:to>
      <xdr:col>197</xdr:col>
      <xdr:colOff>596051</xdr:colOff>
      <xdr:row>9</xdr:row>
      <xdr:rowOff>941395</xdr:rowOff>
    </xdr:to>
    <xdr:graphicFrame macro="">
      <xdr:nvGraphicFramePr>
        <xdr:cNvPr id="9" name="Chart 8">
          <a:extLst>
            <a:ext uri="{FF2B5EF4-FFF2-40B4-BE49-F238E27FC236}">
              <a16:creationId xmlns:a16="http://schemas.microsoft.com/office/drawing/2014/main" id="{C5111CEE-7C1F-427A-AA6F-11D72AF9C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148</xdr:col>
      <xdr:colOff>450548</xdr:colOff>
      <xdr:row>16</xdr:row>
      <xdr:rowOff>155441</xdr:rowOff>
    </xdr:from>
    <xdr:to>
      <xdr:col>156</xdr:col>
      <xdr:colOff>98480</xdr:colOff>
      <xdr:row>38</xdr:row>
      <xdr:rowOff>16343</xdr:rowOff>
    </xdr:to>
    <xdr:graphicFrame macro="">
      <xdr:nvGraphicFramePr>
        <xdr:cNvPr id="10" name="Chart 9">
          <a:extLst>
            <a:ext uri="{FF2B5EF4-FFF2-40B4-BE49-F238E27FC236}">
              <a16:creationId xmlns:a16="http://schemas.microsoft.com/office/drawing/2014/main" id="{D39C21C8-3A67-4DB6-9840-515F1CD27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148</xdr:col>
      <xdr:colOff>440595</xdr:colOff>
      <xdr:row>39</xdr:row>
      <xdr:rowOff>77176</xdr:rowOff>
    </xdr:from>
    <xdr:to>
      <xdr:col>157</xdr:col>
      <xdr:colOff>240926</xdr:colOff>
      <xdr:row>51</xdr:row>
      <xdr:rowOff>36618</xdr:rowOff>
    </xdr:to>
    <xdr:graphicFrame macro="">
      <xdr:nvGraphicFramePr>
        <xdr:cNvPr id="14" name="Chart 13">
          <a:extLst>
            <a:ext uri="{FF2B5EF4-FFF2-40B4-BE49-F238E27FC236}">
              <a16:creationId xmlns:a16="http://schemas.microsoft.com/office/drawing/2014/main" id="{6A1E7909-5162-4F7C-913D-4479AF4A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194</xdr:col>
      <xdr:colOff>427488</xdr:colOff>
      <xdr:row>58</xdr:row>
      <xdr:rowOff>15504</xdr:rowOff>
    </xdr:from>
    <xdr:to>
      <xdr:col>203</xdr:col>
      <xdr:colOff>187036</xdr:colOff>
      <xdr:row>74</xdr:row>
      <xdr:rowOff>150091</xdr:rowOff>
    </xdr:to>
    <xdr:graphicFrame macro="">
      <xdr:nvGraphicFramePr>
        <xdr:cNvPr id="15" name="Chart 14">
          <a:extLst>
            <a:ext uri="{FF2B5EF4-FFF2-40B4-BE49-F238E27FC236}">
              <a16:creationId xmlns:a16="http://schemas.microsoft.com/office/drawing/2014/main" id="{8FB41C17-255D-453C-AC63-8621B07B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148</xdr:col>
      <xdr:colOff>439803</xdr:colOff>
      <xdr:row>51</xdr:row>
      <xdr:rowOff>36098</xdr:rowOff>
    </xdr:from>
    <xdr:to>
      <xdr:col>157</xdr:col>
      <xdr:colOff>248907</xdr:colOff>
      <xdr:row>62</xdr:row>
      <xdr:rowOff>161193</xdr:rowOff>
    </xdr:to>
    <xdr:graphicFrame macro="">
      <xdr:nvGraphicFramePr>
        <xdr:cNvPr id="20" name="Chart 19">
          <a:extLst>
            <a:ext uri="{FF2B5EF4-FFF2-40B4-BE49-F238E27FC236}">
              <a16:creationId xmlns:a16="http://schemas.microsoft.com/office/drawing/2014/main" id="{1BABD06F-E566-4AD4-B89F-40886F03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137619</xdr:colOff>
      <xdr:row>17</xdr:row>
      <xdr:rowOff>134475</xdr:rowOff>
    </xdr:from>
    <xdr:to>
      <xdr:col>28</xdr:col>
      <xdr:colOff>596309</xdr:colOff>
      <xdr:row>37</xdr:row>
      <xdr:rowOff>11308</xdr:rowOff>
    </xdr:to>
    <xdr:graphicFrame macro="">
      <xdr:nvGraphicFramePr>
        <xdr:cNvPr id="16" name="Chart 15">
          <a:extLst>
            <a:ext uri="{FF2B5EF4-FFF2-40B4-BE49-F238E27FC236}">
              <a16:creationId xmlns:a16="http://schemas.microsoft.com/office/drawing/2014/main" id="{59E65B40-431A-4EE2-8331-671DF725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50</xdr:col>
      <xdr:colOff>161144</xdr:colOff>
      <xdr:row>17</xdr:row>
      <xdr:rowOff>60459</xdr:rowOff>
    </xdr:from>
    <xdr:to>
      <xdr:col>62</xdr:col>
      <xdr:colOff>190343</xdr:colOff>
      <xdr:row>35</xdr:row>
      <xdr:rowOff>151090</xdr:rowOff>
    </xdr:to>
    <xdr:graphicFrame macro="">
      <xdr:nvGraphicFramePr>
        <xdr:cNvPr id="17" name="Chart 16">
          <a:extLst>
            <a:ext uri="{FF2B5EF4-FFF2-40B4-BE49-F238E27FC236}">
              <a16:creationId xmlns:a16="http://schemas.microsoft.com/office/drawing/2014/main" id="{B6A0A101-7184-4323-9692-198A0A9B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53</xdr:col>
      <xdr:colOff>395239</xdr:colOff>
      <xdr:row>83</xdr:row>
      <xdr:rowOff>87247</xdr:rowOff>
    </xdr:from>
    <xdr:to>
      <xdr:col>62</xdr:col>
      <xdr:colOff>33547</xdr:colOff>
      <xdr:row>99</xdr:row>
      <xdr:rowOff>46213</xdr:rowOff>
    </xdr:to>
    <xdr:graphicFrame macro="">
      <xdr:nvGraphicFramePr>
        <xdr:cNvPr id="18" name="Chart 17">
          <a:extLst>
            <a:ext uri="{FF2B5EF4-FFF2-40B4-BE49-F238E27FC236}">
              <a16:creationId xmlns:a16="http://schemas.microsoft.com/office/drawing/2014/main" id="{C501324A-9651-49BB-B606-70E8F3DDB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36</xdr:col>
      <xdr:colOff>596248</xdr:colOff>
      <xdr:row>117</xdr:row>
      <xdr:rowOff>99216</xdr:rowOff>
    </xdr:from>
    <xdr:to>
      <xdr:col>43</xdr:col>
      <xdr:colOff>639792</xdr:colOff>
      <xdr:row>133</xdr:row>
      <xdr:rowOff>53695</xdr:rowOff>
    </xdr:to>
    <xdr:graphicFrame macro="">
      <xdr:nvGraphicFramePr>
        <xdr:cNvPr id="19" name="Chart 18">
          <a:extLst>
            <a:ext uri="{FF2B5EF4-FFF2-40B4-BE49-F238E27FC236}">
              <a16:creationId xmlns:a16="http://schemas.microsoft.com/office/drawing/2014/main" id="{0255DA3E-17DD-4F4F-8CA7-CF53B07A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53</xdr:col>
      <xdr:colOff>133927</xdr:colOff>
      <xdr:row>94</xdr:row>
      <xdr:rowOff>51460</xdr:rowOff>
    </xdr:from>
    <xdr:to>
      <xdr:col>61</xdr:col>
      <xdr:colOff>212436</xdr:colOff>
      <xdr:row>110</xdr:row>
      <xdr:rowOff>33318</xdr:rowOff>
    </xdr:to>
    <xdr:graphicFrame macro="">
      <xdr:nvGraphicFramePr>
        <xdr:cNvPr id="21" name="Chart 20">
          <a:extLst>
            <a:ext uri="{FF2B5EF4-FFF2-40B4-BE49-F238E27FC236}">
              <a16:creationId xmlns:a16="http://schemas.microsoft.com/office/drawing/2014/main" id="{428E7AB5-BB04-4E59-B7B4-9480A58F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1371939</xdr:colOff>
      <xdr:row>28</xdr:row>
      <xdr:rowOff>150702</xdr:rowOff>
    </xdr:from>
    <xdr:to>
      <xdr:col>21</xdr:col>
      <xdr:colOff>127146</xdr:colOff>
      <xdr:row>46</xdr:row>
      <xdr:rowOff>41224</xdr:rowOff>
    </xdr:to>
    <xdr:graphicFrame macro="">
      <xdr:nvGraphicFramePr>
        <xdr:cNvPr id="22" name="Chart 21">
          <a:extLst>
            <a:ext uri="{FF2B5EF4-FFF2-40B4-BE49-F238E27FC236}">
              <a16:creationId xmlns:a16="http://schemas.microsoft.com/office/drawing/2014/main" id="{F26AD390-C124-4C0B-959C-E24FC875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28</xdr:col>
      <xdr:colOff>167341</xdr:colOff>
      <xdr:row>62</xdr:row>
      <xdr:rowOff>185271</xdr:rowOff>
    </xdr:from>
    <xdr:to>
      <xdr:col>38</xdr:col>
      <xdr:colOff>15937</xdr:colOff>
      <xdr:row>80</xdr:row>
      <xdr:rowOff>98882</xdr:rowOff>
    </xdr:to>
    <xdr:graphicFrame macro="">
      <xdr:nvGraphicFramePr>
        <xdr:cNvPr id="23" name="Chart 22">
          <a:extLst>
            <a:ext uri="{FF2B5EF4-FFF2-40B4-BE49-F238E27FC236}">
              <a16:creationId xmlns:a16="http://schemas.microsoft.com/office/drawing/2014/main" id="{56248073-F821-487B-B399-009ABDEC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847246</xdr:colOff>
      <xdr:row>15</xdr:row>
      <xdr:rowOff>17503</xdr:rowOff>
    </xdr:from>
    <xdr:to>
      <xdr:col>14</xdr:col>
      <xdr:colOff>305902</xdr:colOff>
      <xdr:row>33</xdr:row>
      <xdr:rowOff>148525</xdr:rowOff>
    </xdr:to>
    <xdr:graphicFrame macro="">
      <xdr:nvGraphicFramePr>
        <xdr:cNvPr id="24" name="Chart 23">
          <a:extLst>
            <a:ext uri="{FF2B5EF4-FFF2-40B4-BE49-F238E27FC236}">
              <a16:creationId xmlns:a16="http://schemas.microsoft.com/office/drawing/2014/main" id="{020C78BD-0258-4AE7-90DF-F50BA5D5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237</xdr:col>
      <xdr:colOff>27020</xdr:colOff>
      <xdr:row>33</xdr:row>
      <xdr:rowOff>121508</xdr:rowOff>
    </xdr:from>
    <xdr:to>
      <xdr:col>244</xdr:col>
      <xdr:colOff>334542</xdr:colOff>
      <xdr:row>48</xdr:row>
      <xdr:rowOff>173646</xdr:rowOff>
    </xdr:to>
    <xdr:graphicFrame macro="">
      <xdr:nvGraphicFramePr>
        <xdr:cNvPr id="4" name="Chart 3">
          <a:extLst>
            <a:ext uri="{FF2B5EF4-FFF2-40B4-BE49-F238E27FC236}">
              <a16:creationId xmlns:a16="http://schemas.microsoft.com/office/drawing/2014/main" id="{8BE299E7-6DE9-493D-B53E-13519D4D4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236</xdr:col>
      <xdr:colOff>234701</xdr:colOff>
      <xdr:row>50</xdr:row>
      <xdr:rowOff>34968</xdr:rowOff>
    </xdr:from>
    <xdr:to>
      <xdr:col>243</xdr:col>
      <xdr:colOff>542223</xdr:colOff>
      <xdr:row>65</xdr:row>
      <xdr:rowOff>70758</xdr:rowOff>
    </xdr:to>
    <xdr:graphicFrame macro="">
      <xdr:nvGraphicFramePr>
        <xdr:cNvPr id="13" name="Chart 12">
          <a:extLst>
            <a:ext uri="{FF2B5EF4-FFF2-40B4-BE49-F238E27FC236}">
              <a16:creationId xmlns:a16="http://schemas.microsoft.com/office/drawing/2014/main" id="{EA9E9A88-E536-4473-A5E1-1480068A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237</xdr:col>
      <xdr:colOff>107702</xdr:colOff>
      <xdr:row>66</xdr:row>
      <xdr:rowOff>125021</xdr:rowOff>
    </xdr:from>
    <xdr:to>
      <xdr:col>244</xdr:col>
      <xdr:colOff>415224</xdr:colOff>
      <xdr:row>81</xdr:row>
      <xdr:rowOff>166585</xdr:rowOff>
    </xdr:to>
    <xdr:graphicFrame macro="">
      <xdr:nvGraphicFramePr>
        <xdr:cNvPr id="25" name="Chart 24">
          <a:extLst>
            <a:ext uri="{FF2B5EF4-FFF2-40B4-BE49-F238E27FC236}">
              <a16:creationId xmlns:a16="http://schemas.microsoft.com/office/drawing/2014/main" id="{254DB38D-0AF0-4E39-A85F-76D97B0E4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154</xdr:col>
      <xdr:colOff>151423</xdr:colOff>
      <xdr:row>67</xdr:row>
      <xdr:rowOff>73359</xdr:rowOff>
    </xdr:from>
    <xdr:to>
      <xdr:col>160</xdr:col>
      <xdr:colOff>850366</xdr:colOff>
      <xdr:row>81</xdr:row>
      <xdr:rowOff>149559</xdr:rowOff>
    </xdr:to>
    <xdr:graphicFrame macro="">
      <xdr:nvGraphicFramePr>
        <xdr:cNvPr id="26" name="Chart 25">
          <a:extLst>
            <a:ext uri="{FF2B5EF4-FFF2-40B4-BE49-F238E27FC236}">
              <a16:creationId xmlns:a16="http://schemas.microsoft.com/office/drawing/2014/main" id="{EAAFCCB7-C7C3-4E2F-85BB-BC6EDACE7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211</xdr:col>
      <xdr:colOff>409863</xdr:colOff>
      <xdr:row>83</xdr:row>
      <xdr:rowOff>36945</xdr:rowOff>
    </xdr:from>
    <xdr:to>
      <xdr:col>220</xdr:col>
      <xdr:colOff>571500</xdr:colOff>
      <xdr:row>104</xdr:row>
      <xdr:rowOff>5773</xdr:rowOff>
    </xdr:to>
    <xdr:graphicFrame macro="">
      <xdr:nvGraphicFramePr>
        <xdr:cNvPr id="27" name="Chart 26">
          <a:extLst>
            <a:ext uri="{FF2B5EF4-FFF2-40B4-BE49-F238E27FC236}">
              <a16:creationId xmlns:a16="http://schemas.microsoft.com/office/drawing/2014/main" id="{7FC40FB4-BF14-41FF-942C-469ABB47C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212</xdr:col>
      <xdr:colOff>343104</xdr:colOff>
      <xdr:row>65</xdr:row>
      <xdr:rowOff>151096</xdr:rowOff>
    </xdr:from>
    <xdr:to>
      <xdr:col>221</xdr:col>
      <xdr:colOff>512099</xdr:colOff>
      <xdr:row>82</xdr:row>
      <xdr:rowOff>21151</xdr:rowOff>
    </xdr:to>
    <xdr:graphicFrame macro="">
      <xdr:nvGraphicFramePr>
        <xdr:cNvPr id="28" name="Chart 27">
          <a:extLst>
            <a:ext uri="{FF2B5EF4-FFF2-40B4-BE49-F238E27FC236}">
              <a16:creationId xmlns:a16="http://schemas.microsoft.com/office/drawing/2014/main" id="{E00FBCB6-FF6C-49E9-85D6-C1256DEAF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199</xdr:col>
      <xdr:colOff>5441</xdr:colOff>
      <xdr:row>98</xdr:row>
      <xdr:rowOff>29028</xdr:rowOff>
    </xdr:from>
    <xdr:to>
      <xdr:col>208</xdr:col>
      <xdr:colOff>166006</xdr:colOff>
      <xdr:row>115</xdr:row>
      <xdr:rowOff>86094</xdr:rowOff>
    </xdr:to>
    <xdr:graphicFrame macro="">
      <xdr:nvGraphicFramePr>
        <xdr:cNvPr id="29" name="Chart 28">
          <a:extLst>
            <a:ext uri="{FF2B5EF4-FFF2-40B4-BE49-F238E27FC236}">
              <a16:creationId xmlns:a16="http://schemas.microsoft.com/office/drawing/2014/main" id="{88692EF9-79EA-4B3E-A9C1-B64BA4868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49</xdr:col>
      <xdr:colOff>448236</xdr:colOff>
      <xdr:row>37</xdr:row>
      <xdr:rowOff>179295</xdr:rowOff>
    </xdr:from>
    <xdr:to>
      <xdr:col>62</xdr:col>
      <xdr:colOff>13796</xdr:colOff>
      <xdr:row>56</xdr:row>
      <xdr:rowOff>102088</xdr:rowOff>
    </xdr:to>
    <xdr:graphicFrame macro="">
      <xdr:nvGraphicFramePr>
        <xdr:cNvPr id="31" name="Chart 30">
          <a:extLst>
            <a:ext uri="{FF2B5EF4-FFF2-40B4-BE49-F238E27FC236}">
              <a16:creationId xmlns:a16="http://schemas.microsoft.com/office/drawing/2014/main" id="{68FFF9B9-84EE-4388-BB2B-F07BCAF56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23</xdr:col>
      <xdr:colOff>120196</xdr:colOff>
      <xdr:row>86</xdr:row>
      <xdr:rowOff>15875</xdr:rowOff>
    </xdr:from>
    <xdr:to>
      <xdr:col>35</xdr:col>
      <xdr:colOff>529611</xdr:colOff>
      <xdr:row>105</xdr:row>
      <xdr:rowOff>110587</xdr:rowOff>
    </xdr:to>
    <xdr:graphicFrame macro="">
      <xdr:nvGraphicFramePr>
        <xdr:cNvPr id="30" name="Chart 29">
          <a:extLst>
            <a:ext uri="{FF2B5EF4-FFF2-40B4-BE49-F238E27FC236}">
              <a16:creationId xmlns:a16="http://schemas.microsoft.com/office/drawing/2014/main" id="{DF24CFCC-9A84-4EF8-B5D7-528779D59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12</xdr:col>
      <xdr:colOff>0</xdr:colOff>
      <xdr:row>80</xdr:row>
      <xdr:rowOff>0</xdr:rowOff>
    </xdr:from>
    <xdr:to>
      <xdr:col>22</xdr:col>
      <xdr:colOff>109368</xdr:colOff>
      <xdr:row>100</xdr:row>
      <xdr:rowOff>62363</xdr:rowOff>
    </xdr:to>
    <xdr:graphicFrame macro="">
      <xdr:nvGraphicFramePr>
        <xdr:cNvPr id="32" name="Chart 31">
          <a:extLst>
            <a:ext uri="{FF2B5EF4-FFF2-40B4-BE49-F238E27FC236}">
              <a16:creationId xmlns:a16="http://schemas.microsoft.com/office/drawing/2014/main" id="{3B0E0870-5142-4594-A72F-DCE8B187E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184</xdr:col>
      <xdr:colOff>372424</xdr:colOff>
      <xdr:row>106</xdr:row>
      <xdr:rowOff>52286</xdr:rowOff>
    </xdr:from>
    <xdr:to>
      <xdr:col>195</xdr:col>
      <xdr:colOff>531173</xdr:colOff>
      <xdr:row>123</xdr:row>
      <xdr:rowOff>58552</xdr:rowOff>
    </xdr:to>
    <xdr:graphicFrame macro="">
      <xdr:nvGraphicFramePr>
        <xdr:cNvPr id="33" name="Chart 32">
          <a:extLst>
            <a:ext uri="{FF2B5EF4-FFF2-40B4-BE49-F238E27FC236}">
              <a16:creationId xmlns:a16="http://schemas.microsoft.com/office/drawing/2014/main" id="{B7A198B7-4B6F-4821-8083-3AE7D048C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212</xdr:col>
      <xdr:colOff>0</xdr:colOff>
      <xdr:row>16</xdr:row>
      <xdr:rowOff>75060</xdr:rowOff>
    </xdr:from>
    <xdr:to>
      <xdr:col>223</xdr:col>
      <xdr:colOff>0</xdr:colOff>
      <xdr:row>32</xdr:row>
      <xdr:rowOff>59764</xdr:rowOff>
    </xdr:to>
    <xdr:graphicFrame macro="">
      <xdr:nvGraphicFramePr>
        <xdr:cNvPr id="34" name="Chart 33">
          <a:extLst>
            <a:ext uri="{FF2B5EF4-FFF2-40B4-BE49-F238E27FC236}">
              <a16:creationId xmlns:a16="http://schemas.microsoft.com/office/drawing/2014/main" id="{A950F46A-4F49-48B8-8ADE-FC9AB50B7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212</xdr:col>
      <xdr:colOff>0</xdr:colOff>
      <xdr:row>46</xdr:row>
      <xdr:rowOff>0</xdr:rowOff>
    </xdr:from>
    <xdr:to>
      <xdr:col>223</xdr:col>
      <xdr:colOff>0</xdr:colOff>
      <xdr:row>63</xdr:row>
      <xdr:rowOff>135269</xdr:rowOff>
    </xdr:to>
    <xdr:graphicFrame macro="">
      <xdr:nvGraphicFramePr>
        <xdr:cNvPr id="35" name="Chart 34">
          <a:extLst>
            <a:ext uri="{FF2B5EF4-FFF2-40B4-BE49-F238E27FC236}">
              <a16:creationId xmlns:a16="http://schemas.microsoft.com/office/drawing/2014/main" id="{C84986B1-0B12-4B48-BFE1-20B0A43D6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212</xdr:col>
      <xdr:colOff>0</xdr:colOff>
      <xdr:row>32</xdr:row>
      <xdr:rowOff>7470</xdr:rowOff>
    </xdr:from>
    <xdr:to>
      <xdr:col>223</xdr:col>
      <xdr:colOff>4122</xdr:colOff>
      <xdr:row>46</xdr:row>
      <xdr:rowOff>59764</xdr:rowOff>
    </xdr:to>
    <xdr:graphicFrame macro="">
      <xdr:nvGraphicFramePr>
        <xdr:cNvPr id="36" name="Chart 35">
          <a:extLst>
            <a:ext uri="{FF2B5EF4-FFF2-40B4-BE49-F238E27FC236}">
              <a16:creationId xmlns:a16="http://schemas.microsoft.com/office/drawing/2014/main" id="{A98824EF-C2E9-4428-A9FA-8BD7BCE84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171</xdr:col>
      <xdr:colOff>34635</xdr:colOff>
      <xdr:row>121</xdr:row>
      <xdr:rowOff>25400</xdr:rowOff>
    </xdr:from>
    <xdr:to>
      <xdr:col>182</xdr:col>
      <xdr:colOff>453846</xdr:colOff>
      <xdr:row>138</xdr:row>
      <xdr:rowOff>110384</xdr:rowOff>
    </xdr:to>
    <xdr:graphicFrame macro="">
      <xdr:nvGraphicFramePr>
        <xdr:cNvPr id="37" name="Chart 36">
          <a:extLst>
            <a:ext uri="{FF2B5EF4-FFF2-40B4-BE49-F238E27FC236}">
              <a16:creationId xmlns:a16="http://schemas.microsoft.com/office/drawing/2014/main" id="{265384AD-5BEF-4086-AEEB-3D04AA5E8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159</xdr:col>
      <xdr:colOff>875144</xdr:colOff>
      <xdr:row>107</xdr:row>
      <xdr:rowOff>101599</xdr:rowOff>
    </xdr:from>
    <xdr:to>
      <xdr:col>169</xdr:col>
      <xdr:colOff>150895</xdr:colOff>
      <xdr:row>124</xdr:row>
      <xdr:rowOff>132145</xdr:rowOff>
    </xdr:to>
    <xdr:graphicFrame macro="">
      <xdr:nvGraphicFramePr>
        <xdr:cNvPr id="39" name="Chart 38">
          <a:extLst>
            <a:ext uri="{FF2B5EF4-FFF2-40B4-BE49-F238E27FC236}">
              <a16:creationId xmlns:a16="http://schemas.microsoft.com/office/drawing/2014/main" id="{9C606D8E-DA6B-487F-B7C1-DFC296EDC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13</xdr:col>
      <xdr:colOff>603250</xdr:colOff>
      <xdr:row>59</xdr:row>
      <xdr:rowOff>82550</xdr:rowOff>
    </xdr:from>
    <xdr:to>
      <xdr:col>24</xdr:col>
      <xdr:colOff>230018</xdr:colOff>
      <xdr:row>79</xdr:row>
      <xdr:rowOff>139676</xdr:rowOff>
    </xdr:to>
    <xdr:graphicFrame macro="">
      <xdr:nvGraphicFramePr>
        <xdr:cNvPr id="40" name="Chart 39">
          <a:extLst>
            <a:ext uri="{FF2B5EF4-FFF2-40B4-BE49-F238E27FC236}">
              <a16:creationId xmlns:a16="http://schemas.microsoft.com/office/drawing/2014/main" id="{22DCAFD9-E513-4CCF-88B1-7C20F871C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194</xdr:col>
      <xdr:colOff>0</xdr:colOff>
      <xdr:row>16</xdr:row>
      <xdr:rowOff>66556</xdr:rowOff>
    </xdr:from>
    <xdr:to>
      <xdr:col>205</xdr:col>
      <xdr:colOff>38211</xdr:colOff>
      <xdr:row>33</xdr:row>
      <xdr:rowOff>146922</xdr:rowOff>
    </xdr:to>
    <xdr:graphicFrame macro="">
      <xdr:nvGraphicFramePr>
        <xdr:cNvPr id="41" name="Chart 40">
          <a:extLst>
            <a:ext uri="{FF2B5EF4-FFF2-40B4-BE49-F238E27FC236}">
              <a16:creationId xmlns:a16="http://schemas.microsoft.com/office/drawing/2014/main" id="{62F389C0-C87A-460E-AE05-E983FF525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194</xdr:col>
      <xdr:colOff>7471</xdr:colOff>
      <xdr:row>33</xdr:row>
      <xdr:rowOff>164353</xdr:rowOff>
    </xdr:from>
    <xdr:to>
      <xdr:col>205</xdr:col>
      <xdr:colOff>33676</xdr:colOff>
      <xdr:row>51</xdr:row>
      <xdr:rowOff>95879</xdr:rowOff>
    </xdr:to>
    <xdr:graphicFrame macro="">
      <xdr:nvGraphicFramePr>
        <xdr:cNvPr id="42" name="Chart 41">
          <a:extLst>
            <a:ext uri="{FF2B5EF4-FFF2-40B4-BE49-F238E27FC236}">
              <a16:creationId xmlns:a16="http://schemas.microsoft.com/office/drawing/2014/main" id="{7F30015E-ED77-49CA-A1B9-0205C68AF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153</xdr:col>
      <xdr:colOff>538674</xdr:colOff>
      <xdr:row>39</xdr:row>
      <xdr:rowOff>7470</xdr:rowOff>
    </xdr:from>
    <xdr:to>
      <xdr:col>161</xdr:col>
      <xdr:colOff>495887</xdr:colOff>
      <xdr:row>50</xdr:row>
      <xdr:rowOff>153677</xdr:rowOff>
    </xdr:to>
    <xdr:graphicFrame macro="">
      <xdr:nvGraphicFramePr>
        <xdr:cNvPr id="43" name="Chart 42">
          <a:extLst>
            <a:ext uri="{FF2B5EF4-FFF2-40B4-BE49-F238E27FC236}">
              <a16:creationId xmlns:a16="http://schemas.microsoft.com/office/drawing/2014/main" id="{89D7AB27-4DED-4B80-A899-E60D824FD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152</xdr:col>
      <xdr:colOff>82177</xdr:colOff>
      <xdr:row>51</xdr:row>
      <xdr:rowOff>26158</xdr:rowOff>
    </xdr:from>
    <xdr:to>
      <xdr:col>160</xdr:col>
      <xdr:colOff>227457</xdr:colOff>
      <xdr:row>62</xdr:row>
      <xdr:rowOff>151252</xdr:rowOff>
    </xdr:to>
    <xdr:graphicFrame macro="">
      <xdr:nvGraphicFramePr>
        <xdr:cNvPr id="44" name="Chart 43">
          <a:extLst>
            <a:ext uri="{FF2B5EF4-FFF2-40B4-BE49-F238E27FC236}">
              <a16:creationId xmlns:a16="http://schemas.microsoft.com/office/drawing/2014/main" id="{64CAA54D-13DF-40AA-A2FA-71A0961F1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4</xdr:col>
      <xdr:colOff>406774</xdr:colOff>
      <xdr:row>55</xdr:row>
      <xdr:rowOff>147171</xdr:rowOff>
    </xdr:from>
    <xdr:to>
      <xdr:col>16</xdr:col>
      <xdr:colOff>148898</xdr:colOff>
      <xdr:row>75</xdr:row>
      <xdr:rowOff>31712</xdr:rowOff>
    </xdr:to>
    <xdr:graphicFrame macro="">
      <xdr:nvGraphicFramePr>
        <xdr:cNvPr id="38" name="Chart 37">
          <a:extLst>
            <a:ext uri="{FF2B5EF4-FFF2-40B4-BE49-F238E27FC236}">
              <a16:creationId xmlns:a16="http://schemas.microsoft.com/office/drawing/2014/main" id="{7E9E4744-7275-47FC-A120-A670EDE68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36</xdr:col>
      <xdr:colOff>750454</xdr:colOff>
      <xdr:row>100</xdr:row>
      <xdr:rowOff>57728</xdr:rowOff>
    </xdr:from>
    <xdr:to>
      <xdr:col>43</xdr:col>
      <xdr:colOff>719062</xdr:colOff>
      <xdr:row>115</xdr:row>
      <xdr:rowOff>164276</xdr:rowOff>
    </xdr:to>
    <xdr:graphicFrame macro="">
      <xdr:nvGraphicFramePr>
        <xdr:cNvPr id="45" name="Chart 44">
          <a:extLst>
            <a:ext uri="{FF2B5EF4-FFF2-40B4-BE49-F238E27FC236}">
              <a16:creationId xmlns:a16="http://schemas.microsoft.com/office/drawing/2014/main" id="{F8C1BCB1-7BF9-4CDB-879F-EFCDD754E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50</xdr:col>
      <xdr:colOff>494196</xdr:colOff>
      <xdr:row>66</xdr:row>
      <xdr:rowOff>97183</xdr:rowOff>
    </xdr:from>
    <xdr:to>
      <xdr:col>57</xdr:col>
      <xdr:colOff>223630</xdr:colOff>
      <xdr:row>81</xdr:row>
      <xdr:rowOff>107123</xdr:rowOff>
    </xdr:to>
    <xdr:graphicFrame macro="">
      <xdr:nvGraphicFramePr>
        <xdr:cNvPr id="47" name="Chart 46">
          <a:extLst>
            <a:ext uri="{FF2B5EF4-FFF2-40B4-BE49-F238E27FC236}">
              <a16:creationId xmlns:a16="http://schemas.microsoft.com/office/drawing/2014/main" id="{ED643606-79BB-6EDE-C6F7-6ED75D13E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111</xdr:col>
      <xdr:colOff>80065</xdr:colOff>
      <xdr:row>73</xdr:row>
      <xdr:rowOff>108226</xdr:rowOff>
    </xdr:from>
    <xdr:to>
      <xdr:col>118</xdr:col>
      <xdr:colOff>400326</xdr:colOff>
      <xdr:row>88</xdr:row>
      <xdr:rowOff>118165</xdr:rowOff>
    </xdr:to>
    <xdr:graphicFrame macro="">
      <xdr:nvGraphicFramePr>
        <xdr:cNvPr id="48" name="Chart 47">
          <a:extLst>
            <a:ext uri="{FF2B5EF4-FFF2-40B4-BE49-F238E27FC236}">
              <a16:creationId xmlns:a16="http://schemas.microsoft.com/office/drawing/2014/main" id="{E97F4BB9-D0FB-1101-6437-F5E3B2E73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4</xdr:col>
      <xdr:colOff>281080</xdr:colOff>
      <xdr:row>43</xdr:row>
      <xdr:rowOff>21291</xdr:rowOff>
    </xdr:from>
    <xdr:to>
      <xdr:col>11</xdr:col>
      <xdr:colOff>331319</xdr:colOff>
      <xdr:row>59</xdr:row>
      <xdr:rowOff>93756</xdr:rowOff>
    </xdr:to>
    <xdr:graphicFrame macro="">
      <xdr:nvGraphicFramePr>
        <xdr:cNvPr id="46" name="Chart 45">
          <a:extLst>
            <a:ext uri="{FF2B5EF4-FFF2-40B4-BE49-F238E27FC236}">
              <a16:creationId xmlns:a16="http://schemas.microsoft.com/office/drawing/2014/main" id="{40C079AC-96E5-A9BF-93D1-CF8C69A3F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4</xdr:col>
      <xdr:colOff>208615</xdr:colOff>
      <xdr:row>60</xdr:row>
      <xdr:rowOff>71343</xdr:rowOff>
    </xdr:from>
    <xdr:to>
      <xdr:col>11</xdr:col>
      <xdr:colOff>277904</xdr:colOff>
      <xdr:row>79</xdr:row>
      <xdr:rowOff>64994</xdr:rowOff>
    </xdr:to>
    <xdr:graphicFrame macro="">
      <xdr:nvGraphicFramePr>
        <xdr:cNvPr id="49" name="Chart 48">
          <a:extLst>
            <a:ext uri="{FF2B5EF4-FFF2-40B4-BE49-F238E27FC236}">
              <a16:creationId xmlns:a16="http://schemas.microsoft.com/office/drawing/2014/main" id="{83913F37-3189-F259-CCA4-E69FC4BC3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23</xdr:col>
      <xdr:colOff>45720</xdr:colOff>
      <xdr:row>7</xdr:row>
      <xdr:rowOff>7620</xdr:rowOff>
    </xdr:from>
    <xdr:to>
      <xdr:col>30</xdr:col>
      <xdr:colOff>350520</xdr:colOff>
      <xdr:row>23</xdr:row>
      <xdr:rowOff>7620</xdr:rowOff>
    </xdr:to>
    <xdr:graphicFrame macro="">
      <xdr:nvGraphicFramePr>
        <xdr:cNvPr id="2" name="Chart 1">
          <a:extLst>
            <a:ext uri="{FF2B5EF4-FFF2-40B4-BE49-F238E27FC236}">
              <a16:creationId xmlns:a16="http://schemas.microsoft.com/office/drawing/2014/main" id="{D6989900-66FB-4445-A593-D76F12833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60</xdr:row>
      <xdr:rowOff>22860</xdr:rowOff>
    </xdr:from>
    <xdr:to>
      <xdr:col>9</xdr:col>
      <xdr:colOff>152400</xdr:colOff>
      <xdr:row>75</xdr:row>
      <xdr:rowOff>22860</xdr:rowOff>
    </xdr:to>
    <xdr:graphicFrame macro="">
      <xdr:nvGraphicFramePr>
        <xdr:cNvPr id="3" name="Chart 2">
          <a:extLst>
            <a:ext uri="{FF2B5EF4-FFF2-40B4-BE49-F238E27FC236}">
              <a16:creationId xmlns:a16="http://schemas.microsoft.com/office/drawing/2014/main" id="{C9B7C30B-C38F-456D-8A34-80361BA26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42</xdr:row>
      <xdr:rowOff>144780</xdr:rowOff>
    </xdr:from>
    <xdr:to>
      <xdr:col>8</xdr:col>
      <xdr:colOff>815340</xdr:colOff>
      <xdr:row>57</xdr:row>
      <xdr:rowOff>144780</xdr:rowOff>
    </xdr:to>
    <xdr:graphicFrame macro="">
      <xdr:nvGraphicFramePr>
        <xdr:cNvPr id="4" name="Chart 3">
          <a:extLst>
            <a:ext uri="{FF2B5EF4-FFF2-40B4-BE49-F238E27FC236}">
              <a16:creationId xmlns:a16="http://schemas.microsoft.com/office/drawing/2014/main" id="{E1DE442E-FF57-4D03-B094-62FD0D870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468086</xdr:colOff>
      <xdr:row>39</xdr:row>
      <xdr:rowOff>114300</xdr:rowOff>
    </xdr:from>
    <xdr:to>
      <xdr:col>30</xdr:col>
      <xdr:colOff>163286</xdr:colOff>
      <xdr:row>54</xdr:row>
      <xdr:rowOff>81643</xdr:rowOff>
    </xdr:to>
    <xdr:graphicFrame macro="">
      <xdr:nvGraphicFramePr>
        <xdr:cNvPr id="5" name="Chart 4">
          <a:extLst>
            <a:ext uri="{FF2B5EF4-FFF2-40B4-BE49-F238E27FC236}">
              <a16:creationId xmlns:a16="http://schemas.microsoft.com/office/drawing/2014/main" id="{4CA9FF1B-5750-4965-BC02-E8773D3BD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511629</xdr:colOff>
      <xdr:row>52</xdr:row>
      <xdr:rowOff>125186</xdr:rowOff>
    </xdr:from>
    <xdr:to>
      <xdr:col>23</xdr:col>
      <xdr:colOff>206829</xdr:colOff>
      <xdr:row>67</xdr:row>
      <xdr:rowOff>92529</xdr:rowOff>
    </xdr:to>
    <xdr:graphicFrame macro="">
      <xdr:nvGraphicFramePr>
        <xdr:cNvPr id="6" name="Chart 5">
          <a:extLst>
            <a:ext uri="{FF2B5EF4-FFF2-40B4-BE49-F238E27FC236}">
              <a16:creationId xmlns:a16="http://schemas.microsoft.com/office/drawing/2014/main" id="{CADAD375-6A55-4FB0-B3DC-CBB09B23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3471-D828-4F1C-B0E7-C80085A14480}">
  <dimension ref="A1:DA81"/>
  <sheetViews>
    <sheetView zoomScale="70" zoomScaleNormal="70" workbookViewId="0">
      <pane ySplit="4" topLeftCell="A5" activePane="bottomLeft" state="frozen"/>
      <selection pane="bottomLeft" activeCell="P3" sqref="P3:Q3"/>
    </sheetView>
  </sheetViews>
  <sheetFormatPr defaultRowHeight="14.5" x14ac:dyDescent="0.35"/>
  <cols>
    <col min="3" max="3" width="13.7265625" customWidth="1"/>
    <col min="4" max="4" width="11.1796875" customWidth="1"/>
    <col min="5" max="9" width="13.26953125" customWidth="1"/>
    <col min="11" max="11" width="11.1796875" customWidth="1"/>
    <col min="12" max="12" width="11.81640625" customWidth="1"/>
    <col min="16" max="16" width="11.81640625" customWidth="1"/>
    <col min="17" max="18" width="11.54296875" customWidth="1"/>
    <col min="19" max="19" width="9.7265625" customWidth="1"/>
    <col min="20" max="20" width="10.7265625" customWidth="1"/>
    <col min="21" max="21" width="10.81640625" customWidth="1"/>
    <col min="23" max="28" width="12.1796875" customWidth="1"/>
    <col min="29" max="29" width="10.26953125" customWidth="1"/>
    <col min="31" max="31" width="9.26953125" customWidth="1"/>
    <col min="32" max="32" width="12.81640625" customWidth="1"/>
    <col min="33" max="33" width="10.81640625" customWidth="1"/>
    <col min="35" max="35" width="11.26953125" bestFit="1" customWidth="1"/>
    <col min="39" max="39" width="11.26953125" customWidth="1"/>
    <col min="40" max="40" width="10.7265625" customWidth="1"/>
    <col min="44" max="44" width="9.7265625" customWidth="1"/>
    <col min="45" max="45" width="11.1796875" customWidth="1"/>
    <col min="47" max="47" width="14.26953125" customWidth="1"/>
    <col min="48" max="48" width="11.453125" bestFit="1" customWidth="1"/>
    <col min="52" max="52" width="10.26953125" customWidth="1"/>
    <col min="54" max="54" width="11.54296875" customWidth="1"/>
    <col min="56" max="56" width="9.7265625" customWidth="1"/>
    <col min="58" max="58" width="14.7265625" customWidth="1"/>
    <col min="61" max="61" width="11.26953125" customWidth="1"/>
    <col min="62" max="62" width="10.453125" customWidth="1"/>
    <col min="64" max="64" width="11.54296875" customWidth="1"/>
    <col min="68" max="68" width="12.1796875" customWidth="1"/>
    <col min="70" max="70" width="12.7265625" customWidth="1"/>
    <col min="72" max="72" width="10.26953125" customWidth="1"/>
    <col min="77" max="79" width="12.81640625" customWidth="1"/>
    <col min="80" max="80" width="12.54296875" customWidth="1"/>
    <col min="81" max="81" width="10.7265625" customWidth="1"/>
    <col min="87" max="87" width="10.26953125" customWidth="1"/>
    <col min="88" max="88" width="10.1796875" customWidth="1"/>
    <col min="98" max="98" width="11.1796875" customWidth="1"/>
    <col min="99" max="99" width="12.81640625" customWidth="1"/>
    <col min="100" max="101" width="10.7265625" customWidth="1"/>
    <col min="105" max="105" width="25.26953125" bestFit="1" customWidth="1"/>
  </cols>
  <sheetData>
    <row r="1" spans="1:83" ht="18.5" x14ac:dyDescent="0.45">
      <c r="G1" s="57"/>
      <c r="H1" s="57"/>
      <c r="I1" s="57"/>
      <c r="S1" s="9" t="s">
        <v>58</v>
      </c>
      <c r="T1" s="9" t="s">
        <v>59</v>
      </c>
      <c r="U1" s="9" t="s">
        <v>60</v>
      </c>
      <c r="V1" s="9" t="s">
        <v>61</v>
      </c>
      <c r="W1" s="9"/>
      <c r="X1" s="9"/>
      <c r="Y1" s="9"/>
      <c r="Z1" s="9"/>
      <c r="AA1" s="9"/>
      <c r="AB1" s="9"/>
      <c r="AC1" s="9"/>
    </row>
    <row r="2" spans="1:83" ht="18.5" x14ac:dyDescent="0.45">
      <c r="G2" s="57" t="s">
        <v>155</v>
      </c>
      <c r="H2" s="57"/>
      <c r="I2" s="57"/>
      <c r="S2" s="45">
        <v>0.10741516534518507</v>
      </c>
      <c r="T2" s="45">
        <v>0.75930233821489568</v>
      </c>
      <c r="U2" s="45">
        <v>0.13183604264117066</v>
      </c>
      <c r="V2" s="45">
        <v>1.4464537987485602E-3</v>
      </c>
      <c r="W2" s="20"/>
      <c r="X2" s="20"/>
      <c r="Y2" s="20"/>
      <c r="Z2" s="20"/>
      <c r="AA2" s="20"/>
      <c r="AB2" s="20"/>
      <c r="AC2" s="20"/>
    </row>
    <row r="3" spans="1:83" ht="18.5" x14ac:dyDescent="0.45">
      <c r="A3" t="s">
        <v>77</v>
      </c>
      <c r="G3" s="57" t="s">
        <v>98</v>
      </c>
      <c r="H3" s="57"/>
      <c r="I3" s="57"/>
      <c r="J3" t="s">
        <v>71</v>
      </c>
      <c r="P3" s="56" t="s">
        <v>219</v>
      </c>
      <c r="Q3" s="56" t="s">
        <v>219</v>
      </c>
      <c r="S3" t="s">
        <v>66</v>
      </c>
      <c r="AM3" t="s">
        <v>5</v>
      </c>
      <c r="AN3" t="s">
        <v>6</v>
      </c>
      <c r="AO3" t="s">
        <v>7</v>
      </c>
      <c r="AQ3" t="s">
        <v>8</v>
      </c>
      <c r="AR3" t="s">
        <v>14</v>
      </c>
      <c r="AS3" t="s">
        <v>9</v>
      </c>
      <c r="AT3" t="s">
        <v>3</v>
      </c>
      <c r="AU3" s="13" t="s">
        <v>17</v>
      </c>
      <c r="AV3" s="17" t="s">
        <v>19</v>
      </c>
      <c r="AW3" t="s">
        <v>12</v>
      </c>
      <c r="AX3" t="s">
        <v>5</v>
      </c>
      <c r="AY3" t="s">
        <v>22</v>
      </c>
      <c r="BA3" t="s">
        <v>12</v>
      </c>
      <c r="BD3" t="s">
        <v>5</v>
      </c>
      <c r="BE3" t="s">
        <v>22</v>
      </c>
    </row>
    <row r="4" spans="1:83" ht="73.5" x14ac:dyDescent="0.45">
      <c r="A4" t="s">
        <v>51</v>
      </c>
      <c r="B4" t="s">
        <v>72</v>
      </c>
      <c r="C4" t="s">
        <v>83</v>
      </c>
      <c r="D4" s="9" t="s">
        <v>131</v>
      </c>
      <c r="E4" t="s">
        <v>81</v>
      </c>
      <c r="F4" t="s">
        <v>51</v>
      </c>
      <c r="G4" s="57" t="s">
        <v>83</v>
      </c>
      <c r="H4" s="57" t="s">
        <v>62</v>
      </c>
      <c r="I4" s="57" t="s">
        <v>82</v>
      </c>
      <c r="J4" t="s">
        <v>29</v>
      </c>
      <c r="K4" t="s">
        <v>30</v>
      </c>
      <c r="L4" t="s">
        <v>57</v>
      </c>
      <c r="N4" s="9" t="s">
        <v>51</v>
      </c>
      <c r="O4" s="9" t="s">
        <v>1</v>
      </c>
      <c r="P4" s="9" t="s">
        <v>44</v>
      </c>
      <c r="Q4" s="9" t="s">
        <v>74</v>
      </c>
      <c r="R4" s="9" t="s">
        <v>79</v>
      </c>
      <c r="S4" s="9" t="s">
        <v>58</v>
      </c>
      <c r="T4" s="9" t="s">
        <v>59</v>
      </c>
      <c r="U4" s="9" t="s">
        <v>60</v>
      </c>
      <c r="V4" s="9" t="s">
        <v>61</v>
      </c>
      <c r="W4" s="21" t="s">
        <v>62</v>
      </c>
      <c r="X4" s="21"/>
      <c r="Y4" s="21"/>
      <c r="Z4" s="21"/>
      <c r="AA4" s="21"/>
      <c r="AB4" s="21" t="s">
        <v>75</v>
      </c>
      <c r="AC4" s="9"/>
      <c r="AK4" t="s">
        <v>51</v>
      </c>
      <c r="AL4" t="s">
        <v>1</v>
      </c>
      <c r="AM4" t="s">
        <v>10</v>
      </c>
      <c r="AN4" t="s">
        <v>2</v>
      </c>
      <c r="AO4" t="s">
        <v>11</v>
      </c>
      <c r="AP4" t="s">
        <v>13</v>
      </c>
      <c r="AQ4" t="s">
        <v>20</v>
      </c>
      <c r="AR4" t="s">
        <v>15</v>
      </c>
      <c r="AS4" t="s">
        <v>3</v>
      </c>
      <c r="AT4" t="s">
        <v>16</v>
      </c>
      <c r="AU4" s="13" t="s">
        <v>18</v>
      </c>
      <c r="AV4" s="17" t="s">
        <v>4</v>
      </c>
      <c r="AW4" t="s">
        <v>23</v>
      </c>
      <c r="AX4" t="s">
        <v>21</v>
      </c>
      <c r="AY4" t="s">
        <v>23</v>
      </c>
      <c r="AZ4" t="s">
        <v>24</v>
      </c>
      <c r="BA4" t="s">
        <v>31</v>
      </c>
      <c r="BB4" t="s">
        <v>32</v>
      </c>
      <c r="BD4" t="s">
        <v>21</v>
      </c>
      <c r="BE4" t="s">
        <v>23</v>
      </c>
      <c r="BF4" t="s">
        <v>24</v>
      </c>
    </row>
    <row r="5" spans="1:83" x14ac:dyDescent="0.35">
      <c r="A5" s="37" t="str">
        <f>N5</f>
        <v>Cass</v>
      </c>
      <c r="B5" s="37">
        <f>J5</f>
        <v>1951</v>
      </c>
      <c r="C5" s="36">
        <f>K5</f>
        <v>171725</v>
      </c>
      <c r="D5" s="31">
        <f>L5</f>
        <v>498986</v>
      </c>
      <c r="E5" s="26">
        <f>LN(D5/C5)</f>
        <v>1.0666836791457688</v>
      </c>
      <c r="F5" s="26" t="str">
        <f>A5</f>
        <v>Cass</v>
      </c>
      <c r="G5" s="5">
        <f>P5</f>
        <v>171725</v>
      </c>
      <c r="H5" s="5">
        <f>W5</f>
        <v>457007.21211789281</v>
      </c>
      <c r="I5" s="26">
        <f>LN(H5/G5)</f>
        <v>0.97880481210932424</v>
      </c>
      <c r="J5">
        <v>1951</v>
      </c>
      <c r="K5" s="5">
        <v>171725</v>
      </c>
      <c r="L5" s="31">
        <v>498986</v>
      </c>
      <c r="N5" t="str">
        <f>AK5</f>
        <v>Cass</v>
      </c>
      <c r="O5">
        <f>AL5</f>
        <v>1951</v>
      </c>
      <c r="P5" s="36">
        <f>AU5</f>
        <v>171725</v>
      </c>
      <c r="Q5" s="40">
        <f>AV5</f>
        <v>1187739</v>
      </c>
      <c r="R5" s="5"/>
      <c r="S5" s="5">
        <f>$Q8*S$2</f>
        <v>117782.5548588063</v>
      </c>
      <c r="T5" s="5">
        <f>$Q9*T$2</f>
        <v>301518.19920279685</v>
      </c>
      <c r="U5" s="5">
        <f>$Q10*U$2</f>
        <v>37260.425223546139</v>
      </c>
      <c r="V5" s="5">
        <f>$Q11*V$2</f>
        <v>446.0328327435023</v>
      </c>
      <c r="W5" s="12">
        <f>SUM(S5:V5)</f>
        <v>457007.21211789281</v>
      </c>
      <c r="X5" s="29"/>
      <c r="Y5" s="29"/>
      <c r="Z5" s="29"/>
      <c r="AA5" s="29"/>
      <c r="AB5" s="12">
        <f>W5</f>
        <v>457007.21211789281</v>
      </c>
      <c r="AK5" t="s">
        <v>52</v>
      </c>
      <c r="AL5" s="19">
        <v>1951</v>
      </c>
      <c r="AM5" s="3">
        <v>523874</v>
      </c>
      <c r="AN5" s="4" t="s">
        <v>0</v>
      </c>
      <c r="AO5" s="4">
        <v>302</v>
      </c>
      <c r="AP5" s="4">
        <v>0</v>
      </c>
      <c r="AQ5" s="4">
        <v>23</v>
      </c>
      <c r="AR5" s="3">
        <v>491815</v>
      </c>
      <c r="AS5" s="3">
        <v>1016014</v>
      </c>
      <c r="AT5" s="1">
        <v>0.86</v>
      </c>
      <c r="AU5" s="16">
        <v>171725</v>
      </c>
      <c r="AV5" s="18">
        <v>1187739</v>
      </c>
      <c r="AW5" s="7">
        <f>AS5/AV5</f>
        <v>0.85541857259886223</v>
      </c>
      <c r="AX5" s="1">
        <f>AM5/AV5</f>
        <v>0.44106828183632935</v>
      </c>
      <c r="AY5" s="2">
        <f>AO5/(AV5-AM5)</f>
        <v>4.5491176669955487E-4</v>
      </c>
      <c r="AZ5" s="1">
        <f>AR5/(AV5-AM5-AO5-AQ5)</f>
        <v>0.74119872200620907</v>
      </c>
      <c r="BA5" s="8">
        <f>AS5/AV5</f>
        <v>0.85541857259886223</v>
      </c>
      <c r="BB5" s="5">
        <f>AU5*BA5/(1-BA5)</f>
        <v>1016014.0000000001</v>
      </c>
      <c r="BD5" s="6">
        <f>AX5/(SUM($AX5:$AZ5))</f>
        <v>0.37292644705000533</v>
      </c>
      <c r="BE5" s="6">
        <f t="shared" ref="BE5:BF5" si="0">AY5/(SUM($AX5:$AZ5))</f>
        <v>3.8463121440108171E-4</v>
      </c>
      <c r="BF5" s="6">
        <f t="shared" si="0"/>
        <v>0.62668892173559365</v>
      </c>
      <c r="CC5" t="s">
        <v>56</v>
      </c>
    </row>
    <row r="6" spans="1:83" ht="43.5" x14ac:dyDescent="0.35">
      <c r="A6" s="37" t="str">
        <f>N6</f>
        <v>Cass</v>
      </c>
      <c r="B6" s="37">
        <f t="shared" ref="B6:B69" si="1">J6</f>
        <v>1952</v>
      </c>
      <c r="C6" s="36">
        <f t="shared" ref="C6:C47" si="2">K6</f>
        <v>176250</v>
      </c>
      <c r="D6" s="31">
        <f t="shared" ref="D6:D42" si="3">L6</f>
        <v>283055</v>
      </c>
      <c r="E6" s="26">
        <f t="shared" ref="E6:E69" si="4">LN(D6/C6)</f>
        <v>0.47373778335781852</v>
      </c>
      <c r="F6" s="26" t="str">
        <f t="shared" ref="F6:F49" si="5">A6</f>
        <v>Cass</v>
      </c>
      <c r="G6" s="5">
        <f>P6</f>
        <v>176250</v>
      </c>
      <c r="H6" s="5">
        <f t="shared" ref="H6:H69" si="6">W6</f>
        <v>298716.92108672787</v>
      </c>
      <c r="I6" s="26">
        <f t="shared" ref="I6:I69" si="7">LN(H6/G6)</f>
        <v>0.52759293102705396</v>
      </c>
      <c r="J6">
        <v>1952</v>
      </c>
      <c r="K6" s="5">
        <v>176250</v>
      </c>
      <c r="L6" s="31">
        <v>283055</v>
      </c>
      <c r="N6" t="str">
        <f>AK6</f>
        <v>Cass</v>
      </c>
      <c r="O6">
        <f>AL6</f>
        <v>1952</v>
      </c>
      <c r="P6" s="36">
        <f>AU6</f>
        <v>176250</v>
      </c>
      <c r="Q6" s="40">
        <f>AV6</f>
        <v>927000</v>
      </c>
      <c r="R6" s="5"/>
      <c r="S6" s="5">
        <f t="shared" ref="S6:S40" si="8">$Q9*S$2</f>
        <v>42654.454743407645</v>
      </c>
      <c r="T6" s="5">
        <f t="shared" ref="T6:T41" si="9">$Q10*T$2</f>
        <v>214599.34194266133</v>
      </c>
      <c r="U6" s="5">
        <f t="shared" ref="U6:U40" si="10">$Q11*U$2</f>
        <v>40653.357616959307</v>
      </c>
      <c r="V6" s="5">
        <f t="shared" ref="V6:V41" si="11">$Q12*V$2</f>
        <v>809.76678369960769</v>
      </c>
      <c r="W6" s="12">
        <f t="shared" ref="W6:W46" si="12">SUM(S6:V6)</f>
        <v>298716.92108672787</v>
      </c>
      <c r="X6" s="29"/>
      <c r="Y6" s="29"/>
      <c r="Z6" s="29"/>
      <c r="AA6" s="29"/>
      <c r="AB6" s="12">
        <f t="shared" ref="AB6:AB41" si="13">W6</f>
        <v>298716.92108672787</v>
      </c>
      <c r="AK6" t="s">
        <v>52</v>
      </c>
      <c r="AL6" s="19">
        <v>1952</v>
      </c>
      <c r="AM6" s="3">
        <v>191249</v>
      </c>
      <c r="AN6" s="4" t="s">
        <v>0</v>
      </c>
      <c r="AO6" s="4">
        <v>108</v>
      </c>
      <c r="AP6" s="4">
        <v>0</v>
      </c>
      <c r="AQ6" s="4">
        <v>0</v>
      </c>
      <c r="AR6" s="3">
        <v>559393</v>
      </c>
      <c r="AS6" s="3">
        <v>750750</v>
      </c>
      <c r="AT6" s="1">
        <v>0.81</v>
      </c>
      <c r="AU6" s="16">
        <v>176250</v>
      </c>
      <c r="AV6" s="18">
        <v>927000</v>
      </c>
      <c r="AW6" s="7">
        <f t="shared" ref="AW6:AW44" si="14">AS6/AV6</f>
        <v>0.80987055016181231</v>
      </c>
      <c r="AX6" s="1">
        <f t="shared" ref="AX6:AX44" si="15">AM6/AV6</f>
        <v>0.20630960086299893</v>
      </c>
      <c r="AY6" s="2">
        <f t="shared" ref="AY6:AY44" si="16">AO6/(AV6-AM6)</f>
        <v>1.467887913166275E-4</v>
      </c>
      <c r="AZ6" s="1">
        <f t="shared" ref="AZ6:AZ44" si="17">AR6/(AV6-AM6-AO6-AQ6)</f>
        <v>0.76041367891762712</v>
      </c>
      <c r="BA6" s="8">
        <f t="shared" ref="BA6:BA44" si="18">AS6/AV6</f>
        <v>0.80987055016181231</v>
      </c>
      <c r="BB6" s="5">
        <f t="shared" ref="BB6:BB44" si="19">AU6*BA6/(1-BA6)</f>
        <v>750750</v>
      </c>
      <c r="BD6" s="6">
        <f t="shared" ref="BD6:BD44" si="20">AX6/(SUM($AX6:$AZ6))</f>
        <v>0.21337882676181727</v>
      </c>
      <c r="BE6" s="6">
        <f t="shared" ref="BE6:BE44" si="21">AY6/(SUM($AX6:$AZ6))</f>
        <v>1.5181852876409036E-4</v>
      </c>
      <c r="BF6" s="6">
        <f t="shared" ref="BF6:BF44" si="22">AZ6/(SUM($AX6:$AZ6))</f>
        <v>0.7864693547094187</v>
      </c>
      <c r="BP6" t="s">
        <v>54</v>
      </c>
      <c r="BQ6" s="9" t="s">
        <v>1</v>
      </c>
      <c r="BR6" s="11" t="s">
        <v>37</v>
      </c>
      <c r="BS6" s="9" t="s">
        <v>38</v>
      </c>
      <c r="BT6" s="9" t="s">
        <v>39</v>
      </c>
      <c r="BU6" s="9" t="s">
        <v>40</v>
      </c>
      <c r="BV6" s="9" t="s">
        <v>41</v>
      </c>
      <c r="BW6" s="9" t="s">
        <v>42</v>
      </c>
      <c r="BX6" s="9" t="s">
        <v>43</v>
      </c>
      <c r="BY6" s="15" t="s">
        <v>44</v>
      </c>
      <c r="BZ6" s="9" t="s">
        <v>48</v>
      </c>
      <c r="CA6" s="9"/>
      <c r="CB6" s="9" t="s">
        <v>45</v>
      </c>
      <c r="CC6" s="9" t="s">
        <v>1</v>
      </c>
      <c r="CD6" s="10" t="s">
        <v>46</v>
      </c>
      <c r="CE6" s="9" t="s">
        <v>47</v>
      </c>
    </row>
    <row r="7" spans="1:83" x14ac:dyDescent="0.35">
      <c r="A7" t="str">
        <f>N7</f>
        <v>Grant</v>
      </c>
      <c r="B7">
        <f t="shared" si="1"/>
        <v>1953</v>
      </c>
      <c r="C7" s="36">
        <f t="shared" si="2"/>
        <v>137225</v>
      </c>
      <c r="D7" s="31">
        <f t="shared" si="3"/>
        <v>312122</v>
      </c>
      <c r="E7" s="26">
        <f t="shared" si="4"/>
        <v>0.82177222258395266</v>
      </c>
      <c r="F7" s="26" t="str">
        <f t="shared" si="5"/>
        <v>Grant</v>
      </c>
      <c r="G7" s="5">
        <f>P7</f>
        <v>137625</v>
      </c>
      <c r="H7" s="5">
        <f t="shared" si="6"/>
        <v>339247.35388798552</v>
      </c>
      <c r="I7" s="26">
        <f t="shared" si="7"/>
        <v>0.90219690375368433</v>
      </c>
      <c r="J7">
        <v>1953</v>
      </c>
      <c r="K7" s="5">
        <v>137225</v>
      </c>
      <c r="L7" s="31">
        <v>312122</v>
      </c>
      <c r="N7" t="str">
        <f>BP7</f>
        <v>Grant</v>
      </c>
      <c r="O7">
        <f>BQ7</f>
        <v>1953</v>
      </c>
      <c r="P7" s="35">
        <f>BY7</f>
        <v>137625</v>
      </c>
      <c r="Q7" s="39">
        <f>BR7</f>
        <v>918122</v>
      </c>
      <c r="R7" s="5"/>
      <c r="S7" s="5">
        <f t="shared" si="8"/>
        <v>30358.42593601362</v>
      </c>
      <c r="T7" s="5">
        <f t="shared" si="9"/>
        <v>234140.74691895986</v>
      </c>
      <c r="U7" s="5">
        <f t="shared" si="10"/>
        <v>73805.639915763924</v>
      </c>
      <c r="V7" s="5">
        <f t="shared" si="11"/>
        <v>942.54111724813436</v>
      </c>
      <c r="W7" s="12">
        <f t="shared" si="12"/>
        <v>339247.35388798552</v>
      </c>
      <c r="X7" s="29"/>
      <c r="Y7" s="29"/>
      <c r="Z7" s="29"/>
      <c r="AA7" s="29"/>
      <c r="AB7" s="12">
        <f t="shared" si="13"/>
        <v>339247.35388798552</v>
      </c>
      <c r="AK7" t="s">
        <v>52</v>
      </c>
      <c r="AL7">
        <v>1953</v>
      </c>
      <c r="AM7" s="3">
        <v>465021</v>
      </c>
      <c r="AN7" s="4" t="s">
        <v>0</v>
      </c>
      <c r="AO7" s="4">
        <v>404</v>
      </c>
      <c r="AP7" s="4">
        <v>0</v>
      </c>
      <c r="AQ7" s="4">
        <v>0</v>
      </c>
      <c r="AR7" s="3">
        <v>331804</v>
      </c>
      <c r="AS7" s="3">
        <v>797229</v>
      </c>
      <c r="AT7" s="1">
        <v>0.85</v>
      </c>
      <c r="AU7" s="16">
        <v>137225</v>
      </c>
      <c r="AV7" s="18">
        <v>934454</v>
      </c>
      <c r="AW7" s="7">
        <f t="shared" si="14"/>
        <v>0.85314953973122276</v>
      </c>
      <c r="AX7" s="1">
        <f t="shared" si="15"/>
        <v>0.49763926314189888</v>
      </c>
      <c r="AY7" s="2">
        <f t="shared" si="16"/>
        <v>8.6061269659355006E-4</v>
      </c>
      <c r="AZ7" s="1">
        <f t="shared" si="17"/>
        <v>0.70742747250170035</v>
      </c>
      <c r="BA7" s="8">
        <f t="shared" si="18"/>
        <v>0.85314953973122276</v>
      </c>
      <c r="BB7" s="5">
        <f t="shared" si="19"/>
        <v>797229.00000000023</v>
      </c>
      <c r="BD7" s="6">
        <f t="shared" si="20"/>
        <v>0.41266106438902539</v>
      </c>
      <c r="BE7" s="6">
        <f t="shared" si="21"/>
        <v>7.1365219287718715E-4</v>
      </c>
      <c r="BF7" s="6">
        <f t="shared" si="22"/>
        <v>0.5866252834180975</v>
      </c>
      <c r="BP7" t="s">
        <v>55</v>
      </c>
      <c r="BQ7" s="19">
        <v>1953</v>
      </c>
      <c r="BR7" s="12">
        <v>918122</v>
      </c>
      <c r="BS7" s="5">
        <v>434551</v>
      </c>
      <c r="BT7" s="5">
        <v>10184</v>
      </c>
      <c r="BU7" s="5">
        <v>3947</v>
      </c>
      <c r="BV7">
        <v>0</v>
      </c>
      <c r="BW7">
        <v>0</v>
      </c>
      <c r="BX7" s="5">
        <v>331815</v>
      </c>
      <c r="BY7" s="14">
        <v>137625</v>
      </c>
      <c r="BZ7" s="5">
        <f>SUM(BS7:BY7)</f>
        <v>918122</v>
      </c>
      <c r="CA7" s="5"/>
      <c r="CB7" s="41">
        <v>0.85</v>
      </c>
      <c r="CC7">
        <f>BQ7</f>
        <v>1953</v>
      </c>
      <c r="CD7" s="6">
        <f t="shared" ref="CD7:CD44" si="23">(BR7-AV7)/AV7</f>
        <v>-1.7477585841571656E-2</v>
      </c>
      <c r="CE7" s="6">
        <f>(BY7-AU7)/AU7</f>
        <v>2.9149207505920934E-3</v>
      </c>
    </row>
    <row r="8" spans="1:83" x14ac:dyDescent="0.35">
      <c r="A8" t="str">
        <f t="shared" ref="A8:A49" si="24">N8</f>
        <v>Grant</v>
      </c>
      <c r="B8">
        <f t="shared" si="1"/>
        <v>1954</v>
      </c>
      <c r="C8" s="36">
        <f t="shared" si="2"/>
        <v>86375</v>
      </c>
      <c r="D8" s="31">
        <f t="shared" si="3"/>
        <v>504589</v>
      </c>
      <c r="E8" s="26">
        <f t="shared" si="4"/>
        <v>1.765045954436407</v>
      </c>
      <c r="F8" s="26" t="str">
        <f t="shared" si="5"/>
        <v>Grant</v>
      </c>
      <c r="G8" s="5">
        <f t="shared" ref="G8:G49" si="25">P8</f>
        <v>86375</v>
      </c>
      <c r="H8" s="5">
        <f t="shared" si="6"/>
        <v>544674.7468592932</v>
      </c>
      <c r="I8" s="26">
        <f t="shared" si="7"/>
        <v>1.8414905396689467</v>
      </c>
      <c r="J8">
        <v>1954</v>
      </c>
      <c r="K8" s="5">
        <v>86375</v>
      </c>
      <c r="L8" s="31">
        <v>504589</v>
      </c>
      <c r="N8" t="str">
        <f t="shared" ref="N8:N49" si="26">BP8</f>
        <v>Grant</v>
      </c>
      <c r="O8">
        <f t="shared" ref="O8:O48" si="27">BQ8</f>
        <v>1954</v>
      </c>
      <c r="P8" s="35">
        <f t="shared" ref="P8:P48" si="28">BY8</f>
        <v>86375</v>
      </c>
      <c r="Q8" s="39">
        <f t="shared" ref="Q8:Q41" si="29">BR8</f>
        <v>1096517</v>
      </c>
      <c r="R8" s="5"/>
      <c r="S8" s="5">
        <f t="shared" si="8"/>
        <v>33122.862631337302</v>
      </c>
      <c r="T8" s="5">
        <f t="shared" si="9"/>
        <v>425079.46870050684</v>
      </c>
      <c r="U8" s="5">
        <f>$Q13*U$2</f>
        <v>85907.265777924913</v>
      </c>
      <c r="V8" s="5">
        <f t="shared" si="11"/>
        <v>565.14974952424495</v>
      </c>
      <c r="W8" s="12">
        <f t="shared" si="12"/>
        <v>544674.7468592932</v>
      </c>
      <c r="X8" s="29"/>
      <c r="Y8" s="29"/>
      <c r="Z8" s="29"/>
      <c r="AA8" s="29"/>
      <c r="AB8" s="12">
        <f t="shared" si="13"/>
        <v>544674.7468592932</v>
      </c>
      <c r="AK8" t="s">
        <v>52</v>
      </c>
      <c r="AL8">
        <v>1954</v>
      </c>
      <c r="AM8" s="3">
        <v>590473</v>
      </c>
      <c r="AN8" s="4" t="s">
        <v>0</v>
      </c>
      <c r="AO8" s="4">
        <v>253</v>
      </c>
      <c r="AP8" s="4">
        <v>0</v>
      </c>
      <c r="AQ8" s="4">
        <v>0</v>
      </c>
      <c r="AR8" s="3">
        <v>457750</v>
      </c>
      <c r="AS8" s="3">
        <v>1048476</v>
      </c>
      <c r="AT8" s="1">
        <v>0.92</v>
      </c>
      <c r="AU8" s="16">
        <v>86375</v>
      </c>
      <c r="AV8" s="18">
        <v>1134851</v>
      </c>
      <c r="AW8" s="7">
        <f t="shared" si="14"/>
        <v>0.92388868670865165</v>
      </c>
      <c r="AX8" s="1">
        <f t="shared" si="15"/>
        <v>0.52030883349444113</v>
      </c>
      <c r="AY8" s="2">
        <f t="shared" si="16"/>
        <v>4.6475059609315584E-4</v>
      </c>
      <c r="AZ8" s="1">
        <f t="shared" si="17"/>
        <v>0.84125890190673103</v>
      </c>
      <c r="BA8" s="8">
        <f t="shared" si="18"/>
        <v>0.92388868670865165</v>
      </c>
      <c r="BB8" s="5">
        <f t="shared" si="19"/>
        <v>1048476.0000000003</v>
      </c>
      <c r="BD8" s="6">
        <f t="shared" si="20"/>
        <v>0.38200912154710959</v>
      </c>
      <c r="BE8" s="6">
        <f t="shared" si="21"/>
        <v>3.4121843705722668E-4</v>
      </c>
      <c r="BF8" s="6">
        <f t="shared" si="22"/>
        <v>0.61764966001583321</v>
      </c>
      <c r="BP8" t="s">
        <v>55</v>
      </c>
      <c r="BQ8" s="19">
        <v>1954</v>
      </c>
      <c r="BR8" s="12">
        <v>1096517</v>
      </c>
      <c r="BS8" s="5">
        <v>542719</v>
      </c>
      <c r="BT8" s="5">
        <v>8768</v>
      </c>
      <c r="BU8" s="5">
        <v>1248</v>
      </c>
      <c r="BV8">
        <v>0</v>
      </c>
      <c r="BW8">
        <v>0</v>
      </c>
      <c r="BX8" s="5">
        <v>457407</v>
      </c>
      <c r="BY8" s="14">
        <v>86375</v>
      </c>
      <c r="BZ8" s="5">
        <f t="shared" ref="BZ8:BZ60" si="30">SUM(BS8:BY8)</f>
        <v>1096517</v>
      </c>
      <c r="CA8" s="5"/>
      <c r="CB8" s="41">
        <v>0.92100000000000004</v>
      </c>
      <c r="CC8">
        <f t="shared" ref="CC8:CC44" si="31">BQ8</f>
        <v>1954</v>
      </c>
      <c r="CD8" s="6">
        <f t="shared" si="23"/>
        <v>-3.3778883747734287E-2</v>
      </c>
      <c r="CE8" s="6">
        <f t="shared" ref="CE8:CE44" si="32">(BY8-AU8)/AU8</f>
        <v>0</v>
      </c>
    </row>
    <row r="9" spans="1:83" x14ac:dyDescent="0.35">
      <c r="A9" t="str">
        <f t="shared" si="24"/>
        <v>Grant</v>
      </c>
      <c r="B9">
        <f t="shared" si="1"/>
        <v>1955</v>
      </c>
      <c r="C9" s="36">
        <f t="shared" si="2"/>
        <v>110500</v>
      </c>
      <c r="D9" s="31">
        <f t="shared" si="3"/>
        <v>592568</v>
      </c>
      <c r="E9" s="26">
        <f t="shared" si="4"/>
        <v>1.6794501133986328</v>
      </c>
      <c r="F9" s="26" t="str">
        <f t="shared" si="5"/>
        <v>Grant</v>
      </c>
      <c r="G9" s="5">
        <f t="shared" si="25"/>
        <v>110500</v>
      </c>
      <c r="H9" s="5">
        <f t="shared" si="6"/>
        <v>606789.30472412845</v>
      </c>
      <c r="I9" s="26">
        <f t="shared" si="7"/>
        <v>1.7031661006594034</v>
      </c>
      <c r="J9">
        <v>1955</v>
      </c>
      <c r="K9" s="5">
        <v>110500</v>
      </c>
      <c r="L9" s="31">
        <v>592568</v>
      </c>
      <c r="N9" t="str">
        <f t="shared" si="26"/>
        <v>Grant</v>
      </c>
      <c r="O9">
        <f t="shared" si="27"/>
        <v>1955</v>
      </c>
      <c r="P9" s="35">
        <f t="shared" si="28"/>
        <v>110500</v>
      </c>
      <c r="Q9" s="39">
        <f t="shared" si="29"/>
        <v>397099</v>
      </c>
      <c r="R9" s="5"/>
      <c r="S9" s="5">
        <f t="shared" si="8"/>
        <v>60134.124600029609</v>
      </c>
      <c r="T9" s="5">
        <f t="shared" si="9"/>
        <v>494778.10823226674</v>
      </c>
      <c r="U9" s="5">
        <f t="shared" si="10"/>
        <v>51510.187564502354</v>
      </c>
      <c r="V9" s="5">
        <f t="shared" si="11"/>
        <v>366.88432732977981</v>
      </c>
      <c r="W9" s="12">
        <f t="shared" si="12"/>
        <v>606789.30472412845</v>
      </c>
      <c r="X9" s="29"/>
      <c r="Y9" s="29"/>
      <c r="Z9" s="29"/>
      <c r="AA9" s="29"/>
      <c r="AB9" s="12">
        <f t="shared" si="13"/>
        <v>606789.30472412845</v>
      </c>
      <c r="AK9" t="s">
        <v>52</v>
      </c>
      <c r="AL9">
        <v>1955</v>
      </c>
      <c r="AM9" s="3">
        <v>143565</v>
      </c>
      <c r="AN9" s="4" t="s">
        <v>0</v>
      </c>
      <c r="AO9" s="4">
        <v>759</v>
      </c>
      <c r="AP9" s="4">
        <v>0</v>
      </c>
      <c r="AQ9" s="4">
        <v>9</v>
      </c>
      <c r="AR9" s="3">
        <v>103297</v>
      </c>
      <c r="AS9" s="3">
        <v>247630</v>
      </c>
      <c r="AT9" s="1">
        <v>0.69</v>
      </c>
      <c r="AU9" s="16">
        <v>110500</v>
      </c>
      <c r="AV9" s="18">
        <v>358130</v>
      </c>
      <c r="AW9" s="7">
        <f t="shared" si="14"/>
        <v>0.69145282439337674</v>
      </c>
      <c r="AX9" s="1">
        <f t="shared" si="15"/>
        <v>0.40087398430737442</v>
      </c>
      <c r="AY9" s="2">
        <f t="shared" si="16"/>
        <v>3.5373896022184419E-3</v>
      </c>
      <c r="AZ9" s="1">
        <f t="shared" si="17"/>
        <v>0.48315458121489074</v>
      </c>
      <c r="BA9" s="8">
        <f t="shared" si="18"/>
        <v>0.69145282439337674</v>
      </c>
      <c r="BB9" s="5">
        <f t="shared" si="19"/>
        <v>247630.00000000003</v>
      </c>
      <c r="BD9" s="6">
        <f t="shared" si="20"/>
        <v>0.45165543134329739</v>
      </c>
      <c r="BE9" s="6">
        <f t="shared" si="21"/>
        <v>3.9854949165127823E-3</v>
      </c>
      <c r="BF9" s="6">
        <f t="shared" si="22"/>
        <v>0.54435907374018977</v>
      </c>
      <c r="BP9" t="s">
        <v>55</v>
      </c>
      <c r="BQ9" s="19">
        <v>1955</v>
      </c>
      <c r="BR9" s="12">
        <v>397099</v>
      </c>
      <c r="BS9" s="5">
        <v>174665</v>
      </c>
      <c r="BT9">
        <v>634</v>
      </c>
      <c r="BU9" s="5">
        <v>8217</v>
      </c>
      <c r="BV9">
        <v>0</v>
      </c>
      <c r="BW9">
        <v>0</v>
      </c>
      <c r="BX9" s="5">
        <v>103084</v>
      </c>
      <c r="BY9" s="14">
        <v>110500</v>
      </c>
      <c r="BZ9" s="5">
        <f t="shared" si="30"/>
        <v>397100</v>
      </c>
      <c r="CA9" s="5"/>
      <c r="CB9" s="41">
        <v>0.72199999999999998</v>
      </c>
      <c r="CC9">
        <f t="shared" si="31"/>
        <v>1955</v>
      </c>
      <c r="CD9" s="6">
        <f t="shared" si="23"/>
        <v>0.10881244240918102</v>
      </c>
      <c r="CE9" s="6">
        <f t="shared" si="32"/>
        <v>0</v>
      </c>
    </row>
    <row r="10" spans="1:83" x14ac:dyDescent="0.35">
      <c r="A10" t="str">
        <f t="shared" si="24"/>
        <v>Grant</v>
      </c>
      <c r="B10">
        <f t="shared" si="1"/>
        <v>1956</v>
      </c>
      <c r="C10" s="36">
        <f t="shared" si="2"/>
        <v>32925</v>
      </c>
      <c r="D10" s="31">
        <f t="shared" si="3"/>
        <v>518932</v>
      </c>
      <c r="E10" s="26">
        <f t="shared" si="4"/>
        <v>2.7575406057579124</v>
      </c>
      <c r="F10" s="26" t="str">
        <f t="shared" si="5"/>
        <v>Grant</v>
      </c>
      <c r="G10" s="5">
        <f t="shared" si="25"/>
        <v>32950</v>
      </c>
      <c r="H10" s="5">
        <f t="shared" si="6"/>
        <v>400464.07254387828</v>
      </c>
      <c r="I10" s="26">
        <f t="shared" si="7"/>
        <v>2.4976327950288582</v>
      </c>
      <c r="J10">
        <v>1956</v>
      </c>
      <c r="K10" s="5">
        <v>32925</v>
      </c>
      <c r="L10" s="31">
        <v>518932</v>
      </c>
      <c r="N10" t="str">
        <f t="shared" si="26"/>
        <v>Grant</v>
      </c>
      <c r="O10">
        <f t="shared" si="27"/>
        <v>1956</v>
      </c>
      <c r="P10" s="35">
        <f t="shared" si="28"/>
        <v>32950</v>
      </c>
      <c r="Q10" s="39">
        <f t="shared" si="29"/>
        <v>282627</v>
      </c>
      <c r="R10" s="5"/>
      <c r="S10" s="5">
        <f t="shared" si="8"/>
        <v>69994.084872560183</v>
      </c>
      <c r="T10" s="5">
        <f t="shared" si="9"/>
        <v>296670.05377329473</v>
      </c>
      <c r="U10" s="5">
        <f t="shared" si="10"/>
        <v>33439.42119967709</v>
      </c>
      <c r="V10" s="5">
        <f t="shared" si="11"/>
        <v>360.51269834629238</v>
      </c>
      <c r="W10" s="12">
        <f t="shared" si="12"/>
        <v>400464.07254387828</v>
      </c>
      <c r="X10" s="29"/>
      <c r="Y10" s="29"/>
      <c r="Z10" s="29"/>
      <c r="AA10" s="29"/>
      <c r="AB10" s="12">
        <f t="shared" si="13"/>
        <v>400464.07254387828</v>
      </c>
      <c r="AK10" t="s">
        <v>52</v>
      </c>
      <c r="AL10">
        <v>1956</v>
      </c>
      <c r="AM10" s="3">
        <v>155668</v>
      </c>
      <c r="AN10" s="4" t="s">
        <v>0</v>
      </c>
      <c r="AO10" s="4">
        <v>61</v>
      </c>
      <c r="AP10" s="4">
        <v>0</v>
      </c>
      <c r="AQ10" s="4">
        <v>0</v>
      </c>
      <c r="AR10" s="3">
        <v>72958</v>
      </c>
      <c r="AS10" s="3">
        <v>228687</v>
      </c>
      <c r="AT10" s="1">
        <v>0.87</v>
      </c>
      <c r="AU10" s="16">
        <v>32925</v>
      </c>
      <c r="AV10" s="18">
        <v>261612</v>
      </c>
      <c r="AW10" s="7">
        <f t="shared" si="14"/>
        <v>0.87414568139076188</v>
      </c>
      <c r="AX10" s="1">
        <f t="shared" si="15"/>
        <v>0.59503386694799931</v>
      </c>
      <c r="AY10" s="2">
        <f t="shared" si="16"/>
        <v>5.7577588159782528E-4</v>
      </c>
      <c r="AZ10" s="1">
        <f t="shared" si="17"/>
        <v>0.68904356695597968</v>
      </c>
      <c r="BA10" s="8">
        <f t="shared" si="18"/>
        <v>0.87414568139076188</v>
      </c>
      <c r="BB10" s="5">
        <f t="shared" si="19"/>
        <v>228686.99999999997</v>
      </c>
      <c r="BD10" s="6">
        <f t="shared" si="20"/>
        <v>0.46318637778308835</v>
      </c>
      <c r="BE10" s="6">
        <f t="shared" si="21"/>
        <v>4.481955731025097E-4</v>
      </c>
      <c r="BF10" s="6">
        <f t="shared" si="22"/>
        <v>0.53636542664380904</v>
      </c>
      <c r="BP10" t="s">
        <v>55</v>
      </c>
      <c r="BQ10" s="19">
        <v>1956</v>
      </c>
      <c r="BR10" s="12">
        <v>282627</v>
      </c>
      <c r="BS10" s="5">
        <v>175589</v>
      </c>
      <c r="BT10">
        <v>685</v>
      </c>
      <c r="BU10">
        <v>591</v>
      </c>
      <c r="BV10">
        <v>0</v>
      </c>
      <c r="BW10">
        <v>0</v>
      </c>
      <c r="BX10" s="5">
        <v>72812</v>
      </c>
      <c r="BY10" s="14">
        <v>32950</v>
      </c>
      <c r="BZ10" s="5">
        <f t="shared" si="30"/>
        <v>282627</v>
      </c>
      <c r="CA10" s="5"/>
      <c r="CB10" s="41">
        <v>0.88300000000000001</v>
      </c>
      <c r="CC10">
        <f t="shared" si="31"/>
        <v>1956</v>
      </c>
      <c r="CD10" s="6">
        <f t="shared" si="23"/>
        <v>8.032888399614696E-2</v>
      </c>
      <c r="CE10" s="6">
        <f t="shared" si="32"/>
        <v>7.5930144267274111E-4</v>
      </c>
    </row>
    <row r="11" spans="1:83" x14ac:dyDescent="0.35">
      <c r="A11" t="str">
        <f t="shared" si="24"/>
        <v>Grant</v>
      </c>
      <c r="B11">
        <f t="shared" si="1"/>
        <v>1957</v>
      </c>
      <c r="C11" s="36">
        <f t="shared" si="2"/>
        <v>84630</v>
      </c>
      <c r="D11" s="31">
        <f t="shared" si="3"/>
        <v>353281</v>
      </c>
      <c r="E11" s="26">
        <f t="shared" si="4"/>
        <v>1.4289749605785971</v>
      </c>
      <c r="F11" s="26" t="str">
        <f t="shared" si="5"/>
        <v>Grant</v>
      </c>
      <c r="G11" s="5">
        <f t="shared" si="25"/>
        <v>84655</v>
      </c>
      <c r="H11" s="5">
        <f t="shared" si="6"/>
        <v>267911.40112163423</v>
      </c>
      <c r="I11" s="26">
        <f t="shared" si="7"/>
        <v>1.1520721594430823</v>
      </c>
      <c r="J11">
        <v>1957</v>
      </c>
      <c r="K11" s="5">
        <v>84630</v>
      </c>
      <c r="L11" s="31">
        <v>353281</v>
      </c>
      <c r="N11" t="str">
        <f t="shared" si="26"/>
        <v>Grant</v>
      </c>
      <c r="O11">
        <f t="shared" si="27"/>
        <v>1957</v>
      </c>
      <c r="P11" s="35">
        <f t="shared" si="28"/>
        <v>84655</v>
      </c>
      <c r="Q11" s="39">
        <f>BR11</f>
        <v>308363</v>
      </c>
      <c r="R11" s="5"/>
      <c r="S11" s="5">
        <f t="shared" si="8"/>
        <v>41968.608912678639</v>
      </c>
      <c r="T11" s="5">
        <f t="shared" si="9"/>
        <v>192592.482274179</v>
      </c>
      <c r="U11" s="5">
        <f t="shared" si="10"/>
        <v>32858.683431842735</v>
      </c>
      <c r="V11" s="5">
        <f t="shared" si="11"/>
        <v>491.62650293385565</v>
      </c>
      <c r="W11" s="12">
        <f t="shared" si="12"/>
        <v>267911.40112163423</v>
      </c>
      <c r="X11" s="29"/>
      <c r="Y11" s="29"/>
      <c r="Z11" s="29"/>
      <c r="AA11" s="29"/>
      <c r="AB11" s="12">
        <f t="shared" si="13"/>
        <v>267911.40112163423</v>
      </c>
      <c r="AK11" t="s">
        <v>52</v>
      </c>
      <c r="AL11">
        <v>1957</v>
      </c>
      <c r="AM11" s="3">
        <v>92528</v>
      </c>
      <c r="AN11" s="4" t="s">
        <v>0</v>
      </c>
      <c r="AO11" s="4">
        <v>123</v>
      </c>
      <c r="AP11" s="4">
        <v>0</v>
      </c>
      <c r="AQ11" s="4">
        <v>48</v>
      </c>
      <c r="AR11" s="3">
        <v>124319</v>
      </c>
      <c r="AS11" s="3">
        <v>217018</v>
      </c>
      <c r="AT11" s="1">
        <v>0.72</v>
      </c>
      <c r="AU11" s="16">
        <v>84630</v>
      </c>
      <c r="AV11" s="18">
        <v>301648</v>
      </c>
      <c r="AW11" s="7">
        <f t="shared" si="14"/>
        <v>0.71944120299156633</v>
      </c>
      <c r="AX11" s="1">
        <f t="shared" si="15"/>
        <v>0.30674163263141146</v>
      </c>
      <c r="AY11" s="2">
        <f t="shared" si="16"/>
        <v>5.8817903596021428E-4</v>
      </c>
      <c r="AZ11" s="1">
        <f t="shared" si="17"/>
        <v>0.59497293597959311</v>
      </c>
      <c r="BA11" s="8">
        <f t="shared" si="18"/>
        <v>0.71944120299156633</v>
      </c>
      <c r="BB11" s="5">
        <f t="shared" si="19"/>
        <v>217018</v>
      </c>
      <c r="BD11" s="6">
        <f t="shared" si="20"/>
        <v>0.33995422648477547</v>
      </c>
      <c r="BE11" s="6">
        <f t="shared" si="21"/>
        <v>6.5186439639475127E-4</v>
      </c>
      <c r="BF11" s="6">
        <f t="shared" si="22"/>
        <v>0.65939390911882989</v>
      </c>
      <c r="BP11" t="s">
        <v>55</v>
      </c>
      <c r="BQ11" s="19">
        <v>1957</v>
      </c>
      <c r="BR11" s="12">
        <v>308363</v>
      </c>
      <c r="BS11" s="5">
        <v>97399</v>
      </c>
      <c r="BT11">
        <v>600</v>
      </c>
      <c r="BU11" s="5">
        <v>1444</v>
      </c>
      <c r="BV11">
        <v>0</v>
      </c>
      <c r="BW11">
        <v>0</v>
      </c>
      <c r="BX11" s="5">
        <v>124265</v>
      </c>
      <c r="BY11" s="14">
        <v>84655</v>
      </c>
      <c r="BZ11" s="5">
        <f t="shared" si="30"/>
        <v>308363</v>
      </c>
      <c r="CA11" s="5"/>
      <c r="CB11" s="41">
        <v>0.72499999999999998</v>
      </c>
      <c r="CC11">
        <f t="shared" si="31"/>
        <v>1957</v>
      </c>
      <c r="CD11" s="6">
        <f t="shared" si="23"/>
        <v>2.2261045987376014E-2</v>
      </c>
      <c r="CE11" s="6">
        <f t="shared" si="32"/>
        <v>2.9540352120997282E-4</v>
      </c>
    </row>
    <row r="12" spans="1:83" x14ac:dyDescent="0.35">
      <c r="A12" t="str">
        <f t="shared" si="24"/>
        <v>Grant</v>
      </c>
      <c r="B12">
        <f t="shared" si="1"/>
        <v>1958</v>
      </c>
      <c r="C12" s="36">
        <f t="shared" si="2"/>
        <v>89375</v>
      </c>
      <c r="D12" s="31">
        <f t="shared" si="3"/>
        <v>302174</v>
      </c>
      <c r="E12" s="26">
        <f t="shared" si="4"/>
        <v>1.2181620093852592</v>
      </c>
      <c r="F12" s="26" t="str">
        <f t="shared" si="5"/>
        <v>Grant</v>
      </c>
      <c r="G12" s="5">
        <f t="shared" si="25"/>
        <v>89400</v>
      </c>
      <c r="H12" s="5">
        <f t="shared" si="6"/>
        <v>261839.36777785598</v>
      </c>
      <c r="I12" s="26">
        <f t="shared" si="7"/>
        <v>1.0746105334743974</v>
      </c>
      <c r="J12">
        <v>1958</v>
      </c>
      <c r="K12" s="5">
        <v>89375</v>
      </c>
      <c r="L12" s="31">
        <v>302174</v>
      </c>
      <c r="N12" t="str">
        <f t="shared" si="26"/>
        <v>Grant</v>
      </c>
      <c r="O12">
        <f t="shared" si="27"/>
        <v>1958</v>
      </c>
      <c r="P12" s="35">
        <f t="shared" si="28"/>
        <v>89400</v>
      </c>
      <c r="Q12" s="39">
        <f>BR12</f>
        <v>559829</v>
      </c>
      <c r="R12" s="5"/>
      <c r="S12" s="5">
        <f t="shared" si="8"/>
        <v>27245.212198814123</v>
      </c>
      <c r="T12" s="5">
        <f t="shared" si="9"/>
        <v>189247.75547434238</v>
      </c>
      <c r="U12" s="5">
        <f t="shared" si="10"/>
        <v>44808.961517051648</v>
      </c>
      <c r="V12" s="5">
        <f t="shared" si="11"/>
        <v>537.4385876478201</v>
      </c>
      <c r="W12" s="12">
        <f t="shared" si="12"/>
        <v>261839.36777785598</v>
      </c>
      <c r="X12" s="29"/>
      <c r="Y12" s="29"/>
      <c r="Z12" s="29"/>
      <c r="AA12" s="29"/>
      <c r="AB12" s="12">
        <f t="shared" si="13"/>
        <v>261839.36777785598</v>
      </c>
      <c r="AK12" t="s">
        <v>52</v>
      </c>
      <c r="AL12">
        <v>1958</v>
      </c>
      <c r="AM12" s="3">
        <v>252287</v>
      </c>
      <c r="AN12" s="4" t="s">
        <v>0</v>
      </c>
      <c r="AO12" s="3">
        <v>1178</v>
      </c>
      <c r="AP12" s="4">
        <v>0</v>
      </c>
      <c r="AQ12" s="4">
        <v>690</v>
      </c>
      <c r="AR12" s="3">
        <v>202075</v>
      </c>
      <c r="AS12" s="3">
        <v>456230</v>
      </c>
      <c r="AT12" s="1">
        <v>0.84</v>
      </c>
      <c r="AU12" s="16">
        <v>89375</v>
      </c>
      <c r="AV12" s="18">
        <v>545605</v>
      </c>
      <c r="AW12" s="7">
        <f t="shared" si="14"/>
        <v>0.83619101731105838</v>
      </c>
      <c r="AX12" s="1">
        <f t="shared" si="15"/>
        <v>0.4623986217135107</v>
      </c>
      <c r="AY12" s="2">
        <f t="shared" si="16"/>
        <v>4.016119024403548E-3</v>
      </c>
      <c r="AZ12" s="1">
        <f t="shared" si="17"/>
        <v>0.69334362669411564</v>
      </c>
      <c r="BA12" s="8">
        <f t="shared" si="18"/>
        <v>0.83619101731105838</v>
      </c>
      <c r="BB12" s="5">
        <f t="shared" si="19"/>
        <v>456230.00000000006</v>
      </c>
      <c r="BD12" s="6">
        <f t="shared" si="20"/>
        <v>0.39870255278896322</v>
      </c>
      <c r="BE12" s="6">
        <f t="shared" si="21"/>
        <v>3.4628929069907494E-3</v>
      </c>
      <c r="BF12" s="6">
        <f t="shared" si="22"/>
        <v>0.59783455430404597</v>
      </c>
      <c r="BP12" t="s">
        <v>55</v>
      </c>
      <c r="BQ12" s="19">
        <v>1958</v>
      </c>
      <c r="BR12" s="12">
        <v>559829</v>
      </c>
      <c r="BS12" s="5">
        <v>247648</v>
      </c>
      <c r="BT12" s="5">
        <v>8879</v>
      </c>
      <c r="BU12" s="5">
        <v>11935</v>
      </c>
      <c r="BV12">
        <v>0</v>
      </c>
      <c r="BW12">
        <v>0</v>
      </c>
      <c r="BX12" s="5">
        <v>201968</v>
      </c>
      <c r="BY12" s="14">
        <v>89400</v>
      </c>
      <c r="BZ12" s="5">
        <f t="shared" si="30"/>
        <v>559830</v>
      </c>
      <c r="CA12" s="5"/>
      <c r="CB12" s="41">
        <v>0.84</v>
      </c>
      <c r="CC12">
        <f t="shared" si="31"/>
        <v>1958</v>
      </c>
      <c r="CD12" s="6">
        <f t="shared" si="23"/>
        <v>2.6070142319076988E-2</v>
      </c>
      <c r="CE12" s="6">
        <f t="shared" si="32"/>
        <v>2.7972027972027972E-4</v>
      </c>
    </row>
    <row r="13" spans="1:83" x14ac:dyDescent="0.35">
      <c r="A13" t="str">
        <f t="shared" si="24"/>
        <v>Grant</v>
      </c>
      <c r="B13">
        <f t="shared" si="1"/>
        <v>1959</v>
      </c>
      <c r="C13" s="36">
        <f t="shared" si="2"/>
        <v>152300</v>
      </c>
      <c r="D13" s="31">
        <f t="shared" si="3"/>
        <v>361837</v>
      </c>
      <c r="E13" s="26">
        <f t="shared" si="4"/>
        <v>0.86534157427677216</v>
      </c>
      <c r="F13" s="26" t="str">
        <f t="shared" si="5"/>
        <v>Grant</v>
      </c>
      <c r="G13" s="5">
        <f t="shared" si="25"/>
        <v>152300</v>
      </c>
      <c r="H13" s="5">
        <f t="shared" si="6"/>
        <v>334077.81684886321</v>
      </c>
      <c r="I13" s="26">
        <f t="shared" si="7"/>
        <v>0.78552169051632736</v>
      </c>
      <c r="J13">
        <v>1959</v>
      </c>
      <c r="K13" s="5">
        <v>152300</v>
      </c>
      <c r="L13" s="31">
        <v>361837</v>
      </c>
      <c r="N13" t="str">
        <f t="shared" si="26"/>
        <v>Grant</v>
      </c>
      <c r="O13">
        <f t="shared" si="27"/>
        <v>1959</v>
      </c>
      <c r="P13" s="35">
        <f t="shared" si="28"/>
        <v>152300</v>
      </c>
      <c r="Q13" s="39">
        <f t="shared" si="29"/>
        <v>651622</v>
      </c>
      <c r="R13" s="5"/>
      <c r="S13" s="5">
        <f>$Q16*S$2</f>
        <v>26772.048395468581</v>
      </c>
      <c r="T13" s="5">
        <f t="shared" si="9"/>
        <v>258074.71592183161</v>
      </c>
      <c r="U13" s="5">
        <f t="shared" si="10"/>
        <v>48984.472659582803</v>
      </c>
      <c r="V13" s="5">
        <f t="shared" si="11"/>
        <v>246.57987198026456</v>
      </c>
      <c r="W13" s="12">
        <f t="shared" si="12"/>
        <v>334077.81684886321</v>
      </c>
      <c r="X13" s="29"/>
      <c r="Y13" s="29"/>
      <c r="Z13" s="29"/>
      <c r="AA13" s="29"/>
      <c r="AB13" s="12">
        <f t="shared" si="13"/>
        <v>334077.81684886321</v>
      </c>
      <c r="AK13" t="s">
        <v>52</v>
      </c>
      <c r="AL13">
        <v>1959</v>
      </c>
      <c r="AM13" s="3">
        <v>218898</v>
      </c>
      <c r="AN13" s="4" t="s">
        <v>0</v>
      </c>
      <c r="AO13" s="3">
        <v>1448</v>
      </c>
      <c r="AP13" s="4">
        <v>0</v>
      </c>
      <c r="AQ13" s="4">
        <v>996</v>
      </c>
      <c r="AR13" s="3">
        <v>237091</v>
      </c>
      <c r="AS13" s="3">
        <v>458433</v>
      </c>
      <c r="AT13" s="1">
        <v>0.75</v>
      </c>
      <c r="AU13" s="16">
        <v>152300</v>
      </c>
      <c r="AV13" s="18">
        <v>610733</v>
      </c>
      <c r="AW13" s="7">
        <f t="shared" si="14"/>
        <v>0.75062752463023941</v>
      </c>
      <c r="AX13" s="1">
        <f t="shared" si="15"/>
        <v>0.35841849056789138</v>
      </c>
      <c r="AY13" s="2">
        <f t="shared" si="16"/>
        <v>3.6954330266566284E-3</v>
      </c>
      <c r="AZ13" s="1">
        <f t="shared" si="17"/>
        <v>0.60887642498157379</v>
      </c>
      <c r="BA13" s="8">
        <f t="shared" si="18"/>
        <v>0.75062752463023941</v>
      </c>
      <c r="BB13" s="5">
        <f t="shared" si="19"/>
        <v>458433</v>
      </c>
      <c r="BD13" s="6">
        <f t="shared" si="20"/>
        <v>0.36912672828672594</v>
      </c>
      <c r="BE13" s="6">
        <f t="shared" si="21"/>
        <v>3.805839092093634E-3</v>
      </c>
      <c r="BF13" s="6">
        <f t="shared" si="22"/>
        <v>0.62706743262118048</v>
      </c>
      <c r="BP13" t="s">
        <v>55</v>
      </c>
      <c r="BQ13" s="19">
        <v>1959</v>
      </c>
      <c r="BR13" s="12">
        <v>651622</v>
      </c>
      <c r="BS13" s="5">
        <v>241353</v>
      </c>
      <c r="BT13" s="5">
        <v>5430</v>
      </c>
      <c r="BU13" s="5">
        <v>15632</v>
      </c>
      <c r="BV13">
        <v>0</v>
      </c>
      <c r="BW13">
        <v>0</v>
      </c>
      <c r="BX13" s="5">
        <v>236907</v>
      </c>
      <c r="BY13" s="14">
        <v>152300</v>
      </c>
      <c r="BZ13" s="5">
        <f t="shared" si="30"/>
        <v>651622</v>
      </c>
      <c r="CA13" s="5"/>
      <c r="CB13" s="41">
        <v>0.76600000000000001</v>
      </c>
      <c r="CC13">
        <f t="shared" si="31"/>
        <v>1959</v>
      </c>
      <c r="CD13" s="6">
        <f t="shared" si="23"/>
        <v>6.6950696949403421E-2</v>
      </c>
      <c r="CE13" s="6">
        <f t="shared" si="32"/>
        <v>0</v>
      </c>
    </row>
    <row r="14" spans="1:83" x14ac:dyDescent="0.35">
      <c r="A14" t="str">
        <f t="shared" si="24"/>
        <v>Grant</v>
      </c>
      <c r="B14">
        <f t="shared" si="1"/>
        <v>1960</v>
      </c>
      <c r="C14" s="36">
        <f t="shared" si="2"/>
        <v>263700</v>
      </c>
      <c r="D14" s="31">
        <f t="shared" si="3"/>
        <v>416907</v>
      </c>
      <c r="E14" s="26">
        <f t="shared" si="4"/>
        <v>0.45805108198381522</v>
      </c>
      <c r="F14" s="26" t="str">
        <f t="shared" si="5"/>
        <v>Grant</v>
      </c>
      <c r="G14" s="5">
        <f t="shared" si="25"/>
        <v>144782</v>
      </c>
      <c r="H14" s="5">
        <f t="shared" si="6"/>
        <v>341713.55149719119</v>
      </c>
      <c r="I14" s="26">
        <f t="shared" si="7"/>
        <v>0.85874365455198176</v>
      </c>
      <c r="J14">
        <v>1960</v>
      </c>
      <c r="K14" s="5">
        <v>263700</v>
      </c>
      <c r="L14" s="31">
        <v>416907</v>
      </c>
      <c r="N14" t="str">
        <f t="shared" si="26"/>
        <v>Grant</v>
      </c>
      <c r="O14">
        <f t="shared" si="27"/>
        <v>1960</v>
      </c>
      <c r="P14" s="35">
        <f t="shared" si="28"/>
        <v>144782</v>
      </c>
      <c r="Q14" s="39">
        <f t="shared" si="29"/>
        <v>390714</v>
      </c>
      <c r="R14" s="5"/>
      <c r="S14" s="5">
        <f t="shared" si="8"/>
        <v>36508.696058182883</v>
      </c>
      <c r="T14" s="5">
        <f t="shared" si="9"/>
        <v>282123.33957777376</v>
      </c>
      <c r="U14" s="5">
        <f t="shared" si="10"/>
        <v>22474.353861125644</v>
      </c>
      <c r="V14" s="5">
        <f t="shared" si="11"/>
        <v>607.1620001088969</v>
      </c>
      <c r="W14" s="12">
        <f t="shared" si="12"/>
        <v>341713.55149719119</v>
      </c>
      <c r="X14" s="29"/>
      <c r="Y14" s="29"/>
      <c r="Z14" s="29"/>
      <c r="AA14" s="29"/>
      <c r="AB14" s="12">
        <f t="shared" si="13"/>
        <v>341713.55149719119</v>
      </c>
      <c r="AK14" t="s">
        <v>52</v>
      </c>
      <c r="AL14">
        <v>1960</v>
      </c>
      <c r="AM14" s="3">
        <v>146889</v>
      </c>
      <c r="AN14" s="4" t="s">
        <v>0</v>
      </c>
      <c r="AO14" s="3">
        <v>4618</v>
      </c>
      <c r="AP14" s="3">
        <v>21523</v>
      </c>
      <c r="AQ14" s="4">
        <v>185</v>
      </c>
      <c r="AR14" s="3">
        <v>77262</v>
      </c>
      <c r="AS14" s="3">
        <v>250476</v>
      </c>
      <c r="AT14" s="1">
        <v>0.49</v>
      </c>
      <c r="AU14" s="16">
        <v>263700</v>
      </c>
      <c r="AV14" s="18">
        <v>514176</v>
      </c>
      <c r="AW14" s="7">
        <f t="shared" si="14"/>
        <v>0.48714058999253174</v>
      </c>
      <c r="AX14" s="1">
        <f t="shared" si="15"/>
        <v>0.28567844473487675</v>
      </c>
      <c r="AY14" s="2">
        <f t="shared" si="16"/>
        <v>1.2573273761390957E-2</v>
      </c>
      <c r="AZ14" s="1">
        <f t="shared" si="17"/>
        <v>0.21314595954580065</v>
      </c>
      <c r="BA14" s="8">
        <f t="shared" si="18"/>
        <v>0.48714058999253174</v>
      </c>
      <c r="BB14" s="5">
        <f t="shared" si="19"/>
        <v>250476</v>
      </c>
      <c r="BD14" s="6">
        <f t="shared" si="20"/>
        <v>0.55862288195875698</v>
      </c>
      <c r="BE14" s="6">
        <f t="shared" si="21"/>
        <v>2.4586098649350262E-2</v>
      </c>
      <c r="BF14" s="6">
        <f t="shared" si="22"/>
        <v>0.41679101939189278</v>
      </c>
      <c r="BP14" t="s">
        <v>55</v>
      </c>
      <c r="BQ14" s="19">
        <v>1960</v>
      </c>
      <c r="BR14" s="12">
        <v>390714</v>
      </c>
      <c r="BS14" s="5">
        <v>141635</v>
      </c>
      <c r="BT14" s="5">
        <v>1189</v>
      </c>
      <c r="BU14" s="5">
        <v>4310</v>
      </c>
      <c r="BV14" s="5">
        <v>21523</v>
      </c>
      <c r="BW14">
        <v>185</v>
      </c>
      <c r="BX14" s="5">
        <v>77090</v>
      </c>
      <c r="BY14" s="14">
        <v>144782</v>
      </c>
      <c r="BZ14" s="5">
        <f t="shared" si="30"/>
        <v>390714</v>
      </c>
      <c r="CA14" s="5"/>
      <c r="CB14" s="41">
        <v>0.629</v>
      </c>
      <c r="CC14">
        <f t="shared" si="31"/>
        <v>1960</v>
      </c>
      <c r="CD14" s="6">
        <f t="shared" si="23"/>
        <v>-0.24011622479462286</v>
      </c>
      <c r="CE14" s="6">
        <f t="shared" si="32"/>
        <v>-0.45095942358740992</v>
      </c>
    </row>
    <row r="15" spans="1:83" x14ac:dyDescent="0.35">
      <c r="A15" t="str">
        <f t="shared" si="24"/>
        <v>Grant</v>
      </c>
      <c r="B15">
        <f t="shared" si="1"/>
        <v>1961</v>
      </c>
      <c r="C15" s="36">
        <f t="shared" si="2"/>
        <v>172700</v>
      </c>
      <c r="D15" s="31">
        <f t="shared" si="3"/>
        <v>288161</v>
      </c>
      <c r="E15" s="26">
        <f t="shared" si="4"/>
        <v>0.51196336656327257</v>
      </c>
      <c r="F15" s="26" t="str">
        <f t="shared" si="5"/>
        <v>Grant</v>
      </c>
      <c r="G15" s="5">
        <f t="shared" si="25"/>
        <v>103920</v>
      </c>
      <c r="H15" s="5">
        <f t="shared" si="6"/>
        <v>225157.1117145376</v>
      </c>
      <c r="I15" s="26">
        <f t="shared" si="7"/>
        <v>0.77317706044885048</v>
      </c>
      <c r="J15">
        <v>1961</v>
      </c>
      <c r="K15" s="5">
        <v>172700</v>
      </c>
      <c r="L15" s="31">
        <v>288161</v>
      </c>
      <c r="N15" t="str">
        <f t="shared" si="26"/>
        <v>Grant</v>
      </c>
      <c r="O15">
        <f t="shared" si="27"/>
        <v>1961</v>
      </c>
      <c r="P15" s="35">
        <f t="shared" si="28"/>
        <v>103920</v>
      </c>
      <c r="Q15" s="39">
        <f t="shared" si="29"/>
        <v>253644</v>
      </c>
      <c r="R15" s="5"/>
      <c r="S15" s="5">
        <f t="shared" si="8"/>
        <v>39910.749174995581</v>
      </c>
      <c r="T15" s="5">
        <f t="shared" si="9"/>
        <v>129439.7882001697</v>
      </c>
      <c r="U15" s="5">
        <f t="shared" si="10"/>
        <v>55339.365423015151</v>
      </c>
      <c r="V15" s="5">
        <f t="shared" si="11"/>
        <v>467.20891635718118</v>
      </c>
      <c r="W15" s="12">
        <f t="shared" si="12"/>
        <v>225157.1117145376</v>
      </c>
      <c r="X15" s="29"/>
      <c r="Y15" s="29"/>
      <c r="Z15" s="29"/>
      <c r="AA15" s="29"/>
      <c r="AB15" s="12">
        <f t="shared" si="13"/>
        <v>225157.1117145376</v>
      </c>
      <c r="AK15" t="s">
        <v>52</v>
      </c>
      <c r="AL15">
        <v>1961</v>
      </c>
      <c r="AM15" s="3">
        <v>65963</v>
      </c>
      <c r="AN15" s="4" t="s">
        <v>0</v>
      </c>
      <c r="AO15" s="3">
        <v>5894</v>
      </c>
      <c r="AP15" s="3">
        <v>15803</v>
      </c>
      <c r="AQ15" s="4">
        <v>20</v>
      </c>
      <c r="AR15" s="3">
        <v>57545</v>
      </c>
      <c r="AS15" s="3">
        <v>145224</v>
      </c>
      <c r="AT15" s="1">
        <v>0.46</v>
      </c>
      <c r="AU15" s="16">
        <v>172700</v>
      </c>
      <c r="AV15" s="18">
        <v>317924</v>
      </c>
      <c r="AW15" s="7">
        <f t="shared" si="14"/>
        <v>0.4567884148412828</v>
      </c>
      <c r="AX15" s="1">
        <f t="shared" si="15"/>
        <v>0.20748040412173979</v>
      </c>
      <c r="AY15" s="2">
        <f t="shared" si="16"/>
        <v>2.3392509158163367E-2</v>
      </c>
      <c r="AZ15" s="1">
        <f t="shared" si="17"/>
        <v>0.23387808020418863</v>
      </c>
      <c r="BA15" s="8">
        <f t="shared" si="18"/>
        <v>0.4567884148412828</v>
      </c>
      <c r="BB15" s="5">
        <f t="shared" si="19"/>
        <v>145224</v>
      </c>
      <c r="BD15" s="6">
        <f t="shared" si="20"/>
        <v>0.4464334816507321</v>
      </c>
      <c r="BE15" s="6">
        <f t="shared" si="21"/>
        <v>5.0333424750310045E-2</v>
      </c>
      <c r="BF15" s="6">
        <f t="shared" si="22"/>
        <v>0.50323309359895785</v>
      </c>
      <c r="BP15" t="s">
        <v>55</v>
      </c>
      <c r="BQ15" s="19">
        <v>1961</v>
      </c>
      <c r="BR15" s="12">
        <v>253644</v>
      </c>
      <c r="BS15" s="5">
        <v>69640</v>
      </c>
      <c r="BT15" s="5">
        <v>1131</v>
      </c>
      <c r="BU15" s="5">
        <v>5676</v>
      </c>
      <c r="BV15" s="5">
        <v>15803</v>
      </c>
      <c r="BW15">
        <v>20</v>
      </c>
      <c r="BX15" s="5">
        <v>57454</v>
      </c>
      <c r="BY15" s="14">
        <v>103920</v>
      </c>
      <c r="BZ15" s="5">
        <f t="shared" si="30"/>
        <v>253644</v>
      </c>
      <c r="CA15" s="5"/>
      <c r="CB15" s="41">
        <v>0.59</v>
      </c>
      <c r="CC15">
        <f t="shared" si="31"/>
        <v>1961</v>
      </c>
      <c r="CD15" s="6">
        <f t="shared" si="23"/>
        <v>-0.20218668612624402</v>
      </c>
      <c r="CE15" s="6">
        <f t="shared" si="32"/>
        <v>-0.39826288361320211</v>
      </c>
    </row>
    <row r="16" spans="1:83" x14ac:dyDescent="0.35">
      <c r="A16" t="str">
        <f t="shared" si="24"/>
        <v>Grant</v>
      </c>
      <c r="B16">
        <f t="shared" si="1"/>
        <v>1962</v>
      </c>
      <c r="C16" s="36">
        <f t="shared" si="2"/>
        <v>180200</v>
      </c>
      <c r="D16" s="31">
        <f t="shared" si="3"/>
        <v>423280</v>
      </c>
      <c r="E16" s="26">
        <f t="shared" si="4"/>
        <v>0.85396655342163885</v>
      </c>
      <c r="F16" s="26" t="str">
        <f t="shared" si="5"/>
        <v>Grant</v>
      </c>
      <c r="G16" s="5">
        <f t="shared" si="25"/>
        <v>130357</v>
      </c>
      <c r="H16" s="5">
        <f t="shared" si="6"/>
        <v>381286.83850328019</v>
      </c>
      <c r="I16" s="26">
        <f t="shared" si="7"/>
        <v>1.0732751083257228</v>
      </c>
      <c r="J16">
        <v>1962</v>
      </c>
      <c r="K16" s="5">
        <v>180200</v>
      </c>
      <c r="L16" s="31">
        <v>423280</v>
      </c>
      <c r="N16" t="str">
        <f t="shared" si="26"/>
        <v>Grant</v>
      </c>
      <c r="O16">
        <f t="shared" si="27"/>
        <v>1962</v>
      </c>
      <c r="P16" s="35">
        <f t="shared" si="28"/>
        <v>130357</v>
      </c>
      <c r="Q16" s="39">
        <f t="shared" si="29"/>
        <v>249239</v>
      </c>
      <c r="R16" s="5"/>
      <c r="S16" s="5">
        <f t="shared" si="8"/>
        <v>18311.27806672439</v>
      </c>
      <c r="T16" s="5">
        <f t="shared" si="9"/>
        <v>318723.99018674641</v>
      </c>
      <c r="U16" s="5">
        <f t="shared" si="10"/>
        <v>42583.437281226048</v>
      </c>
      <c r="V16" s="5">
        <f t="shared" si="11"/>
        <v>1668.1329685833684</v>
      </c>
      <c r="W16" s="12">
        <f t="shared" si="12"/>
        <v>381286.83850328019</v>
      </c>
      <c r="X16" s="29"/>
      <c r="Y16" s="29"/>
      <c r="Z16" s="29"/>
      <c r="AA16" s="29"/>
      <c r="AB16" s="12">
        <f t="shared" si="13"/>
        <v>381286.83850328019</v>
      </c>
      <c r="AK16" t="s">
        <v>52</v>
      </c>
      <c r="AL16">
        <v>1962</v>
      </c>
      <c r="AM16" s="3">
        <v>36568</v>
      </c>
      <c r="AN16" s="4" t="s">
        <v>0</v>
      </c>
      <c r="AO16" s="3">
        <v>8034</v>
      </c>
      <c r="AP16" s="3">
        <v>8741</v>
      </c>
      <c r="AQ16" s="4">
        <v>33</v>
      </c>
      <c r="AR16" s="3">
        <v>58870</v>
      </c>
      <c r="AS16" s="3">
        <v>112245</v>
      </c>
      <c r="AT16" s="1">
        <v>0.38</v>
      </c>
      <c r="AU16" s="16">
        <v>180200</v>
      </c>
      <c r="AV16" s="18">
        <v>292445</v>
      </c>
      <c r="AW16" s="7">
        <f t="shared" si="14"/>
        <v>0.38381576022841901</v>
      </c>
      <c r="AX16" s="1">
        <f t="shared" si="15"/>
        <v>0.1250423156490964</v>
      </c>
      <c r="AY16" s="2">
        <f t="shared" si="16"/>
        <v>3.139789820890506E-2</v>
      </c>
      <c r="AZ16" s="1">
        <f t="shared" si="17"/>
        <v>0.23756103466365361</v>
      </c>
      <c r="BA16" s="8">
        <f t="shared" si="18"/>
        <v>0.38381576022841901</v>
      </c>
      <c r="BB16" s="5">
        <f t="shared" si="19"/>
        <v>112244.99999999999</v>
      </c>
      <c r="BD16" s="6">
        <f t="shared" si="20"/>
        <v>0.31736527769460565</v>
      </c>
      <c r="BE16" s="6">
        <f t="shared" si="21"/>
        <v>7.968984445281363E-2</v>
      </c>
      <c r="BF16" s="6">
        <f t="shared" si="22"/>
        <v>0.60294487785258066</v>
      </c>
      <c r="BP16" t="s">
        <v>55</v>
      </c>
      <c r="BQ16" s="19">
        <v>1962</v>
      </c>
      <c r="BR16" s="12">
        <v>249239</v>
      </c>
      <c r="BS16" s="5">
        <v>42750</v>
      </c>
      <c r="BT16" s="5">
        <v>1338</v>
      </c>
      <c r="BU16" s="5">
        <v>7155</v>
      </c>
      <c r="BV16" s="5">
        <v>8741</v>
      </c>
      <c r="BW16">
        <v>33</v>
      </c>
      <c r="BX16" s="5">
        <v>58866</v>
      </c>
      <c r="BY16" s="14">
        <v>130357</v>
      </c>
      <c r="BZ16" s="5">
        <f t="shared" si="30"/>
        <v>249240</v>
      </c>
      <c r="CA16" s="5"/>
      <c r="CB16" s="41">
        <v>0.47699999999999998</v>
      </c>
      <c r="CC16">
        <f t="shared" si="31"/>
        <v>1962</v>
      </c>
      <c r="CD16" s="6">
        <f t="shared" si="23"/>
        <v>-0.14774060079673101</v>
      </c>
      <c r="CE16" s="6">
        <f t="shared" si="32"/>
        <v>-0.27659822419533853</v>
      </c>
    </row>
    <row r="17" spans="1:90" x14ac:dyDescent="0.35">
      <c r="A17" t="str">
        <f t="shared" si="24"/>
        <v>Grant</v>
      </c>
      <c r="B17">
        <f t="shared" si="1"/>
        <v>1963</v>
      </c>
      <c r="C17" s="36">
        <f t="shared" si="2"/>
        <v>214200</v>
      </c>
      <c r="D17" s="31">
        <f t="shared" si="3"/>
        <v>430785</v>
      </c>
      <c r="E17" s="26">
        <f t="shared" si="4"/>
        <v>0.69869896772088746</v>
      </c>
      <c r="F17" s="26" t="str">
        <f t="shared" si="5"/>
        <v>Grant</v>
      </c>
      <c r="G17" s="5">
        <f t="shared" si="25"/>
        <v>192245</v>
      </c>
      <c r="H17" s="5">
        <f t="shared" si="6"/>
        <v>443223.01796618348</v>
      </c>
      <c r="I17" s="26">
        <f t="shared" si="7"/>
        <v>0.83530246968352773</v>
      </c>
      <c r="J17">
        <v>1963</v>
      </c>
      <c r="K17" s="5">
        <v>214200</v>
      </c>
      <c r="L17" s="31">
        <v>430785</v>
      </c>
      <c r="N17" t="str">
        <f t="shared" si="26"/>
        <v>Grant</v>
      </c>
      <c r="O17">
        <f t="shared" si="27"/>
        <v>1963</v>
      </c>
      <c r="P17" s="35">
        <f t="shared" si="28"/>
        <v>192245</v>
      </c>
      <c r="Q17" s="39">
        <f t="shared" si="29"/>
        <v>339884</v>
      </c>
      <c r="R17" s="5"/>
      <c r="S17" s="5">
        <f t="shared" si="8"/>
        <v>45088.482390129539</v>
      </c>
      <c r="T17" s="5">
        <f t="shared" si="9"/>
        <v>245256.93315042596</v>
      </c>
      <c r="U17" s="5">
        <f t="shared" si="10"/>
        <v>152040.83902822854</v>
      </c>
      <c r="V17" s="5">
        <f t="shared" si="11"/>
        <v>836.76339739945081</v>
      </c>
      <c r="W17" s="12">
        <f t="shared" si="12"/>
        <v>443223.01796618348</v>
      </c>
      <c r="X17" s="29"/>
      <c r="Y17" s="29"/>
      <c r="Z17" s="29"/>
      <c r="AA17" s="29"/>
      <c r="AB17" s="12">
        <f t="shared" si="13"/>
        <v>443223.01796618348</v>
      </c>
      <c r="AK17" t="s">
        <v>52</v>
      </c>
      <c r="AL17">
        <v>1963</v>
      </c>
      <c r="AM17" s="3">
        <v>75293</v>
      </c>
      <c r="AN17" s="4" t="s">
        <v>0</v>
      </c>
      <c r="AO17" s="3">
        <v>9163</v>
      </c>
      <c r="AP17" s="3">
        <v>9807</v>
      </c>
      <c r="AQ17" s="4">
        <v>360</v>
      </c>
      <c r="AR17" s="3">
        <v>64548</v>
      </c>
      <c r="AS17" s="3">
        <v>159172</v>
      </c>
      <c r="AT17" s="1">
        <v>0.43</v>
      </c>
      <c r="AU17" s="16">
        <v>214200</v>
      </c>
      <c r="AV17" s="18">
        <v>373372</v>
      </c>
      <c r="AW17" s="7">
        <f t="shared" si="14"/>
        <v>0.42630941795314059</v>
      </c>
      <c r="AX17" s="1">
        <f t="shared" si="15"/>
        <v>0.2016567926893286</v>
      </c>
      <c r="AY17" s="2">
        <f t="shared" si="16"/>
        <v>3.0740172907182325E-2</v>
      </c>
      <c r="AZ17" s="1">
        <f t="shared" si="17"/>
        <v>0.22369314795048448</v>
      </c>
      <c r="BA17" s="8">
        <f t="shared" si="18"/>
        <v>0.42630941795314059</v>
      </c>
      <c r="BB17" s="5">
        <f t="shared" si="19"/>
        <v>159172</v>
      </c>
      <c r="BD17" s="6">
        <f t="shared" si="20"/>
        <v>0.44214243347888299</v>
      </c>
      <c r="BE17" s="6">
        <f t="shared" si="21"/>
        <v>6.7399340599859039E-2</v>
      </c>
      <c r="BF17" s="6">
        <f t="shared" si="22"/>
        <v>0.49045822592125804</v>
      </c>
      <c r="BP17" t="s">
        <v>55</v>
      </c>
      <c r="BQ17" s="19">
        <v>1963</v>
      </c>
      <c r="BR17" s="12">
        <v>339884</v>
      </c>
      <c r="BS17" s="5">
        <v>65476</v>
      </c>
      <c r="BT17">
        <v>0</v>
      </c>
      <c r="BU17" s="5">
        <v>7567</v>
      </c>
      <c r="BV17" s="5">
        <v>9807</v>
      </c>
      <c r="BW17">
        <v>360</v>
      </c>
      <c r="BX17" s="5">
        <v>64428</v>
      </c>
      <c r="BY17" s="14">
        <v>192245</v>
      </c>
      <c r="BZ17" s="5">
        <f t="shared" si="30"/>
        <v>339883</v>
      </c>
      <c r="CA17" s="5"/>
      <c r="CB17" s="41">
        <v>0.434</v>
      </c>
      <c r="CC17">
        <f t="shared" si="31"/>
        <v>1963</v>
      </c>
      <c r="CD17" s="6">
        <f t="shared" si="23"/>
        <v>-8.9690710604973051E-2</v>
      </c>
      <c r="CE17" s="6">
        <f t="shared" si="32"/>
        <v>-0.10249766573295985</v>
      </c>
    </row>
    <row r="18" spans="1:90" x14ac:dyDescent="0.35">
      <c r="A18" t="str">
        <f t="shared" si="24"/>
        <v>Grant</v>
      </c>
      <c r="B18">
        <f t="shared" si="1"/>
        <v>1964</v>
      </c>
      <c r="C18" s="36">
        <f t="shared" si="2"/>
        <v>325400</v>
      </c>
      <c r="D18" s="31">
        <f t="shared" si="3"/>
        <v>1165723</v>
      </c>
      <c r="E18" s="26">
        <f t="shared" si="4"/>
        <v>1.2760415795801567</v>
      </c>
      <c r="F18" s="26" t="str">
        <f t="shared" si="5"/>
        <v>Grant</v>
      </c>
      <c r="G18" s="5">
        <f t="shared" si="25"/>
        <v>246741</v>
      </c>
      <c r="H18" s="5">
        <f t="shared" si="6"/>
        <v>987701.82797867933</v>
      </c>
      <c r="I18" s="26">
        <f t="shared" si="7"/>
        <v>1.3870416551709261</v>
      </c>
      <c r="J18">
        <v>1964</v>
      </c>
      <c r="K18" s="5">
        <v>325400</v>
      </c>
      <c r="L18" s="31">
        <v>1165723</v>
      </c>
      <c r="N18" t="str">
        <f t="shared" si="26"/>
        <v>Grant</v>
      </c>
      <c r="O18">
        <f t="shared" si="27"/>
        <v>1964</v>
      </c>
      <c r="P18" s="35">
        <f t="shared" si="28"/>
        <v>246741</v>
      </c>
      <c r="Q18" s="39">
        <f t="shared" si="29"/>
        <v>371556</v>
      </c>
      <c r="R18" s="5"/>
      <c r="S18" s="5">
        <f t="shared" si="8"/>
        <v>34695.420651990811</v>
      </c>
      <c r="T18" s="5">
        <f t="shared" si="9"/>
        <v>875670.736662696</v>
      </c>
      <c r="U18" s="5">
        <f t="shared" si="10"/>
        <v>76266.227815618739</v>
      </c>
      <c r="V18" s="5">
        <f t="shared" si="11"/>
        <v>1069.4428483737418</v>
      </c>
      <c r="W18" s="12">
        <f t="shared" si="12"/>
        <v>987701.82797867933</v>
      </c>
      <c r="X18" s="29"/>
      <c r="Y18" s="29"/>
      <c r="Z18" s="29"/>
      <c r="AA18" s="29"/>
      <c r="AB18" s="12">
        <f t="shared" si="13"/>
        <v>987701.82797867933</v>
      </c>
      <c r="AK18" t="s">
        <v>52</v>
      </c>
      <c r="AL18">
        <v>1964</v>
      </c>
      <c r="AM18" s="3">
        <v>27470</v>
      </c>
      <c r="AN18" s="4" t="s">
        <v>0</v>
      </c>
      <c r="AO18" s="3">
        <v>9025</v>
      </c>
      <c r="AP18" s="3">
        <v>11350</v>
      </c>
      <c r="AQ18" s="4">
        <v>437</v>
      </c>
      <c r="AR18" s="3">
        <v>73031</v>
      </c>
      <c r="AS18" s="3">
        <v>121313</v>
      </c>
      <c r="AT18" s="1">
        <v>0.27</v>
      </c>
      <c r="AU18" s="16">
        <v>325400</v>
      </c>
      <c r="AV18" s="18">
        <v>446713</v>
      </c>
      <c r="AW18" s="7">
        <f t="shared" si="14"/>
        <v>0.27156809853306263</v>
      </c>
      <c r="AX18" s="1">
        <f t="shared" si="15"/>
        <v>6.1493621184071208E-2</v>
      </c>
      <c r="AY18" s="2">
        <f t="shared" si="16"/>
        <v>2.1526894903433094E-2</v>
      </c>
      <c r="AZ18" s="1">
        <f t="shared" si="17"/>
        <v>0.178219585583519</v>
      </c>
      <c r="BA18" s="8">
        <f t="shared" si="18"/>
        <v>0.27156809853306263</v>
      </c>
      <c r="BB18" s="5">
        <f t="shared" si="19"/>
        <v>121313.00000000001</v>
      </c>
      <c r="BD18" s="6">
        <f t="shared" si="20"/>
        <v>0.23539120062627072</v>
      </c>
      <c r="BE18" s="6">
        <f t="shared" si="21"/>
        <v>8.240271981880358E-2</v>
      </c>
      <c r="BF18" s="6">
        <f t="shared" si="22"/>
        <v>0.68220607955492574</v>
      </c>
      <c r="BP18" t="s">
        <v>55</v>
      </c>
      <c r="BQ18" s="19">
        <v>1964</v>
      </c>
      <c r="BR18" s="12">
        <v>371556</v>
      </c>
      <c r="BS18" s="5">
        <v>31979</v>
      </c>
      <c r="BT18">
        <v>0</v>
      </c>
      <c r="BU18" s="5">
        <v>8372</v>
      </c>
      <c r="BV18" s="5">
        <v>11350</v>
      </c>
      <c r="BW18">
        <v>437</v>
      </c>
      <c r="BX18" s="5">
        <v>72677</v>
      </c>
      <c r="BY18" s="14">
        <v>246741</v>
      </c>
      <c r="BZ18" s="5">
        <f t="shared" si="30"/>
        <v>371556</v>
      </c>
      <c r="CA18" s="5"/>
      <c r="CB18" s="41">
        <v>0.33600000000000002</v>
      </c>
      <c r="CC18">
        <f t="shared" si="31"/>
        <v>1964</v>
      </c>
      <c r="CD18" s="6">
        <f t="shared" si="23"/>
        <v>-0.16824448807175971</v>
      </c>
      <c r="CE18" s="6">
        <f t="shared" si="32"/>
        <v>-0.2417301782421635</v>
      </c>
    </row>
    <row r="19" spans="1:90" x14ac:dyDescent="0.35">
      <c r="A19" t="str">
        <f t="shared" si="24"/>
        <v>Grant</v>
      </c>
      <c r="B19">
        <f t="shared" si="1"/>
        <v>1965</v>
      </c>
      <c r="C19" s="36">
        <f t="shared" si="2"/>
        <v>184800</v>
      </c>
      <c r="D19" s="31">
        <f t="shared" si="3"/>
        <v>851349</v>
      </c>
      <c r="E19" s="26">
        <f t="shared" si="4"/>
        <v>1.5275479910533403</v>
      </c>
      <c r="F19" s="26" t="str">
        <f t="shared" si="5"/>
        <v>Grant</v>
      </c>
      <c r="G19" s="5">
        <f t="shared" si="25"/>
        <v>129459</v>
      </c>
      <c r="H19" s="5">
        <f t="shared" si="6"/>
        <v>661146.40932591667</v>
      </c>
      <c r="I19" s="26">
        <f t="shared" si="7"/>
        <v>1.6306110833419334</v>
      </c>
      <c r="J19">
        <v>1965</v>
      </c>
      <c r="K19" s="5">
        <v>184800</v>
      </c>
      <c r="L19" s="31">
        <v>851349</v>
      </c>
      <c r="N19" t="str">
        <f t="shared" si="26"/>
        <v>Grant</v>
      </c>
      <c r="O19">
        <f t="shared" si="27"/>
        <v>1965</v>
      </c>
      <c r="P19" s="35">
        <f t="shared" si="28"/>
        <v>129459</v>
      </c>
      <c r="Q19" s="39">
        <f t="shared" si="29"/>
        <v>170472</v>
      </c>
      <c r="R19" s="5"/>
      <c r="S19" s="5">
        <f t="shared" si="8"/>
        <v>123877.2913404921</v>
      </c>
      <c r="T19" s="5">
        <f t="shared" si="9"/>
        <v>439251.08754094964</v>
      </c>
      <c r="U19" s="5">
        <f t="shared" si="10"/>
        <v>97473.63730696273</v>
      </c>
      <c r="V19" s="5">
        <f t="shared" si="11"/>
        <v>544.39313751220311</v>
      </c>
      <c r="W19" s="12">
        <f t="shared" si="12"/>
        <v>661146.40932591667</v>
      </c>
      <c r="X19" s="29"/>
      <c r="Y19" s="29"/>
      <c r="Z19" s="29"/>
      <c r="AA19" s="29"/>
      <c r="AB19" s="12">
        <f t="shared" si="13"/>
        <v>661146.40932591667</v>
      </c>
      <c r="AK19" t="s">
        <v>52</v>
      </c>
      <c r="AL19">
        <v>1965</v>
      </c>
      <c r="AM19" s="3">
        <v>4270</v>
      </c>
      <c r="AN19" s="4" t="s">
        <v>0</v>
      </c>
      <c r="AO19" s="3">
        <v>8713</v>
      </c>
      <c r="AP19" s="3">
        <v>5595</v>
      </c>
      <c r="AQ19" s="4">
        <v>203</v>
      </c>
      <c r="AR19" s="3">
        <v>19329</v>
      </c>
      <c r="AS19" s="3">
        <v>38110</v>
      </c>
      <c r="AT19" s="1">
        <v>0.17</v>
      </c>
      <c r="AU19" s="16">
        <v>184800</v>
      </c>
      <c r="AV19" s="18">
        <v>222910</v>
      </c>
      <c r="AW19" s="7">
        <f t="shared" si="14"/>
        <v>0.17096586066125341</v>
      </c>
      <c r="AX19" s="1">
        <f t="shared" si="15"/>
        <v>1.9155713068054372E-2</v>
      </c>
      <c r="AY19" s="2">
        <f t="shared" si="16"/>
        <v>3.9850896450786683E-2</v>
      </c>
      <c r="AZ19" s="1">
        <f t="shared" si="17"/>
        <v>9.2163986954282767E-2</v>
      </c>
      <c r="BA19" s="8">
        <f t="shared" si="18"/>
        <v>0.17096586066125341</v>
      </c>
      <c r="BB19" s="5">
        <f t="shared" si="19"/>
        <v>38110</v>
      </c>
      <c r="BD19" s="6">
        <f t="shared" si="20"/>
        <v>0.12671586614702557</v>
      </c>
      <c r="BE19" s="6">
        <f t="shared" si="21"/>
        <v>0.26361539466354927</v>
      </c>
      <c r="BF19" s="6">
        <f t="shared" si="22"/>
        <v>0.60966873918942521</v>
      </c>
      <c r="BP19" t="s">
        <v>55</v>
      </c>
      <c r="BQ19" s="19">
        <v>1965</v>
      </c>
      <c r="BR19" s="12">
        <v>170472</v>
      </c>
      <c r="BS19" s="5">
        <v>8447</v>
      </c>
      <c r="BT19">
        <v>0</v>
      </c>
      <c r="BU19" s="5">
        <v>7566</v>
      </c>
      <c r="BV19" s="5">
        <v>5595</v>
      </c>
      <c r="BW19">
        <v>203</v>
      </c>
      <c r="BX19" s="5">
        <v>19202</v>
      </c>
      <c r="BY19" s="14">
        <v>129459</v>
      </c>
      <c r="BZ19" s="5">
        <f t="shared" si="30"/>
        <v>170472</v>
      </c>
      <c r="CA19" s="5"/>
      <c r="CB19" s="41">
        <v>0.24099999999999999</v>
      </c>
      <c r="CC19">
        <f t="shared" si="31"/>
        <v>1965</v>
      </c>
      <c r="CD19" s="6">
        <f t="shared" si="23"/>
        <v>-0.23524292315284195</v>
      </c>
      <c r="CE19" s="6">
        <f t="shared" si="32"/>
        <v>-0.29946428571428574</v>
      </c>
    </row>
    <row r="20" spans="1:90" x14ac:dyDescent="0.35">
      <c r="A20" t="str">
        <f t="shared" si="24"/>
        <v>Grant</v>
      </c>
      <c r="B20">
        <f t="shared" si="1"/>
        <v>1966</v>
      </c>
      <c r="C20" s="36">
        <f t="shared" si="2"/>
        <v>429700</v>
      </c>
      <c r="D20" s="31">
        <f t="shared" si="3"/>
        <v>719419</v>
      </c>
      <c r="E20" s="26">
        <f t="shared" si="4"/>
        <v>0.51535665102978301</v>
      </c>
      <c r="F20" s="26" t="str">
        <f t="shared" si="5"/>
        <v>Grant</v>
      </c>
      <c r="G20" s="5">
        <f t="shared" si="25"/>
        <v>360810</v>
      </c>
      <c r="H20" s="5">
        <f t="shared" si="6"/>
        <v>675103.6941361347</v>
      </c>
      <c r="I20" s="26">
        <f t="shared" si="7"/>
        <v>0.62651479602582794</v>
      </c>
      <c r="J20">
        <v>1966</v>
      </c>
      <c r="K20" s="5">
        <v>429700</v>
      </c>
      <c r="L20" s="31">
        <v>719419</v>
      </c>
      <c r="N20" t="str">
        <f t="shared" si="26"/>
        <v>Grant</v>
      </c>
      <c r="O20">
        <f t="shared" si="27"/>
        <v>1966</v>
      </c>
      <c r="P20" s="35">
        <f t="shared" si="28"/>
        <v>360810</v>
      </c>
      <c r="Q20" s="39">
        <f t="shared" si="29"/>
        <v>419759</v>
      </c>
      <c r="R20" s="5"/>
      <c r="S20" s="5">
        <f t="shared" si="8"/>
        <v>62138.921246032143</v>
      </c>
      <c r="T20" s="5">
        <f t="shared" si="9"/>
        <v>561393.98027087422</v>
      </c>
      <c r="U20" s="5">
        <f t="shared" si="10"/>
        <v>49618.340352601554</v>
      </c>
      <c r="V20" s="5">
        <f t="shared" si="11"/>
        <v>1952.4522666267815</v>
      </c>
      <c r="W20" s="12">
        <f t="shared" si="12"/>
        <v>675103.6941361347</v>
      </c>
      <c r="X20" s="29"/>
      <c r="Y20" s="29"/>
      <c r="Z20" s="29"/>
      <c r="AA20" s="29"/>
      <c r="AB20" s="12">
        <f t="shared" si="13"/>
        <v>675103.6941361347</v>
      </c>
      <c r="AK20" t="s">
        <v>52</v>
      </c>
      <c r="AL20">
        <v>1966</v>
      </c>
      <c r="AM20" s="3">
        <v>8860</v>
      </c>
      <c r="AN20" s="4" t="s">
        <v>0</v>
      </c>
      <c r="AO20" s="3">
        <v>8219</v>
      </c>
      <c r="AP20" s="3">
        <v>10083</v>
      </c>
      <c r="AQ20" s="4">
        <v>216</v>
      </c>
      <c r="AR20" s="3">
        <v>26054</v>
      </c>
      <c r="AS20" s="3">
        <v>53432</v>
      </c>
      <c r="AT20" s="1">
        <v>0.11</v>
      </c>
      <c r="AU20" s="16">
        <v>429700</v>
      </c>
      <c r="AV20" s="18">
        <v>483132</v>
      </c>
      <c r="AW20" s="7">
        <f t="shared" si="14"/>
        <v>0.11059503406936406</v>
      </c>
      <c r="AX20" s="1">
        <f t="shared" si="15"/>
        <v>1.8338673488818791E-2</v>
      </c>
      <c r="AY20" s="2">
        <f t="shared" si="16"/>
        <v>1.7329717967748466E-2</v>
      </c>
      <c r="AZ20" s="1">
        <f t="shared" si="17"/>
        <v>5.5929434544701256E-2</v>
      </c>
      <c r="BA20" s="8">
        <f t="shared" si="18"/>
        <v>0.11059503406936406</v>
      </c>
      <c r="BB20" s="5">
        <f t="shared" si="19"/>
        <v>53432</v>
      </c>
      <c r="BD20" s="6">
        <f t="shared" si="20"/>
        <v>0.20020861072144688</v>
      </c>
      <c r="BE20" s="6">
        <f t="shared" si="21"/>
        <v>0.18919355102934945</v>
      </c>
      <c r="BF20" s="6">
        <f t="shared" si="22"/>
        <v>0.61059783824920377</v>
      </c>
      <c r="BP20" t="s">
        <v>55</v>
      </c>
      <c r="BQ20" s="19">
        <v>1966</v>
      </c>
      <c r="BR20" s="12">
        <v>419759</v>
      </c>
      <c r="BS20" s="5">
        <v>15213</v>
      </c>
      <c r="BT20">
        <v>0</v>
      </c>
      <c r="BU20" s="5">
        <v>7402</v>
      </c>
      <c r="BV20" s="5">
        <v>10083</v>
      </c>
      <c r="BW20">
        <v>216</v>
      </c>
      <c r="BX20" s="5">
        <v>26035</v>
      </c>
      <c r="BY20" s="14">
        <v>360810</v>
      </c>
      <c r="BZ20" s="5">
        <f t="shared" si="30"/>
        <v>419759</v>
      </c>
      <c r="CA20" s="5"/>
      <c r="CB20" s="41">
        <v>0.14000000000000001</v>
      </c>
      <c r="CC20">
        <f t="shared" si="31"/>
        <v>1966</v>
      </c>
      <c r="CD20" s="6">
        <f t="shared" si="23"/>
        <v>-0.13117119131003535</v>
      </c>
      <c r="CE20" s="6">
        <f t="shared" si="32"/>
        <v>-0.16032115429369329</v>
      </c>
    </row>
    <row r="21" spans="1:90" x14ac:dyDescent="0.35">
      <c r="A21" t="str">
        <f t="shared" si="24"/>
        <v>Grant</v>
      </c>
      <c r="B21">
        <f t="shared" si="1"/>
        <v>1967</v>
      </c>
      <c r="C21" s="36">
        <f t="shared" si="2"/>
        <v>213873</v>
      </c>
      <c r="D21" s="31">
        <f t="shared" si="3"/>
        <v>526762</v>
      </c>
      <c r="E21" s="26">
        <f t="shared" si="4"/>
        <v>0.90136645271825699</v>
      </c>
      <c r="F21" s="26" t="str">
        <f t="shared" si="5"/>
        <v>Grant</v>
      </c>
      <c r="G21" s="5">
        <f t="shared" si="25"/>
        <v>213873</v>
      </c>
      <c r="H21" s="5">
        <f t="shared" si="6"/>
        <v>545326.67988816742</v>
      </c>
      <c r="I21" s="26">
        <f t="shared" si="7"/>
        <v>0.9360026468140249</v>
      </c>
      <c r="J21">
        <v>1967</v>
      </c>
      <c r="K21" s="5">
        <v>213873</v>
      </c>
      <c r="L21" s="31">
        <v>526762</v>
      </c>
      <c r="N21" t="str">
        <f t="shared" si="26"/>
        <v>Grant</v>
      </c>
      <c r="O21">
        <f t="shared" si="27"/>
        <v>1967</v>
      </c>
      <c r="P21" s="35">
        <f t="shared" si="28"/>
        <v>213873</v>
      </c>
      <c r="Q21" s="39">
        <f t="shared" si="29"/>
        <v>323003</v>
      </c>
      <c r="R21" s="5"/>
      <c r="S21" s="5">
        <f t="shared" si="8"/>
        <v>79417.939573789306</v>
      </c>
      <c r="T21" s="5">
        <f t="shared" si="9"/>
        <v>285774.06521991099</v>
      </c>
      <c r="U21" s="5">
        <f t="shared" si="10"/>
        <v>177954.92707790498</v>
      </c>
      <c r="V21" s="5">
        <f t="shared" si="11"/>
        <v>2179.7480165621305</v>
      </c>
      <c r="W21" s="12">
        <f t="shared" si="12"/>
        <v>545326.67988816742</v>
      </c>
      <c r="X21" s="29"/>
      <c r="Y21" s="29"/>
      <c r="Z21" s="29"/>
      <c r="AA21" s="29"/>
      <c r="AB21" s="12">
        <f t="shared" si="13"/>
        <v>545326.67988816742</v>
      </c>
      <c r="AK21" t="s">
        <v>52</v>
      </c>
      <c r="AL21">
        <v>1967</v>
      </c>
      <c r="AM21" s="3">
        <v>36432</v>
      </c>
      <c r="AN21" s="4" t="s">
        <v>0</v>
      </c>
      <c r="AO21" s="3">
        <v>11948</v>
      </c>
      <c r="AP21" s="3">
        <v>9206</v>
      </c>
      <c r="AQ21" s="4">
        <v>688</v>
      </c>
      <c r="AR21" s="3">
        <v>55457</v>
      </c>
      <c r="AS21" s="3">
        <v>113731</v>
      </c>
      <c r="AT21" s="1">
        <v>0.35</v>
      </c>
      <c r="AU21" s="16">
        <v>213873</v>
      </c>
      <c r="AV21" s="18">
        <v>327604</v>
      </c>
      <c r="AW21" s="7">
        <f t="shared" si="14"/>
        <v>0.34715998583655877</v>
      </c>
      <c r="AX21" s="1">
        <f t="shared" si="15"/>
        <v>0.11120743336467198</v>
      </c>
      <c r="AY21" s="2">
        <f t="shared" si="16"/>
        <v>4.1034165373044114E-2</v>
      </c>
      <c r="AZ21" s="1">
        <f t="shared" si="17"/>
        <v>0.19910173191257144</v>
      </c>
      <c r="BA21" s="8">
        <f t="shared" si="18"/>
        <v>0.34715998583655877</v>
      </c>
      <c r="BB21" s="5">
        <f t="shared" si="19"/>
        <v>113731</v>
      </c>
      <c r="BD21" s="6">
        <f t="shared" si="20"/>
        <v>0.3165206897732839</v>
      </c>
      <c r="BE21" s="6">
        <f t="shared" si="21"/>
        <v>0.11679221375028122</v>
      </c>
      <c r="BF21" s="6">
        <f t="shared" si="22"/>
        <v>0.56668709647643478</v>
      </c>
      <c r="BP21" t="s">
        <v>55</v>
      </c>
      <c r="BQ21" s="19">
        <v>1967</v>
      </c>
      <c r="BR21" s="12">
        <v>323003</v>
      </c>
      <c r="BS21" s="5">
        <v>35962</v>
      </c>
      <c r="BT21">
        <v>0</v>
      </c>
      <c r="BU21" s="5">
        <v>7824</v>
      </c>
      <c r="BV21" s="5">
        <v>9206</v>
      </c>
      <c r="BW21">
        <v>688</v>
      </c>
      <c r="BX21" s="5">
        <v>55450</v>
      </c>
      <c r="BY21" s="14">
        <v>213873</v>
      </c>
      <c r="BZ21" s="5">
        <f t="shared" si="30"/>
        <v>323003</v>
      </c>
      <c r="CA21" s="5"/>
      <c r="CB21" s="41">
        <v>0.33800000000000002</v>
      </c>
      <c r="CC21">
        <f t="shared" si="31"/>
        <v>1967</v>
      </c>
      <c r="CD21" s="6">
        <f t="shared" si="23"/>
        <v>-1.4044395062331351E-2</v>
      </c>
      <c r="CE21" s="6">
        <f t="shared" si="32"/>
        <v>0</v>
      </c>
    </row>
    <row r="22" spans="1:90" x14ac:dyDescent="0.35">
      <c r="A22" t="str">
        <f t="shared" si="24"/>
        <v>Grant</v>
      </c>
      <c r="B22">
        <f t="shared" si="1"/>
        <v>1968</v>
      </c>
      <c r="C22" s="36">
        <f t="shared" si="2"/>
        <v>822200</v>
      </c>
      <c r="D22" s="31">
        <f t="shared" si="3"/>
        <v>1219850</v>
      </c>
      <c r="E22" s="26">
        <f t="shared" si="4"/>
        <v>0.39449950488478053</v>
      </c>
      <c r="F22" s="26" t="str">
        <f t="shared" si="5"/>
        <v>Grant</v>
      </c>
      <c r="G22" s="5">
        <f t="shared" si="25"/>
        <v>670328</v>
      </c>
      <c r="H22" s="5">
        <f t="shared" si="6"/>
        <v>1265058.668922991</v>
      </c>
      <c r="I22" s="26">
        <f t="shared" si="7"/>
        <v>0.63510663384920163</v>
      </c>
      <c r="J22">
        <v>1968</v>
      </c>
      <c r="K22" s="5">
        <v>822200</v>
      </c>
      <c r="L22" s="31">
        <v>1219850</v>
      </c>
      <c r="N22" t="str">
        <f t="shared" si="26"/>
        <v>Grant</v>
      </c>
      <c r="O22">
        <f t="shared" si="27"/>
        <v>1968</v>
      </c>
      <c r="P22" s="35">
        <f t="shared" si="28"/>
        <v>670328</v>
      </c>
      <c r="Q22" s="39">
        <f t="shared" si="29"/>
        <v>1153257</v>
      </c>
      <c r="R22" s="5"/>
      <c r="S22" s="5">
        <f t="shared" si="8"/>
        <v>40427.20128997523</v>
      </c>
      <c r="T22" s="5">
        <f t="shared" si="9"/>
        <v>1024921.4821692305</v>
      </c>
      <c r="U22" s="5">
        <f t="shared" si="10"/>
        <v>198671.64281853853</v>
      </c>
      <c r="V22" s="5">
        <f t="shared" si="11"/>
        <v>1038.3426452468489</v>
      </c>
      <c r="W22" s="12">
        <f t="shared" si="12"/>
        <v>1265058.668922991</v>
      </c>
      <c r="X22" s="29"/>
      <c r="Y22" s="29"/>
      <c r="Z22" s="29"/>
      <c r="AA22" s="29"/>
      <c r="AB22" s="12">
        <f t="shared" si="13"/>
        <v>1265058.668922991</v>
      </c>
      <c r="AK22" t="s">
        <v>52</v>
      </c>
      <c r="AL22">
        <v>1968</v>
      </c>
      <c r="AM22" s="3">
        <v>298253</v>
      </c>
      <c r="AN22" s="4" t="s">
        <v>0</v>
      </c>
      <c r="AO22" s="3">
        <v>12960</v>
      </c>
      <c r="AP22" s="3">
        <v>77467</v>
      </c>
      <c r="AQ22" s="4">
        <v>863</v>
      </c>
      <c r="AR22" s="3">
        <v>214264</v>
      </c>
      <c r="AS22" s="3">
        <v>603807</v>
      </c>
      <c r="AT22" s="1">
        <v>0.42</v>
      </c>
      <c r="AU22" s="16">
        <v>822200</v>
      </c>
      <c r="AV22" s="18">
        <v>1426007</v>
      </c>
      <c r="AW22" s="7">
        <f t="shared" si="14"/>
        <v>0.42342499019990787</v>
      </c>
      <c r="AX22" s="1">
        <f t="shared" si="15"/>
        <v>0.20915254974204195</v>
      </c>
      <c r="AY22" s="2">
        <f t="shared" si="16"/>
        <v>1.1491867907362776E-2</v>
      </c>
      <c r="AZ22" s="1">
        <f t="shared" si="17"/>
        <v>0.19234943636544813</v>
      </c>
      <c r="BA22" s="8">
        <f t="shared" si="18"/>
        <v>0.42342499019990787</v>
      </c>
      <c r="BB22" s="5">
        <f t="shared" si="19"/>
        <v>603807</v>
      </c>
      <c r="BD22" s="6">
        <f t="shared" si="20"/>
        <v>0.50643017495006115</v>
      </c>
      <c r="BE22" s="6">
        <f t="shared" si="21"/>
        <v>2.7825760106709684E-2</v>
      </c>
      <c r="BF22" s="6">
        <f t="shared" si="22"/>
        <v>0.46574406494322912</v>
      </c>
      <c r="BP22" t="s">
        <v>55</v>
      </c>
      <c r="BQ22" s="19">
        <v>1968</v>
      </c>
      <c r="BR22" s="12">
        <v>1153257</v>
      </c>
      <c r="BS22" s="5">
        <v>179004</v>
      </c>
      <c r="BT22">
        <v>0</v>
      </c>
      <c r="BU22" s="5">
        <v>11578</v>
      </c>
      <c r="BV22" s="5">
        <v>77467</v>
      </c>
      <c r="BW22">
        <v>863</v>
      </c>
      <c r="BX22" s="5">
        <v>214017</v>
      </c>
      <c r="BY22" s="14">
        <v>670328</v>
      </c>
      <c r="BZ22" s="5">
        <f t="shared" si="30"/>
        <v>1153257</v>
      </c>
      <c r="CA22" s="5"/>
      <c r="CB22" s="41">
        <v>0.41899999999999998</v>
      </c>
      <c r="CC22">
        <f t="shared" si="31"/>
        <v>1968</v>
      </c>
      <c r="CD22" s="6">
        <f t="shared" si="23"/>
        <v>-0.19126834580755914</v>
      </c>
      <c r="CE22" s="6">
        <f t="shared" si="32"/>
        <v>-0.18471418146436391</v>
      </c>
    </row>
    <row r="23" spans="1:90" x14ac:dyDescent="0.35">
      <c r="A23" t="str">
        <f t="shared" si="24"/>
        <v>Grant</v>
      </c>
      <c r="B23">
        <f t="shared" si="1"/>
        <v>1969</v>
      </c>
      <c r="C23" s="36">
        <f t="shared" si="2"/>
        <v>390100</v>
      </c>
      <c r="D23" s="31">
        <f t="shared" si="3"/>
        <v>1312868</v>
      </c>
      <c r="E23" s="26">
        <f t="shared" si="4"/>
        <v>1.2135662196061554</v>
      </c>
      <c r="F23" s="26" t="str">
        <f t="shared" si="5"/>
        <v>Grant</v>
      </c>
      <c r="G23" s="5">
        <f t="shared" si="25"/>
        <v>309220</v>
      </c>
      <c r="H23" s="5">
        <f t="shared" si="6"/>
        <v>1384571.6850271896</v>
      </c>
      <c r="I23" s="26">
        <f t="shared" si="7"/>
        <v>1.4990931204305671</v>
      </c>
      <c r="J23">
        <v>1969</v>
      </c>
      <c r="K23" s="5">
        <v>390100</v>
      </c>
      <c r="L23" s="31">
        <v>1312868</v>
      </c>
      <c r="N23" t="str">
        <f t="shared" si="26"/>
        <v>Grant</v>
      </c>
      <c r="O23">
        <f t="shared" si="27"/>
        <v>1969</v>
      </c>
      <c r="P23" s="35">
        <f t="shared" si="28"/>
        <v>309220</v>
      </c>
      <c r="Q23" s="39">
        <f t="shared" si="29"/>
        <v>578493</v>
      </c>
      <c r="R23" s="5"/>
      <c r="S23" s="5">
        <f t="shared" si="8"/>
        <v>144991.1384862377</v>
      </c>
      <c r="T23" s="5">
        <f t="shared" si="9"/>
        <v>1144238.2515963193</v>
      </c>
      <c r="U23" s="5">
        <f t="shared" si="10"/>
        <v>94639.030554134923</v>
      </c>
      <c r="V23" s="5">
        <f t="shared" si="11"/>
        <v>703.26439049775126</v>
      </c>
      <c r="W23" s="12">
        <f t="shared" si="12"/>
        <v>1384571.6850271896</v>
      </c>
      <c r="X23" s="29"/>
      <c r="Y23" s="29"/>
      <c r="Z23" s="29"/>
      <c r="AA23" s="29"/>
      <c r="AB23" s="12">
        <f t="shared" si="13"/>
        <v>1384571.6850271896</v>
      </c>
      <c r="AK23" t="s">
        <v>52</v>
      </c>
      <c r="AL23">
        <v>1969</v>
      </c>
      <c r="AM23" s="3">
        <v>183798</v>
      </c>
      <c r="AN23" s="4" t="s">
        <v>0</v>
      </c>
      <c r="AO23" s="3">
        <v>6816</v>
      </c>
      <c r="AP23" s="3">
        <v>39026</v>
      </c>
      <c r="AQ23" s="4">
        <v>735</v>
      </c>
      <c r="AR23" s="3">
        <v>93245</v>
      </c>
      <c r="AS23" s="3">
        <v>323620</v>
      </c>
      <c r="AT23" s="1">
        <v>0.45</v>
      </c>
      <c r="AU23" s="16">
        <v>390100</v>
      </c>
      <c r="AV23" s="18">
        <v>713720</v>
      </c>
      <c r="AW23" s="7">
        <f t="shared" si="14"/>
        <v>0.45342711427450538</v>
      </c>
      <c r="AX23" s="1">
        <f t="shared" si="15"/>
        <v>0.25752115675615089</v>
      </c>
      <c r="AY23" s="2">
        <f t="shared" si="16"/>
        <v>1.2862270296383241E-2</v>
      </c>
      <c r="AZ23" s="1">
        <f t="shared" si="17"/>
        <v>0.17850340083963315</v>
      </c>
      <c r="BA23" s="8">
        <f t="shared" si="18"/>
        <v>0.45342711427450538</v>
      </c>
      <c r="BB23" s="5">
        <f t="shared" si="19"/>
        <v>323620</v>
      </c>
      <c r="BD23" s="6">
        <f t="shared" si="20"/>
        <v>0.57368837924113303</v>
      </c>
      <c r="BE23" s="6">
        <f t="shared" si="21"/>
        <v>2.8653704001029515E-2</v>
      </c>
      <c r="BF23" s="6">
        <f t="shared" si="22"/>
        <v>0.3976579167578374</v>
      </c>
      <c r="BP23" t="s">
        <v>55</v>
      </c>
      <c r="BQ23" s="19">
        <v>1969</v>
      </c>
      <c r="BR23" s="12">
        <v>578493</v>
      </c>
      <c r="BS23" s="5">
        <v>129729</v>
      </c>
      <c r="BT23">
        <v>0</v>
      </c>
      <c r="BU23" s="5">
        <v>6331</v>
      </c>
      <c r="BV23" s="5">
        <v>39026</v>
      </c>
      <c r="BW23">
        <v>735</v>
      </c>
      <c r="BX23" s="5">
        <v>93453</v>
      </c>
      <c r="BY23" s="14">
        <v>309220</v>
      </c>
      <c r="BZ23" s="5">
        <f t="shared" si="30"/>
        <v>578494</v>
      </c>
      <c r="CA23" s="5"/>
      <c r="CB23" s="41">
        <v>0.46500000000000002</v>
      </c>
      <c r="CC23">
        <f t="shared" si="31"/>
        <v>1969</v>
      </c>
      <c r="CD23" s="6">
        <f t="shared" si="23"/>
        <v>-0.18946785854396683</v>
      </c>
      <c r="CE23" s="6">
        <f t="shared" si="32"/>
        <v>-0.20733145347346835</v>
      </c>
    </row>
    <row r="24" spans="1:90" x14ac:dyDescent="0.35">
      <c r="A24" t="str">
        <f t="shared" si="24"/>
        <v>Grant</v>
      </c>
      <c r="B24">
        <f t="shared" si="1"/>
        <v>1970</v>
      </c>
      <c r="C24" s="36">
        <f t="shared" si="2"/>
        <v>287250</v>
      </c>
      <c r="D24" s="31">
        <f t="shared" si="3"/>
        <v>832641</v>
      </c>
      <c r="E24" s="26">
        <f t="shared" si="4"/>
        <v>1.064249660153731</v>
      </c>
      <c r="F24" s="26" t="str">
        <f t="shared" si="5"/>
        <v>Grant</v>
      </c>
      <c r="G24" s="5">
        <f t="shared" si="25"/>
        <v>284250</v>
      </c>
      <c r="H24" s="5">
        <f t="shared" si="6"/>
        <v>772488.96786137787</v>
      </c>
      <c r="I24" s="26">
        <f t="shared" si="7"/>
        <v>0.9997635949536845</v>
      </c>
      <c r="J24">
        <v>1970</v>
      </c>
      <c r="K24" s="5">
        <v>287250</v>
      </c>
      <c r="L24" s="31">
        <v>832641</v>
      </c>
      <c r="N24" t="str">
        <f t="shared" si="26"/>
        <v>Grant</v>
      </c>
      <c r="O24">
        <f t="shared" si="27"/>
        <v>1970</v>
      </c>
      <c r="P24" s="35">
        <f t="shared" si="28"/>
        <v>284250</v>
      </c>
      <c r="Q24" s="39">
        <f t="shared" si="29"/>
        <v>739355</v>
      </c>
      <c r="R24" s="5"/>
      <c r="S24" s="5">
        <f t="shared" si="8"/>
        <v>161870.3575685801</v>
      </c>
      <c r="T24" s="5">
        <f t="shared" si="9"/>
        <v>545068.22069691576</v>
      </c>
      <c r="U24" s="5">
        <f t="shared" si="10"/>
        <v>64098.552096094536</v>
      </c>
      <c r="V24" s="5">
        <f t="shared" si="11"/>
        <v>1451.8374997875023</v>
      </c>
      <c r="W24" s="12">
        <f t="shared" si="12"/>
        <v>772488.96786137787</v>
      </c>
      <c r="X24" s="29"/>
      <c r="Y24" s="29"/>
      <c r="Z24" s="29"/>
      <c r="AA24" s="29"/>
      <c r="AB24" s="12">
        <f t="shared" si="13"/>
        <v>772488.96786137787</v>
      </c>
      <c r="AK24" t="s">
        <v>52</v>
      </c>
      <c r="AL24">
        <v>1970</v>
      </c>
      <c r="AM24" s="3">
        <v>209072</v>
      </c>
      <c r="AN24" s="4" t="s">
        <v>0</v>
      </c>
      <c r="AO24" s="3">
        <v>11867</v>
      </c>
      <c r="AP24" s="3">
        <v>61134</v>
      </c>
      <c r="AQ24" s="4">
        <v>332</v>
      </c>
      <c r="AR24" s="3">
        <v>184381</v>
      </c>
      <c r="AS24" s="3">
        <v>468787</v>
      </c>
      <c r="AT24" s="1">
        <v>0.62</v>
      </c>
      <c r="AU24" s="16">
        <v>287250</v>
      </c>
      <c r="AV24" s="18">
        <v>754037</v>
      </c>
      <c r="AW24" s="7">
        <f t="shared" si="14"/>
        <v>0.62170291378274545</v>
      </c>
      <c r="AX24" s="1">
        <f t="shared" si="15"/>
        <v>0.27727021353063575</v>
      </c>
      <c r="AY24" s="2">
        <f t="shared" si="16"/>
        <v>2.17757103667208E-2</v>
      </c>
      <c r="AZ24" s="1">
        <f t="shared" si="17"/>
        <v>0.34608252028094888</v>
      </c>
      <c r="BA24" s="8">
        <f t="shared" si="18"/>
        <v>0.62170291378274545</v>
      </c>
      <c r="BB24" s="5">
        <f t="shared" si="19"/>
        <v>472073.85013146373</v>
      </c>
      <c r="BD24" s="6">
        <f t="shared" si="20"/>
        <v>0.42979071227248777</v>
      </c>
      <c r="BE24" s="6">
        <f t="shared" si="21"/>
        <v>3.3754069539526095E-2</v>
      </c>
      <c r="BF24" s="6">
        <f t="shared" si="22"/>
        <v>0.53645521818798614</v>
      </c>
      <c r="BP24" t="s">
        <v>55</v>
      </c>
      <c r="BQ24" s="19">
        <v>1970</v>
      </c>
      <c r="BR24" s="12">
        <v>739355</v>
      </c>
      <c r="BS24" s="5">
        <v>197753</v>
      </c>
      <c r="BT24">
        <v>675</v>
      </c>
      <c r="BU24" s="5">
        <v>10345</v>
      </c>
      <c r="BV24" s="5">
        <v>61134</v>
      </c>
      <c r="BW24">
        <v>0</v>
      </c>
      <c r="BX24" s="5">
        <v>185198</v>
      </c>
      <c r="BY24" s="14">
        <v>284250</v>
      </c>
      <c r="BZ24" s="5">
        <f t="shared" si="30"/>
        <v>739355</v>
      </c>
      <c r="CA24" s="5"/>
      <c r="CB24" s="41">
        <v>0.61599999999999999</v>
      </c>
      <c r="CC24">
        <f t="shared" si="31"/>
        <v>1970</v>
      </c>
      <c r="CD24" s="6">
        <f t="shared" si="23"/>
        <v>-1.9471193058165581E-2</v>
      </c>
      <c r="CE24" s="6">
        <f t="shared" si="32"/>
        <v>-1.0443864229765013E-2</v>
      </c>
    </row>
    <row r="25" spans="1:90" x14ac:dyDescent="0.35">
      <c r="A25" t="str">
        <f t="shared" si="24"/>
        <v>Grant</v>
      </c>
      <c r="B25">
        <f t="shared" si="1"/>
        <v>1971</v>
      </c>
      <c r="C25" s="36">
        <f t="shared" si="2"/>
        <v>290150</v>
      </c>
      <c r="D25" s="31">
        <f t="shared" si="3"/>
        <v>589068</v>
      </c>
      <c r="E25" s="26">
        <f t="shared" si="4"/>
        <v>0.70814359626625123</v>
      </c>
      <c r="F25" s="26" t="str">
        <f t="shared" si="5"/>
        <v>Grant</v>
      </c>
      <c r="G25" s="5">
        <f t="shared" si="25"/>
        <v>290125</v>
      </c>
      <c r="H25" s="5">
        <f t="shared" si="6"/>
        <v>579652.29497526027</v>
      </c>
      <c r="I25" s="26">
        <f t="shared" si="7"/>
        <v>0.69211656775706698</v>
      </c>
      <c r="J25">
        <v>1971</v>
      </c>
      <c r="K25" s="5">
        <v>290150</v>
      </c>
      <c r="L25" s="31">
        <v>589068</v>
      </c>
      <c r="N25" t="str">
        <f t="shared" si="26"/>
        <v>Grant</v>
      </c>
      <c r="O25">
        <f t="shared" si="27"/>
        <v>1971</v>
      </c>
      <c r="P25" s="35">
        <f t="shared" si="28"/>
        <v>290125</v>
      </c>
      <c r="Q25" s="39">
        <f t="shared" si="29"/>
        <v>376364</v>
      </c>
      <c r="R25" s="5"/>
      <c r="S25" s="5">
        <f t="shared" si="8"/>
        <v>77108.40610370248</v>
      </c>
      <c r="T25" s="5">
        <f t="shared" si="9"/>
        <v>369172.03753774404</v>
      </c>
      <c r="U25" s="5">
        <f t="shared" si="10"/>
        <v>132326.7363918811</v>
      </c>
      <c r="V25" s="5">
        <f t="shared" si="11"/>
        <v>1045.1149419325898</v>
      </c>
      <c r="W25" s="12">
        <f t="shared" si="12"/>
        <v>579652.29497526027</v>
      </c>
      <c r="X25" s="29"/>
      <c r="Y25" s="29"/>
      <c r="Z25" s="29"/>
      <c r="AA25" s="29"/>
      <c r="AB25" s="12">
        <f t="shared" si="13"/>
        <v>579652.29497526027</v>
      </c>
      <c r="AK25" t="s">
        <v>52</v>
      </c>
      <c r="AL25">
        <v>1971</v>
      </c>
      <c r="AM25" s="3">
        <v>40206</v>
      </c>
      <c r="AN25" s="4" t="s">
        <v>0</v>
      </c>
      <c r="AO25" s="3">
        <v>9162</v>
      </c>
      <c r="AP25" s="3">
        <v>19848</v>
      </c>
      <c r="AQ25" s="4">
        <v>193</v>
      </c>
      <c r="AR25" s="3">
        <v>25716</v>
      </c>
      <c r="AS25" s="3">
        <v>95125</v>
      </c>
      <c r="AT25" s="1">
        <v>0.25</v>
      </c>
      <c r="AU25" s="16">
        <v>290150</v>
      </c>
      <c r="AV25" s="18">
        <v>385275</v>
      </c>
      <c r="AW25" s="7">
        <f t="shared" si="14"/>
        <v>0.24690156381805203</v>
      </c>
      <c r="AX25" s="1">
        <f t="shared" si="15"/>
        <v>0.10435662838232432</v>
      </c>
      <c r="AY25" s="2">
        <f t="shared" si="16"/>
        <v>2.6551211496831068E-2</v>
      </c>
      <c r="AZ25" s="1">
        <f t="shared" si="17"/>
        <v>7.6600916256098939E-2</v>
      </c>
      <c r="BA25" s="8">
        <f t="shared" si="18"/>
        <v>0.24690156381805203</v>
      </c>
      <c r="BB25" s="5">
        <f t="shared" si="19"/>
        <v>95125</v>
      </c>
      <c r="BD25" s="6">
        <f t="shared" si="20"/>
        <v>0.50290228868368625</v>
      </c>
      <c r="BE25" s="6">
        <f t="shared" si="21"/>
        <v>0.12795224640797795</v>
      </c>
      <c r="BF25" s="6">
        <f t="shared" si="22"/>
        <v>0.36914546490833583</v>
      </c>
      <c r="BP25" t="s">
        <v>55</v>
      </c>
      <c r="BQ25" s="19">
        <v>1971</v>
      </c>
      <c r="BR25" s="12">
        <v>376364</v>
      </c>
      <c r="BS25" s="5">
        <v>33093</v>
      </c>
      <c r="BT25">
        <v>0</v>
      </c>
      <c r="BU25" s="5">
        <v>7502</v>
      </c>
      <c r="BV25" s="5">
        <v>19850</v>
      </c>
      <c r="BW25">
        <v>0</v>
      </c>
      <c r="BX25" s="5">
        <v>25794</v>
      </c>
      <c r="BY25" s="14">
        <v>290125</v>
      </c>
      <c r="BZ25" s="5">
        <f t="shared" si="30"/>
        <v>376364</v>
      </c>
      <c r="CA25" s="5"/>
      <c r="CB25" s="41">
        <v>0.22900000000000001</v>
      </c>
      <c r="CC25">
        <f t="shared" si="31"/>
        <v>1971</v>
      </c>
      <c r="CD25" s="6">
        <f t="shared" si="23"/>
        <v>-2.3128933878398546E-2</v>
      </c>
      <c r="CE25" s="6">
        <f t="shared" si="32"/>
        <v>-8.6162329829398581E-5</v>
      </c>
    </row>
    <row r="26" spans="1:90" x14ac:dyDescent="0.35">
      <c r="A26" t="str">
        <f t="shared" si="24"/>
        <v>Grant</v>
      </c>
      <c r="B26">
        <f t="shared" si="1"/>
        <v>1972</v>
      </c>
      <c r="C26" s="36">
        <f t="shared" si="2"/>
        <v>423290</v>
      </c>
      <c r="D26" s="31">
        <f t="shared" si="3"/>
        <v>965520</v>
      </c>
      <c r="E26" s="26">
        <f t="shared" si="4"/>
        <v>0.8246092929692076</v>
      </c>
      <c r="F26" s="26" t="str">
        <f t="shared" si="5"/>
        <v>Grant</v>
      </c>
      <c r="G26" s="5">
        <f t="shared" si="25"/>
        <v>423290</v>
      </c>
      <c r="H26" s="5">
        <f t="shared" si="6"/>
        <v>911324.26470989024</v>
      </c>
      <c r="I26" s="26">
        <f t="shared" si="7"/>
        <v>0.76684125428570438</v>
      </c>
      <c r="J26">
        <v>1972</v>
      </c>
      <c r="K26" s="5">
        <v>423290</v>
      </c>
      <c r="L26" s="31">
        <v>965520</v>
      </c>
      <c r="N26" t="str">
        <f t="shared" si="26"/>
        <v>Grant</v>
      </c>
      <c r="O26">
        <f t="shared" si="27"/>
        <v>1972</v>
      </c>
      <c r="P26" s="35">
        <f t="shared" si="28"/>
        <v>423290</v>
      </c>
      <c r="Q26" s="39">
        <f t="shared" si="29"/>
        <v>1349820</v>
      </c>
      <c r="R26" s="5"/>
      <c r="S26" s="5">
        <f t="shared" si="8"/>
        <v>52225.145975663632</v>
      </c>
      <c r="T26" s="5">
        <f t="shared" si="9"/>
        <v>762128.46151773154</v>
      </c>
      <c r="U26" s="5">
        <f t="shared" si="10"/>
        <v>95256.286905780886</v>
      </c>
      <c r="V26" s="5">
        <f t="shared" si="11"/>
        <v>1714.3703107141648</v>
      </c>
      <c r="W26" s="12">
        <f t="shared" si="12"/>
        <v>911324.26470989024</v>
      </c>
      <c r="X26" s="29"/>
      <c r="Y26" s="29"/>
      <c r="Z26" s="29"/>
      <c r="AA26" s="29"/>
      <c r="AB26" s="12">
        <f t="shared" si="13"/>
        <v>911324.26470989024</v>
      </c>
      <c r="AK26" t="s">
        <v>52</v>
      </c>
      <c r="AL26">
        <v>1972</v>
      </c>
      <c r="AM26" s="3">
        <v>444705</v>
      </c>
      <c r="AN26" s="4" t="s">
        <v>0</v>
      </c>
      <c r="AO26" s="3">
        <v>40334</v>
      </c>
      <c r="AP26" s="3">
        <v>252043</v>
      </c>
      <c r="AQ26" s="4">
        <v>600</v>
      </c>
      <c r="AR26" s="3">
        <v>262836</v>
      </c>
      <c r="AS26" s="3">
        <v>1000517</v>
      </c>
      <c r="AT26" s="1">
        <v>0.7</v>
      </c>
      <c r="AU26" s="16">
        <v>423290</v>
      </c>
      <c r="AV26" s="18">
        <v>1423807</v>
      </c>
      <c r="AW26" s="7">
        <f t="shared" si="14"/>
        <v>0.70270549309000452</v>
      </c>
      <c r="AX26" s="1">
        <f t="shared" si="15"/>
        <v>0.31233516902220598</v>
      </c>
      <c r="AY26" s="2">
        <f t="shared" si="16"/>
        <v>4.1194890828534718E-2</v>
      </c>
      <c r="AZ26" s="1">
        <f t="shared" si="17"/>
        <v>0.28015877753238227</v>
      </c>
      <c r="BA26" s="8">
        <f t="shared" si="18"/>
        <v>0.70270549309000452</v>
      </c>
      <c r="BB26" s="5">
        <f t="shared" si="19"/>
        <v>1000517.0000000001</v>
      </c>
      <c r="BD26" s="6">
        <f t="shared" si="20"/>
        <v>0.4928841263987277</v>
      </c>
      <c r="BE26" s="6">
        <f t="shared" si="21"/>
        <v>6.5008073992044502E-2</v>
      </c>
      <c r="BF26" s="6">
        <f t="shared" si="22"/>
        <v>0.4421077996092278</v>
      </c>
      <c r="BP26" t="s">
        <v>55</v>
      </c>
      <c r="BQ26" s="19">
        <v>1972</v>
      </c>
      <c r="BR26" s="12">
        <v>1349820</v>
      </c>
      <c r="BS26" s="5">
        <v>358496</v>
      </c>
      <c r="BT26" s="5">
        <v>15952</v>
      </c>
      <c r="BU26" s="5">
        <v>37276</v>
      </c>
      <c r="BV26" s="5">
        <v>252043</v>
      </c>
      <c r="BW26">
        <v>0</v>
      </c>
      <c r="BX26" s="5">
        <v>262763</v>
      </c>
      <c r="BY26" s="14">
        <v>423290</v>
      </c>
      <c r="BZ26" s="5">
        <f t="shared" si="30"/>
        <v>1349820</v>
      </c>
      <c r="CA26" s="5"/>
      <c r="CB26" s="41">
        <v>0.68600000000000005</v>
      </c>
      <c r="CC26">
        <f t="shared" si="31"/>
        <v>1972</v>
      </c>
      <c r="CD26" s="6">
        <f t="shared" si="23"/>
        <v>-5.1964205822839754E-2</v>
      </c>
      <c r="CE26" s="6">
        <f t="shared" si="32"/>
        <v>0</v>
      </c>
    </row>
    <row r="27" spans="1:90" x14ac:dyDescent="0.35">
      <c r="A27" t="str">
        <f t="shared" si="24"/>
        <v>Grant</v>
      </c>
      <c r="B27">
        <f t="shared" si="1"/>
        <v>1973</v>
      </c>
      <c r="C27" s="36">
        <f t="shared" si="2"/>
        <v>267105</v>
      </c>
      <c r="D27" s="31">
        <f t="shared" si="3"/>
        <v>826929</v>
      </c>
      <c r="E27" s="26">
        <f t="shared" si="4"/>
        <v>1.1300769993379298</v>
      </c>
      <c r="F27" s="26" t="str">
        <f t="shared" si="5"/>
        <v>Grant</v>
      </c>
      <c r="G27" s="5">
        <f t="shared" si="25"/>
        <v>267080</v>
      </c>
      <c r="H27" s="5">
        <f t="shared" si="6"/>
        <v>813139.91537652921</v>
      </c>
      <c r="I27" s="26">
        <f t="shared" si="7"/>
        <v>1.1133549533851508</v>
      </c>
      <c r="J27">
        <v>1973</v>
      </c>
      <c r="K27" s="5">
        <v>267105</v>
      </c>
      <c r="L27" s="31">
        <v>826929</v>
      </c>
      <c r="N27" t="str">
        <f t="shared" si="26"/>
        <v>Grant</v>
      </c>
      <c r="O27">
        <f t="shared" si="27"/>
        <v>1973</v>
      </c>
      <c r="P27" s="35">
        <f t="shared" si="28"/>
        <v>267080</v>
      </c>
      <c r="Q27" s="39">
        <f t="shared" si="29"/>
        <v>1506960</v>
      </c>
      <c r="R27" s="5"/>
      <c r="S27" s="5">
        <f t="shared" si="8"/>
        <v>107814.96459059985</v>
      </c>
      <c r="T27" s="5">
        <f t="shared" si="9"/>
        <v>548623.27424443781</v>
      </c>
      <c r="U27" s="5">
        <f t="shared" si="10"/>
        <v>156255.10996729622</v>
      </c>
      <c r="V27" s="5">
        <f t="shared" si="11"/>
        <v>446.56657419524049</v>
      </c>
      <c r="W27" s="12">
        <f t="shared" si="12"/>
        <v>813139.91537652921</v>
      </c>
      <c r="X27" s="29"/>
      <c r="Y27" s="29"/>
      <c r="Z27" s="29"/>
      <c r="AA27" s="29"/>
      <c r="AB27" s="12">
        <f t="shared" si="13"/>
        <v>813139.91537652921</v>
      </c>
      <c r="AK27" t="s">
        <v>52</v>
      </c>
      <c r="AL27">
        <v>1973</v>
      </c>
      <c r="AM27" s="3">
        <v>590246</v>
      </c>
      <c r="AN27" s="4" t="s">
        <v>0</v>
      </c>
      <c r="AO27" s="3">
        <v>80727</v>
      </c>
      <c r="AP27" s="3">
        <v>200744</v>
      </c>
      <c r="AQ27" s="4">
        <v>643</v>
      </c>
      <c r="AR27" s="3">
        <v>201278</v>
      </c>
      <c r="AS27" s="3">
        <v>1073638</v>
      </c>
      <c r="AT27" s="1">
        <v>0.8</v>
      </c>
      <c r="AU27" s="16">
        <v>267105</v>
      </c>
      <c r="AV27" s="18">
        <v>1340743</v>
      </c>
      <c r="AW27" s="7">
        <f t="shared" si="14"/>
        <v>0.80077837437898236</v>
      </c>
      <c r="AX27" s="1">
        <f t="shared" si="15"/>
        <v>0.44023798744427528</v>
      </c>
      <c r="AY27" s="2">
        <f t="shared" si="16"/>
        <v>0.10756472044525162</v>
      </c>
      <c r="AZ27" s="1">
        <f t="shared" si="17"/>
        <v>0.30080687223800562</v>
      </c>
      <c r="BA27" s="8">
        <f t="shared" si="18"/>
        <v>0.80077837437898236</v>
      </c>
      <c r="BB27" s="5">
        <f t="shared" si="19"/>
        <v>1073637.9999999998</v>
      </c>
      <c r="BD27" s="6">
        <f t="shared" si="20"/>
        <v>0.51877565108104784</v>
      </c>
      <c r="BE27" s="6">
        <f t="shared" si="21"/>
        <v>0.12675407273753184</v>
      </c>
      <c r="BF27" s="6">
        <f t="shared" si="22"/>
        <v>0.35447027618142035</v>
      </c>
      <c r="BP27" t="s">
        <v>55</v>
      </c>
      <c r="BQ27" s="19">
        <v>1973</v>
      </c>
      <c r="BR27" s="12">
        <v>1506960</v>
      </c>
      <c r="BS27" s="5">
        <v>742948</v>
      </c>
      <c r="BT27" s="5">
        <v>17553</v>
      </c>
      <c r="BU27" s="5">
        <v>77828</v>
      </c>
      <c r="BV27" s="5">
        <v>200744</v>
      </c>
      <c r="BW27">
        <v>0</v>
      </c>
      <c r="BX27" s="5">
        <v>200807</v>
      </c>
      <c r="BY27" s="14">
        <v>267080</v>
      </c>
      <c r="BZ27" s="5">
        <f t="shared" si="30"/>
        <v>1506960</v>
      </c>
      <c r="CA27" s="5"/>
      <c r="CB27" s="41">
        <v>0.82299999999999995</v>
      </c>
      <c r="CC27">
        <f t="shared" si="31"/>
        <v>1973</v>
      </c>
      <c r="CD27" s="6">
        <f t="shared" si="23"/>
        <v>0.1239737966187405</v>
      </c>
      <c r="CE27" s="6">
        <f t="shared" si="32"/>
        <v>-9.3596151326257463E-5</v>
      </c>
    </row>
    <row r="28" spans="1:90" x14ac:dyDescent="0.35">
      <c r="A28" t="str">
        <f t="shared" si="24"/>
        <v>Grant</v>
      </c>
      <c r="B28">
        <f t="shared" si="1"/>
        <v>1974</v>
      </c>
      <c r="C28" s="36">
        <f t="shared" si="2"/>
        <v>350390</v>
      </c>
      <c r="D28" s="31">
        <f t="shared" si="3"/>
        <v>1107885</v>
      </c>
      <c r="E28" s="26">
        <f t="shared" si="4"/>
        <v>1.151161251464681</v>
      </c>
      <c r="F28" s="26" t="str">
        <f t="shared" si="5"/>
        <v>Grant</v>
      </c>
      <c r="G28" s="5">
        <f t="shared" si="25"/>
        <v>350315</v>
      </c>
      <c r="H28" s="5">
        <f t="shared" si="6"/>
        <v>1019571.2613318693</v>
      </c>
      <c r="I28" s="26">
        <f t="shared" si="7"/>
        <v>1.068304736160173</v>
      </c>
      <c r="J28">
        <v>1974</v>
      </c>
      <c r="K28" s="5">
        <v>350390</v>
      </c>
      <c r="L28" s="31">
        <v>1107885</v>
      </c>
      <c r="N28" t="str">
        <f t="shared" si="26"/>
        <v>Grant</v>
      </c>
      <c r="O28">
        <f t="shared" si="27"/>
        <v>1974</v>
      </c>
      <c r="P28" s="35">
        <f t="shared" si="28"/>
        <v>350315</v>
      </c>
      <c r="Q28" s="39">
        <f t="shared" si="29"/>
        <v>717854</v>
      </c>
      <c r="R28" s="5"/>
      <c r="S28" s="5">
        <f t="shared" si="8"/>
        <v>77611.323907848637</v>
      </c>
      <c r="T28" s="5">
        <f t="shared" si="9"/>
        <v>899942.59520607325</v>
      </c>
      <c r="U28" s="5">
        <f t="shared" si="10"/>
        <v>40702.005116693901</v>
      </c>
      <c r="V28" s="5">
        <f t="shared" si="11"/>
        <v>1315.3371012533994</v>
      </c>
      <c r="W28" s="12">
        <f t="shared" si="12"/>
        <v>1019571.2613318693</v>
      </c>
      <c r="X28" s="29"/>
      <c r="Y28" s="29"/>
      <c r="Z28" s="29"/>
      <c r="AA28" s="29"/>
      <c r="AB28" s="12">
        <f t="shared" si="13"/>
        <v>1019571.2613318693</v>
      </c>
      <c r="AK28" t="s">
        <v>52</v>
      </c>
      <c r="AL28">
        <v>1974</v>
      </c>
      <c r="AM28" s="3">
        <v>101667</v>
      </c>
      <c r="AN28" s="4" t="s">
        <v>0</v>
      </c>
      <c r="AO28" s="3">
        <v>28013</v>
      </c>
      <c r="AP28" s="3">
        <v>145411</v>
      </c>
      <c r="AQ28" s="3">
        <v>1279</v>
      </c>
      <c r="AR28" s="3">
        <v>108257</v>
      </c>
      <c r="AS28" s="3">
        <v>384627</v>
      </c>
      <c r="AT28" s="1">
        <v>0.52</v>
      </c>
      <c r="AU28" s="16">
        <v>350390</v>
      </c>
      <c r="AV28" s="18">
        <v>735017</v>
      </c>
      <c r="AW28" s="7">
        <f t="shared" si="14"/>
        <v>0.52328993751164943</v>
      </c>
      <c r="AX28" s="1">
        <f t="shared" si="15"/>
        <v>0.13831924975884913</v>
      </c>
      <c r="AY28" s="2">
        <f t="shared" si="16"/>
        <v>4.4229888687139812E-2</v>
      </c>
      <c r="AZ28" s="1">
        <f t="shared" si="17"/>
        <v>0.17921623420267591</v>
      </c>
      <c r="BA28" s="8">
        <f t="shared" si="18"/>
        <v>0.52328993751164943</v>
      </c>
      <c r="BB28" s="5">
        <f t="shared" si="19"/>
        <v>384627.00000000006</v>
      </c>
      <c r="BD28" s="6">
        <f t="shared" si="20"/>
        <v>0.38234518894427311</v>
      </c>
      <c r="BE28" s="6">
        <f t="shared" si="21"/>
        <v>0.12226125558483038</v>
      </c>
      <c r="BF28" s="6">
        <f t="shared" si="22"/>
        <v>0.49539355547089658</v>
      </c>
      <c r="BP28" t="s">
        <v>55</v>
      </c>
      <c r="BQ28" s="19">
        <v>1974</v>
      </c>
      <c r="BR28" s="12">
        <v>717854</v>
      </c>
      <c r="BS28" s="5">
        <v>87421</v>
      </c>
      <c r="BT28" s="5">
        <v>1151</v>
      </c>
      <c r="BU28" s="5">
        <v>25560</v>
      </c>
      <c r="BV28" s="5">
        <v>145411</v>
      </c>
      <c r="BW28">
        <v>0</v>
      </c>
      <c r="BX28" s="5">
        <v>107996</v>
      </c>
      <c r="BY28" s="14">
        <v>350315</v>
      </c>
      <c r="BZ28" s="5">
        <f t="shared" si="30"/>
        <v>717854</v>
      </c>
      <c r="CA28" s="5"/>
      <c r="CB28" s="41">
        <v>0.51200000000000001</v>
      </c>
      <c r="CC28">
        <f t="shared" si="31"/>
        <v>1974</v>
      </c>
      <c r="CD28" s="6">
        <f t="shared" si="23"/>
        <v>-2.3350480329026403E-2</v>
      </c>
      <c r="CE28" s="6">
        <f t="shared" si="32"/>
        <v>-2.1404720454350866E-4</v>
      </c>
    </row>
    <row r="29" spans="1:90" x14ac:dyDescent="0.35">
      <c r="A29" t="str">
        <f t="shared" si="24"/>
        <v>Grant</v>
      </c>
      <c r="B29">
        <f t="shared" si="1"/>
        <v>1975</v>
      </c>
      <c r="C29" s="36">
        <f t="shared" si="2"/>
        <v>191445</v>
      </c>
      <c r="D29" s="31">
        <f t="shared" si="3"/>
        <v>527760</v>
      </c>
      <c r="E29" s="26">
        <f t="shared" si="4"/>
        <v>1.0140410738118517</v>
      </c>
      <c r="F29" s="26" t="str">
        <f t="shared" si="5"/>
        <v>Grant</v>
      </c>
      <c r="G29" s="5">
        <f t="shared" si="25"/>
        <v>191420</v>
      </c>
      <c r="H29" s="5">
        <f t="shared" si="6"/>
        <v>482340.97376990766</v>
      </c>
      <c r="I29" s="26">
        <f t="shared" si="7"/>
        <v>0.92418131164356232</v>
      </c>
      <c r="J29">
        <v>1975</v>
      </c>
      <c r="K29" s="5">
        <v>191445</v>
      </c>
      <c r="L29" s="31">
        <v>527760</v>
      </c>
      <c r="N29" t="str">
        <f t="shared" si="26"/>
        <v>Grant</v>
      </c>
      <c r="O29">
        <f t="shared" si="27"/>
        <v>1975</v>
      </c>
      <c r="P29" s="35">
        <f t="shared" si="28"/>
        <v>191420</v>
      </c>
      <c r="Q29" s="39">
        <f t="shared" si="29"/>
        <v>486199</v>
      </c>
      <c r="R29" s="5"/>
      <c r="S29" s="5">
        <f t="shared" si="8"/>
        <v>127310.92451591628</v>
      </c>
      <c r="T29" s="5">
        <f t="shared" si="9"/>
        <v>234420.92948176118</v>
      </c>
      <c r="U29" s="5">
        <f t="shared" si="10"/>
        <v>119885.50088387646</v>
      </c>
      <c r="V29" s="5">
        <f t="shared" si="11"/>
        <v>723.618888353741</v>
      </c>
      <c r="W29" s="12">
        <f t="shared" si="12"/>
        <v>482340.97376990766</v>
      </c>
      <c r="X29" s="29"/>
      <c r="Y29" s="29"/>
      <c r="Z29" s="29"/>
      <c r="AA29" s="29"/>
      <c r="AB29" s="12">
        <f t="shared" si="13"/>
        <v>482340.97376990766</v>
      </c>
      <c r="AK29" t="s">
        <v>52</v>
      </c>
      <c r="AL29">
        <v>1975</v>
      </c>
      <c r="AM29" s="3">
        <v>144527</v>
      </c>
      <c r="AN29" s="4" t="s">
        <v>0</v>
      </c>
      <c r="AO29" s="3">
        <v>17876</v>
      </c>
      <c r="AP29" s="3">
        <v>69307</v>
      </c>
      <c r="AQ29" s="4">
        <v>262</v>
      </c>
      <c r="AR29" s="3">
        <v>80560</v>
      </c>
      <c r="AS29" s="3">
        <v>312533</v>
      </c>
      <c r="AT29" s="1">
        <v>0.62</v>
      </c>
      <c r="AU29" s="16">
        <v>191445</v>
      </c>
      <c r="AV29" s="18">
        <v>503978</v>
      </c>
      <c r="AW29" s="7">
        <f t="shared" si="14"/>
        <v>0.62013222799407908</v>
      </c>
      <c r="AX29" s="1">
        <f t="shared" si="15"/>
        <v>0.28677243847945744</v>
      </c>
      <c r="AY29" s="2">
        <f t="shared" si="16"/>
        <v>4.9731395934355445E-2</v>
      </c>
      <c r="AZ29" s="1">
        <f t="shared" si="17"/>
        <v>0.2360296853621163</v>
      </c>
      <c r="BA29" s="8">
        <f t="shared" si="18"/>
        <v>0.62013222799407908</v>
      </c>
      <c r="BB29" s="5">
        <f t="shared" si="19"/>
        <v>312532.99999999994</v>
      </c>
      <c r="BD29" s="6">
        <f t="shared" si="20"/>
        <v>0.50088322966957599</v>
      </c>
      <c r="BE29" s="6">
        <f t="shared" si="21"/>
        <v>8.6861981380266934E-2</v>
      </c>
      <c r="BF29" s="6">
        <f t="shared" si="22"/>
        <v>0.41225478895015716</v>
      </c>
      <c r="BP29" t="s">
        <v>55</v>
      </c>
      <c r="BQ29" s="19">
        <v>1975</v>
      </c>
      <c r="BR29" s="12">
        <v>486199</v>
      </c>
      <c r="BS29" s="5">
        <v>124247</v>
      </c>
      <c r="BT29" s="5">
        <v>3950</v>
      </c>
      <c r="BU29" s="5">
        <v>16433</v>
      </c>
      <c r="BV29" s="5">
        <v>69307</v>
      </c>
      <c r="BW29">
        <v>0</v>
      </c>
      <c r="BX29" s="5">
        <v>80842</v>
      </c>
      <c r="BY29" s="14">
        <v>191420</v>
      </c>
      <c r="BZ29" s="5">
        <f t="shared" si="30"/>
        <v>486199</v>
      </c>
      <c r="CA29" s="5"/>
      <c r="CB29" s="41">
        <v>0.60599999999999998</v>
      </c>
      <c r="CC29">
        <f t="shared" si="31"/>
        <v>1975</v>
      </c>
      <c r="CD29" s="6">
        <f t="shared" si="23"/>
        <v>-3.527733353440031E-2</v>
      </c>
      <c r="CE29" s="6">
        <f t="shared" si="32"/>
        <v>-1.3058580793439369E-4</v>
      </c>
    </row>
    <row r="30" spans="1:90" x14ac:dyDescent="0.35">
      <c r="A30" t="str">
        <f t="shared" si="24"/>
        <v>Grant</v>
      </c>
      <c r="B30">
        <f t="shared" si="1"/>
        <v>1976</v>
      </c>
      <c r="C30" s="36">
        <f t="shared" si="2"/>
        <v>340467</v>
      </c>
      <c r="D30" s="31">
        <f t="shared" si="3"/>
        <v>761292</v>
      </c>
      <c r="E30" s="26">
        <f t="shared" si="4"/>
        <v>0.80469878532263861</v>
      </c>
      <c r="F30" s="26" t="str">
        <f t="shared" si="5"/>
        <v>Grant</v>
      </c>
      <c r="G30" s="5">
        <f t="shared" si="25"/>
        <v>340517</v>
      </c>
      <c r="H30" s="5">
        <f t="shared" si="6"/>
        <v>790637.35533950652</v>
      </c>
      <c r="I30" s="26">
        <f t="shared" si="7"/>
        <v>0.84237434817882784</v>
      </c>
      <c r="J30">
        <v>1976</v>
      </c>
      <c r="K30" s="5">
        <v>340467</v>
      </c>
      <c r="L30" s="31">
        <v>761292</v>
      </c>
      <c r="N30" t="str">
        <f t="shared" si="26"/>
        <v>Grant</v>
      </c>
      <c r="O30">
        <f t="shared" si="27"/>
        <v>1976</v>
      </c>
      <c r="P30" s="35">
        <f t="shared" si="28"/>
        <v>340517</v>
      </c>
      <c r="Q30" s="39">
        <f t="shared" si="29"/>
        <v>1003722</v>
      </c>
      <c r="R30" s="5"/>
      <c r="S30" s="5">
        <f t="shared" si="8"/>
        <v>33162.498827349678</v>
      </c>
      <c r="T30" s="5">
        <f t="shared" si="9"/>
        <v>690473.85916273005</v>
      </c>
      <c r="U30" s="5">
        <f t="shared" si="10"/>
        <v>65953.748888141083</v>
      </c>
      <c r="V30" s="5">
        <f t="shared" si="11"/>
        <v>1047.2484612857438</v>
      </c>
      <c r="W30" s="12">
        <f t="shared" si="12"/>
        <v>790637.35533950652</v>
      </c>
      <c r="X30" s="29"/>
      <c r="Y30" s="29"/>
      <c r="Z30" s="29"/>
      <c r="AA30" s="29"/>
      <c r="AB30" s="12">
        <f t="shared" si="13"/>
        <v>790637.35533950652</v>
      </c>
      <c r="AE30" s="9"/>
      <c r="AF30" s="9"/>
      <c r="AG30" s="9" t="s">
        <v>36</v>
      </c>
      <c r="AH30" s="9" t="s">
        <v>36</v>
      </c>
      <c r="AI30" s="9" t="s">
        <v>36</v>
      </c>
      <c r="AJ30" s="9"/>
      <c r="AK30" t="s">
        <v>52</v>
      </c>
      <c r="AL30">
        <v>1976</v>
      </c>
      <c r="AM30" s="3">
        <v>343629</v>
      </c>
      <c r="AN30" s="4" t="s">
        <v>0</v>
      </c>
      <c r="AO30" s="3">
        <v>49645</v>
      </c>
      <c r="AP30" s="3">
        <v>191507</v>
      </c>
      <c r="AQ30" s="3">
        <v>1126</v>
      </c>
      <c r="AR30" s="3">
        <v>187661</v>
      </c>
      <c r="AS30" s="3">
        <v>773568</v>
      </c>
      <c r="AT30" s="1">
        <v>0.69</v>
      </c>
      <c r="AU30" s="16">
        <v>340467</v>
      </c>
      <c r="AV30" s="18">
        <v>1114035</v>
      </c>
      <c r="AW30" s="7">
        <f t="shared" si="14"/>
        <v>0.69438392869164789</v>
      </c>
      <c r="AX30" s="1">
        <f t="shared" si="15"/>
        <v>0.30845440224050413</v>
      </c>
      <c r="AY30" s="2">
        <f t="shared" si="16"/>
        <v>6.4440048493911009E-2</v>
      </c>
      <c r="AZ30" s="1">
        <f t="shared" si="17"/>
        <v>0.26077247493521022</v>
      </c>
      <c r="BA30" s="8">
        <f t="shared" si="18"/>
        <v>0.69438392869164789</v>
      </c>
      <c r="BB30" s="5">
        <f t="shared" si="19"/>
        <v>773567.99999999988</v>
      </c>
      <c r="BD30" s="6">
        <f t="shared" si="20"/>
        <v>0.48677686927488917</v>
      </c>
      <c r="BE30" s="6">
        <f t="shared" si="21"/>
        <v>0.10169388030756728</v>
      </c>
      <c r="BF30" s="6">
        <f t="shared" si="22"/>
        <v>0.41152925041754357</v>
      </c>
      <c r="BP30" t="s">
        <v>55</v>
      </c>
      <c r="BQ30" s="19">
        <v>1976</v>
      </c>
      <c r="BR30" s="12">
        <v>1003722</v>
      </c>
      <c r="BS30" s="5">
        <v>237524</v>
      </c>
      <c r="BT30" s="5">
        <v>4559</v>
      </c>
      <c r="BU30" s="5">
        <v>43244</v>
      </c>
      <c r="BV30" s="5">
        <v>191507</v>
      </c>
      <c r="BW30">
        <v>0</v>
      </c>
      <c r="BX30" s="5">
        <v>186371</v>
      </c>
      <c r="BY30" s="14">
        <v>340517</v>
      </c>
      <c r="BZ30" s="5">
        <f t="shared" si="30"/>
        <v>1003722</v>
      </c>
      <c r="CA30" s="5"/>
      <c r="CB30" s="41">
        <v>0.66100000000000003</v>
      </c>
      <c r="CC30">
        <f t="shared" si="31"/>
        <v>1976</v>
      </c>
      <c r="CD30" s="6">
        <f t="shared" si="23"/>
        <v>-9.9021125907175267E-2</v>
      </c>
      <c r="CE30" s="6">
        <f t="shared" si="32"/>
        <v>1.4685711096817019E-4</v>
      </c>
    </row>
    <row r="31" spans="1:90" ht="50.5" customHeight="1" x14ac:dyDescent="0.35">
      <c r="A31" t="str">
        <f t="shared" si="24"/>
        <v>Grant</v>
      </c>
      <c r="B31">
        <f t="shared" si="1"/>
        <v>1977</v>
      </c>
      <c r="C31" s="36">
        <f t="shared" si="2"/>
        <v>599371</v>
      </c>
      <c r="D31" s="31">
        <f t="shared" si="3"/>
        <v>583647</v>
      </c>
      <c r="E31" s="26">
        <f t="shared" si="4"/>
        <v>-2.658442397844028E-2</v>
      </c>
      <c r="F31" s="26" t="str">
        <f t="shared" si="5"/>
        <v>Grant</v>
      </c>
      <c r="G31" s="5">
        <f t="shared" si="25"/>
        <v>599341</v>
      </c>
      <c r="H31" s="5">
        <f t="shared" si="6"/>
        <v>573665.96733916632</v>
      </c>
      <c r="I31" s="26">
        <f t="shared" si="7"/>
        <v>-4.3783429778572559E-2</v>
      </c>
      <c r="J31">
        <v>1977</v>
      </c>
      <c r="K31" s="5">
        <v>599371</v>
      </c>
      <c r="L31" s="31">
        <v>583647</v>
      </c>
      <c r="N31" t="str">
        <f t="shared" si="26"/>
        <v>Grant</v>
      </c>
      <c r="O31">
        <f t="shared" si="27"/>
        <v>1977</v>
      </c>
      <c r="P31" s="35">
        <f t="shared" si="28"/>
        <v>599341</v>
      </c>
      <c r="Q31" s="39">
        <f t="shared" si="29"/>
        <v>722536</v>
      </c>
      <c r="R31" s="5"/>
      <c r="S31" s="5">
        <f>$Q34*S$2</f>
        <v>97678.30285214007</v>
      </c>
      <c r="T31" s="5">
        <f>$Q35*T$2</f>
        <v>379856.9400411041</v>
      </c>
      <c r="U31" s="5">
        <f>$Q36*U$2</f>
        <v>95450.74506867661</v>
      </c>
      <c r="V31" s="5">
        <f>$Q37*V$2</f>
        <v>679.97937724549695</v>
      </c>
      <c r="W31" s="12">
        <f t="shared" si="12"/>
        <v>573665.96733916632</v>
      </c>
      <c r="X31" s="29"/>
      <c r="Y31" s="29"/>
      <c r="Z31" s="29"/>
      <c r="AA31" s="29"/>
      <c r="AB31" s="12">
        <f t="shared" si="13"/>
        <v>573665.96733916632</v>
      </c>
      <c r="AD31" t="s">
        <v>51</v>
      </c>
      <c r="AE31" s="9"/>
      <c r="AF31" s="15" t="s">
        <v>34</v>
      </c>
      <c r="AG31" s="9" t="s">
        <v>34</v>
      </c>
      <c r="AH31" s="9" t="s">
        <v>35</v>
      </c>
      <c r="AI31" s="9" t="s">
        <v>49</v>
      </c>
      <c r="AJ31" s="9" t="s">
        <v>50</v>
      </c>
      <c r="AK31" t="s">
        <v>52</v>
      </c>
      <c r="AL31">
        <v>1977</v>
      </c>
      <c r="AM31" s="3">
        <v>42066</v>
      </c>
      <c r="AN31" s="4" t="s">
        <v>0</v>
      </c>
      <c r="AO31" s="3">
        <v>8228</v>
      </c>
      <c r="AP31" s="3">
        <v>38846</v>
      </c>
      <c r="AQ31" s="4">
        <v>626</v>
      </c>
      <c r="AR31" s="3">
        <v>23728</v>
      </c>
      <c r="AS31" s="3">
        <v>113494</v>
      </c>
      <c r="AT31" s="1">
        <v>0.16</v>
      </c>
      <c r="AU31" s="16">
        <v>599371</v>
      </c>
      <c r="AV31" s="18">
        <v>712865</v>
      </c>
      <c r="AW31" s="7">
        <f t="shared" si="14"/>
        <v>0.1592082652395615</v>
      </c>
      <c r="AX31" s="1">
        <f t="shared" si="15"/>
        <v>5.900977043339202E-2</v>
      </c>
      <c r="AY31" s="2">
        <f t="shared" si="16"/>
        <v>1.226596938874387E-2</v>
      </c>
      <c r="AZ31" s="1">
        <f t="shared" si="17"/>
        <v>3.5845878434008868E-2</v>
      </c>
      <c r="BA31" s="8">
        <f t="shared" si="18"/>
        <v>0.1592082652395615</v>
      </c>
      <c r="BB31" s="5">
        <f t="shared" si="19"/>
        <v>113494</v>
      </c>
      <c r="BD31" s="6">
        <f t="shared" si="20"/>
        <v>0.55086705553952997</v>
      </c>
      <c r="BE31" s="6">
        <f t="shared" si="21"/>
        <v>0.11450507925873557</v>
      </c>
      <c r="BF31" s="6">
        <f t="shared" si="22"/>
        <v>0.33462786520173449</v>
      </c>
      <c r="BP31" t="s">
        <v>55</v>
      </c>
      <c r="BQ31" s="19">
        <v>1977</v>
      </c>
      <c r="BR31" s="12">
        <v>722536</v>
      </c>
      <c r="BS31" s="5">
        <v>54997</v>
      </c>
      <c r="BT31">
        <v>0</v>
      </c>
      <c r="BU31" s="5">
        <v>6358</v>
      </c>
      <c r="BV31" s="5">
        <v>36660</v>
      </c>
      <c r="BW31">
        <v>0</v>
      </c>
      <c r="BX31" s="5">
        <v>25180</v>
      </c>
      <c r="BY31" s="14">
        <v>599341</v>
      </c>
      <c r="BZ31" s="5">
        <f t="shared" si="30"/>
        <v>722536</v>
      </c>
      <c r="CA31" s="5"/>
      <c r="CB31" s="41">
        <v>0.17100000000000001</v>
      </c>
      <c r="CC31">
        <f t="shared" si="31"/>
        <v>1977</v>
      </c>
      <c r="CD31" s="6">
        <f t="shared" si="23"/>
        <v>1.3566383536854805E-2</v>
      </c>
      <c r="CE31" s="6">
        <f t="shared" si="32"/>
        <v>-5.0052471674472071E-5</v>
      </c>
    </row>
    <row r="32" spans="1:90" ht="29" x14ac:dyDescent="0.35">
      <c r="A32" t="str">
        <f t="shared" si="24"/>
        <v>Grant</v>
      </c>
      <c r="B32">
        <f t="shared" si="1"/>
        <v>1978</v>
      </c>
      <c r="C32" s="36">
        <f t="shared" si="2"/>
        <v>359065</v>
      </c>
      <c r="D32" s="31">
        <f t="shared" si="3"/>
        <v>635560</v>
      </c>
      <c r="E32" s="26">
        <f t="shared" si="4"/>
        <v>0.57100306942517687</v>
      </c>
      <c r="F32" s="26" t="str">
        <f t="shared" si="5"/>
        <v>Grant</v>
      </c>
      <c r="G32" s="5">
        <f t="shared" si="25"/>
        <v>358990</v>
      </c>
      <c r="H32" s="5">
        <f t="shared" si="6"/>
        <v>666342.58408459742</v>
      </c>
      <c r="I32" s="26">
        <f t="shared" si="7"/>
        <v>0.6185093958572383</v>
      </c>
      <c r="J32">
        <v>1978</v>
      </c>
      <c r="K32" s="5">
        <v>359065</v>
      </c>
      <c r="L32" s="31">
        <v>635560</v>
      </c>
      <c r="N32" t="str">
        <f t="shared" si="26"/>
        <v>Grant</v>
      </c>
      <c r="O32">
        <f t="shared" si="27"/>
        <v>1978</v>
      </c>
      <c r="P32" s="35">
        <f>BY32</f>
        <v>358990</v>
      </c>
      <c r="Q32" s="39">
        <f>BR32</f>
        <v>1185223</v>
      </c>
      <c r="R32" s="5"/>
      <c r="S32" s="5">
        <f t="shared" si="8"/>
        <v>53736.692182401079</v>
      </c>
      <c r="T32" s="5">
        <f t="shared" si="9"/>
        <v>549743.24519330484</v>
      </c>
      <c r="U32" s="5">
        <f t="shared" si="10"/>
        <v>61976.255481656968</v>
      </c>
      <c r="V32" s="5">
        <f t="shared" si="11"/>
        <v>886.39122723451396</v>
      </c>
      <c r="W32" s="12">
        <f>SUM(S32:V32)</f>
        <v>666342.58408459742</v>
      </c>
      <c r="X32" s="29"/>
      <c r="Y32" s="29"/>
      <c r="Z32" s="29"/>
      <c r="AA32" s="29"/>
      <c r="AB32" s="12">
        <f t="shared" si="13"/>
        <v>666342.58408459742</v>
      </c>
      <c r="AE32" s="9" t="s">
        <v>29</v>
      </c>
      <c r="AF32" s="15" t="s">
        <v>30</v>
      </c>
      <c r="AG32" s="9" t="s">
        <v>33</v>
      </c>
      <c r="AH32" s="9" t="s">
        <v>23</v>
      </c>
      <c r="AI32" s="9"/>
      <c r="AJ32" s="9"/>
      <c r="AK32" t="s">
        <v>52</v>
      </c>
      <c r="AL32">
        <v>1978</v>
      </c>
      <c r="AM32" s="3">
        <v>485439</v>
      </c>
      <c r="AN32" s="4" t="s">
        <v>0</v>
      </c>
      <c r="AO32" s="3">
        <v>12318</v>
      </c>
      <c r="AP32" s="3">
        <v>295733</v>
      </c>
      <c r="AQ32" s="4">
        <v>277</v>
      </c>
      <c r="AR32" s="3">
        <v>134260</v>
      </c>
      <c r="AS32" s="3">
        <v>928027</v>
      </c>
      <c r="AT32" s="1">
        <v>0.72</v>
      </c>
      <c r="AU32" s="16">
        <v>359065</v>
      </c>
      <c r="AV32" s="18">
        <v>1287092</v>
      </c>
      <c r="AW32" s="7">
        <f t="shared" si="14"/>
        <v>0.72102615819226601</v>
      </c>
      <c r="AX32" s="1">
        <f t="shared" si="15"/>
        <v>0.37715951928844249</v>
      </c>
      <c r="AY32" s="2">
        <f t="shared" si="16"/>
        <v>1.5365750517992199E-2</v>
      </c>
      <c r="AZ32" s="1">
        <f t="shared" si="17"/>
        <v>0.17015225750198337</v>
      </c>
      <c r="BA32" s="8">
        <f t="shared" si="18"/>
        <v>0.72102615819226601</v>
      </c>
      <c r="BB32" s="5">
        <f t="shared" si="19"/>
        <v>928027.00000000012</v>
      </c>
      <c r="BD32" s="6">
        <f t="shared" si="20"/>
        <v>0.67029426444769236</v>
      </c>
      <c r="BE32" s="6">
        <f t="shared" si="21"/>
        <v>2.7308271207301713E-2</v>
      </c>
      <c r="BF32" s="6">
        <f t="shared" si="22"/>
        <v>0.30239746434500575</v>
      </c>
      <c r="BP32" t="s">
        <v>55</v>
      </c>
      <c r="BQ32" s="19">
        <v>1978</v>
      </c>
      <c r="BR32" s="12">
        <v>1185223</v>
      </c>
      <c r="BS32" s="5">
        <v>405890</v>
      </c>
      <c r="BT32">
        <v>729</v>
      </c>
      <c r="BU32" s="5">
        <v>11113</v>
      </c>
      <c r="BV32" s="5">
        <v>273516</v>
      </c>
      <c r="BW32">
        <v>0</v>
      </c>
      <c r="BX32" s="5">
        <v>134985</v>
      </c>
      <c r="BY32" s="14">
        <v>358990</v>
      </c>
      <c r="BZ32" s="5">
        <f t="shared" si="30"/>
        <v>1185223</v>
      </c>
      <c r="CA32" s="5"/>
      <c r="CB32" s="41">
        <v>0.69699999999999995</v>
      </c>
      <c r="CC32">
        <f t="shared" si="31"/>
        <v>1978</v>
      </c>
      <c r="CD32" s="6">
        <f t="shared" si="23"/>
        <v>-7.9146634428618939E-2</v>
      </c>
      <c r="CE32" s="6">
        <f t="shared" si="32"/>
        <v>-2.0887583028142537E-4</v>
      </c>
      <c r="CH32" s="25" t="s">
        <v>29</v>
      </c>
      <c r="CI32" s="25" t="s">
        <v>30</v>
      </c>
      <c r="CJ32" s="25" t="s">
        <v>57</v>
      </c>
      <c r="CK32" t="s">
        <v>63</v>
      </c>
      <c r="CL32" t="s">
        <v>64</v>
      </c>
    </row>
    <row r="33" spans="1:100" x14ac:dyDescent="0.35">
      <c r="A33" t="str">
        <f t="shared" si="24"/>
        <v>Grant</v>
      </c>
      <c r="B33">
        <f t="shared" si="1"/>
        <v>1979</v>
      </c>
      <c r="C33" s="36">
        <f t="shared" si="2"/>
        <v>255634</v>
      </c>
      <c r="D33" s="31">
        <f t="shared" si="3"/>
        <v>510199</v>
      </c>
      <c r="E33" s="26">
        <f t="shared" si="4"/>
        <v>0.69105411168886388</v>
      </c>
      <c r="F33" s="26" t="str">
        <f t="shared" si="5"/>
        <v>Grant</v>
      </c>
      <c r="G33" s="5">
        <f t="shared" si="25"/>
        <v>255634</v>
      </c>
      <c r="H33" s="5">
        <f t="shared" si="6"/>
        <v>518168.16439239652</v>
      </c>
      <c r="I33" s="26">
        <f t="shared" si="7"/>
        <v>0.70655309725769067</v>
      </c>
      <c r="J33">
        <v>1979</v>
      </c>
      <c r="K33" s="5">
        <v>255634</v>
      </c>
      <c r="L33" s="31">
        <v>510199</v>
      </c>
      <c r="N33" t="str">
        <f t="shared" si="26"/>
        <v>Grant</v>
      </c>
      <c r="O33">
        <f t="shared" si="27"/>
        <v>1979</v>
      </c>
      <c r="P33" s="35">
        <f t="shared" si="28"/>
        <v>255634</v>
      </c>
      <c r="Q33" s="39">
        <f t="shared" si="29"/>
        <v>308732</v>
      </c>
      <c r="R33" s="5"/>
      <c r="S33" s="5">
        <f t="shared" si="8"/>
        <v>77769.761276732781</v>
      </c>
      <c r="T33" s="5">
        <f t="shared" si="9"/>
        <v>356948.78849716065</v>
      </c>
      <c r="U33" s="5">
        <f t="shared" si="10"/>
        <v>80789.522438637301</v>
      </c>
      <c r="V33" s="5">
        <f t="shared" si="11"/>
        <v>2660.0921798657473</v>
      </c>
      <c r="W33" s="12">
        <f t="shared" si="12"/>
        <v>518168.16439239652</v>
      </c>
      <c r="X33" s="29"/>
      <c r="Y33" s="29"/>
      <c r="Z33" s="29"/>
      <c r="AA33" s="29"/>
      <c r="AB33" s="12">
        <f t="shared" si="13"/>
        <v>518168.16439239652</v>
      </c>
      <c r="AD33" t="s">
        <v>52</v>
      </c>
      <c r="AE33">
        <v>1979</v>
      </c>
      <c r="AF33" s="14">
        <v>255634</v>
      </c>
      <c r="AG33" s="5">
        <f>AS33</f>
        <v>42262</v>
      </c>
      <c r="AH33" s="6">
        <f>AG33/(AF33+AG33)</f>
        <v>0.1418683030319306</v>
      </c>
      <c r="AI33" s="12">
        <f>AF33+AG33</f>
        <v>297896</v>
      </c>
      <c r="AJ33" s="6">
        <f>(AI33-BR33)/BR33</f>
        <v>-3.5098402497959397E-2</v>
      </c>
      <c r="AK33" t="s">
        <v>52</v>
      </c>
      <c r="AL33">
        <v>1979</v>
      </c>
      <c r="AM33" s="3">
        <v>20326</v>
      </c>
      <c r="AN33" s="4" t="s">
        <v>0</v>
      </c>
      <c r="AO33" s="3">
        <v>2105</v>
      </c>
      <c r="AP33" s="3">
        <v>3455</v>
      </c>
      <c r="AQ33" s="4">
        <v>403</v>
      </c>
      <c r="AR33" s="3">
        <v>15973</v>
      </c>
      <c r="AS33" s="3">
        <v>42262</v>
      </c>
      <c r="AT33" s="1">
        <v>0.14000000000000001</v>
      </c>
      <c r="AU33" s="16">
        <v>255634</v>
      </c>
      <c r="AV33" s="18">
        <v>297896</v>
      </c>
      <c r="AW33" s="7">
        <f t="shared" si="14"/>
        <v>0.1418683030319306</v>
      </c>
      <c r="AX33" s="1">
        <f t="shared" si="15"/>
        <v>6.8231866154631143E-2</v>
      </c>
      <c r="AY33" s="2">
        <f t="shared" si="16"/>
        <v>7.5836725870951473E-3</v>
      </c>
      <c r="AZ33" s="1">
        <f t="shared" si="17"/>
        <v>5.8070544095513009E-2</v>
      </c>
      <c r="BA33" s="8">
        <f t="shared" si="18"/>
        <v>0.1418683030319306</v>
      </c>
      <c r="BB33" s="5">
        <f t="shared" si="19"/>
        <v>42261.999999999993</v>
      </c>
      <c r="BC33" t="s">
        <v>65</v>
      </c>
      <c r="BD33" s="6">
        <f t="shared" si="20"/>
        <v>0.50962627861462106</v>
      </c>
      <c r="BE33" s="6">
        <f t="shared" si="21"/>
        <v>5.6642725116652769E-2</v>
      </c>
      <c r="BF33" s="6">
        <f t="shared" si="22"/>
        <v>0.43373099626872624</v>
      </c>
      <c r="BH33" t="s">
        <v>1</v>
      </c>
      <c r="BI33" t="s">
        <v>25</v>
      </c>
      <c r="BJ33" t="s">
        <v>3</v>
      </c>
      <c r="BK33" t="s">
        <v>27</v>
      </c>
      <c r="BL33" t="s">
        <v>26</v>
      </c>
      <c r="BN33" t="s">
        <v>28</v>
      </c>
      <c r="BP33" t="s">
        <v>55</v>
      </c>
      <c r="BQ33" s="19">
        <v>1979</v>
      </c>
      <c r="BR33" s="12">
        <v>308732</v>
      </c>
      <c r="BS33" s="5">
        <v>31093</v>
      </c>
      <c r="BT33">
        <v>0</v>
      </c>
      <c r="BU33" s="5">
        <v>1381</v>
      </c>
      <c r="BV33" s="5">
        <v>3321</v>
      </c>
      <c r="BW33">
        <v>0</v>
      </c>
      <c r="BX33" s="5">
        <v>17304</v>
      </c>
      <c r="BY33" s="14">
        <v>255634</v>
      </c>
      <c r="BZ33" s="5">
        <f t="shared" si="30"/>
        <v>308733</v>
      </c>
      <c r="CA33" s="5"/>
      <c r="CB33" s="41">
        <v>0.17199999999999999</v>
      </c>
      <c r="CC33">
        <f t="shared" si="31"/>
        <v>1979</v>
      </c>
      <c r="CD33" s="6">
        <f t="shared" si="23"/>
        <v>3.6375110776915437E-2</v>
      </c>
      <c r="CE33" s="6">
        <f t="shared" si="32"/>
        <v>0</v>
      </c>
      <c r="CH33">
        <v>1979</v>
      </c>
      <c r="CI33" s="5">
        <v>255634</v>
      </c>
      <c r="CJ33" s="5">
        <v>510199</v>
      </c>
      <c r="CK33" s="6">
        <f>(CI33-P33)/P33</f>
        <v>0</v>
      </c>
      <c r="CL33" s="6">
        <f>(CJ33-AB33)/AB33</f>
        <v>-1.5379494419038945E-2</v>
      </c>
    </row>
    <row r="34" spans="1:100" x14ac:dyDescent="0.35">
      <c r="A34" t="str">
        <f t="shared" si="24"/>
        <v>Grant</v>
      </c>
      <c r="B34">
        <f t="shared" si="1"/>
        <v>1980</v>
      </c>
      <c r="C34" s="36">
        <f t="shared" si="2"/>
        <v>312182</v>
      </c>
      <c r="D34" s="31">
        <f t="shared" si="3"/>
        <v>655505</v>
      </c>
      <c r="E34" s="26">
        <f t="shared" si="4"/>
        <v>0.74181957986966518</v>
      </c>
      <c r="F34" s="26" t="str">
        <f t="shared" si="5"/>
        <v>Grant</v>
      </c>
      <c r="G34" s="5">
        <f t="shared" si="25"/>
        <v>314011</v>
      </c>
      <c r="H34" s="5">
        <f t="shared" si="6"/>
        <v>760537.66313594871</v>
      </c>
      <c r="I34" s="26">
        <f t="shared" si="7"/>
        <v>0.88459761750741206</v>
      </c>
      <c r="J34">
        <v>1980</v>
      </c>
      <c r="K34" s="5">
        <v>312182</v>
      </c>
      <c r="L34" s="31">
        <v>655505</v>
      </c>
      <c r="N34" t="str">
        <f t="shared" si="26"/>
        <v>Grant</v>
      </c>
      <c r="O34">
        <f t="shared" si="27"/>
        <v>1980</v>
      </c>
      <c r="P34" s="35">
        <f t="shared" si="28"/>
        <v>314011</v>
      </c>
      <c r="Q34" s="39">
        <f t="shared" si="29"/>
        <v>909353</v>
      </c>
      <c r="R34" s="5"/>
      <c r="S34" s="5">
        <f t="shared" si="8"/>
        <v>50495.976643936847</v>
      </c>
      <c r="T34" s="5">
        <f t="shared" si="9"/>
        <v>465302.75076510274</v>
      </c>
      <c r="U34" s="5">
        <f t="shared" si="10"/>
        <v>242452.28320298906</v>
      </c>
      <c r="V34" s="5">
        <f t="shared" si="11"/>
        <v>2286.6525239200391</v>
      </c>
      <c r="W34" s="12">
        <f t="shared" si="12"/>
        <v>760537.66313594871</v>
      </c>
      <c r="X34" s="29"/>
      <c r="Y34" s="29"/>
      <c r="Z34" s="29"/>
      <c r="AA34" s="29"/>
      <c r="AB34" s="12">
        <f t="shared" si="13"/>
        <v>760537.66313594871</v>
      </c>
      <c r="AD34" t="s">
        <v>52</v>
      </c>
      <c r="AE34">
        <v>1980</v>
      </c>
      <c r="AF34" s="14">
        <v>312182</v>
      </c>
      <c r="AG34" s="5">
        <f>AS34</f>
        <v>594711</v>
      </c>
      <c r="AH34" s="6">
        <f>AG34/(AF34+AG34)</f>
        <v>0.65576754920370983</v>
      </c>
      <c r="AI34" s="12">
        <f t="shared" ref="AI34:AI47" si="33">AF34+AG34</f>
        <v>906893</v>
      </c>
      <c r="AJ34" s="6">
        <f t="shared" ref="AJ34:AJ41" si="34">(AI34-BR34)/BR34</f>
        <v>-2.7052200850494804E-3</v>
      </c>
      <c r="AK34" t="s">
        <v>52</v>
      </c>
      <c r="AL34">
        <v>1980</v>
      </c>
      <c r="AM34" s="3">
        <v>243146</v>
      </c>
      <c r="AN34" s="4" t="s">
        <v>0</v>
      </c>
      <c r="AO34" s="3">
        <v>13550</v>
      </c>
      <c r="AP34" s="3">
        <v>245019</v>
      </c>
      <c r="AQ34" s="3">
        <v>3666</v>
      </c>
      <c r="AR34" s="3">
        <v>89330</v>
      </c>
      <c r="AS34" s="3">
        <v>594711</v>
      </c>
      <c r="AT34" s="38">
        <f>AS34/AV34</f>
        <v>0.65576754920370983</v>
      </c>
      <c r="AU34" s="16">
        <v>312182</v>
      </c>
      <c r="AV34" s="18">
        <v>906893</v>
      </c>
      <c r="AW34" s="7">
        <f t="shared" si="14"/>
        <v>0.65576754920370983</v>
      </c>
      <c r="AX34" s="1">
        <f t="shared" si="15"/>
        <v>0.26810880666186637</v>
      </c>
      <c r="AY34" s="2">
        <f t="shared" si="16"/>
        <v>2.0414404886199108E-2</v>
      </c>
      <c r="AZ34" s="1">
        <f t="shared" si="17"/>
        <v>0.13816816208348864</v>
      </c>
      <c r="BA34" s="8">
        <f t="shared" si="18"/>
        <v>0.65576754920370983</v>
      </c>
      <c r="BB34" s="5">
        <f t="shared" si="19"/>
        <v>594711.00000000012</v>
      </c>
      <c r="BC34" s="26">
        <v>0.51937603286006684</v>
      </c>
      <c r="BD34" s="6">
        <f t="shared" si="20"/>
        <v>0.62834363015123196</v>
      </c>
      <c r="BE34" s="6">
        <f t="shared" si="21"/>
        <v>4.7843490981439071E-2</v>
      </c>
      <c r="BF34" s="6">
        <f t="shared" si="22"/>
        <v>0.32381287886732896</v>
      </c>
      <c r="BH34">
        <v>1980</v>
      </c>
      <c r="BI34" s="5">
        <v>1373377</v>
      </c>
      <c r="BJ34" s="5">
        <v>1162099.8115125599</v>
      </c>
      <c r="BK34" s="1">
        <v>0.45833580738579</v>
      </c>
      <c r="BL34" s="5">
        <v>2535476.8115125601</v>
      </c>
      <c r="BN34" s="6">
        <f t="shared" ref="BN34:BN44" si="35">AT34</f>
        <v>0.65576754920370983</v>
      </c>
      <c r="BP34" t="s">
        <v>55</v>
      </c>
      <c r="BQ34" s="19">
        <v>1980</v>
      </c>
      <c r="BR34" s="12">
        <v>909353</v>
      </c>
      <c r="BS34" s="5">
        <v>242556</v>
      </c>
      <c r="BT34" s="5">
        <v>8546</v>
      </c>
      <c r="BU34" s="5">
        <v>12026</v>
      </c>
      <c r="BV34" s="5">
        <v>241835</v>
      </c>
      <c r="BW34">
        <v>0</v>
      </c>
      <c r="BX34" s="5">
        <v>90380</v>
      </c>
      <c r="BY34" s="14">
        <v>314011</v>
      </c>
      <c r="BZ34" s="5">
        <f t="shared" si="30"/>
        <v>909354</v>
      </c>
      <c r="CA34" s="5"/>
      <c r="CB34" s="41">
        <v>0.65500000000000003</v>
      </c>
      <c r="CC34">
        <f t="shared" si="31"/>
        <v>1980</v>
      </c>
      <c r="CD34" s="6">
        <f t="shared" si="23"/>
        <v>2.7125581518437124E-3</v>
      </c>
      <c r="CE34" s="6">
        <f t="shared" si="32"/>
        <v>5.8587618760851043E-3</v>
      </c>
      <c r="CH34">
        <v>1980</v>
      </c>
      <c r="CI34" s="5">
        <v>312182</v>
      </c>
      <c r="CJ34" s="5">
        <v>655505</v>
      </c>
      <c r="CK34" s="6">
        <f t="shared" ref="CK34:CK42" si="36">(CI34-P34)/P34</f>
        <v>-5.8246367165481466E-3</v>
      </c>
      <c r="CL34" s="6">
        <f t="shared" ref="CL34:CL42" si="37">(CJ34-AB34)/AB34</f>
        <v>-0.13810317125237986</v>
      </c>
    </row>
    <row r="35" spans="1:100" x14ac:dyDescent="0.35">
      <c r="A35" t="str">
        <f t="shared" si="24"/>
        <v>Grant</v>
      </c>
      <c r="B35">
        <f t="shared" si="1"/>
        <v>1981</v>
      </c>
      <c r="C35" s="36">
        <f t="shared" si="2"/>
        <v>435345</v>
      </c>
      <c r="D35" s="31">
        <f t="shared" si="3"/>
        <v>1492293</v>
      </c>
      <c r="E35" s="26">
        <f t="shared" si="4"/>
        <v>1.2319303219839801</v>
      </c>
      <c r="F35" s="26" t="str">
        <f t="shared" si="5"/>
        <v>Grant</v>
      </c>
      <c r="G35" s="5">
        <f t="shared" si="25"/>
        <v>436996</v>
      </c>
      <c r="H35" s="5">
        <f t="shared" si="6"/>
        <v>1671325.9801148491</v>
      </c>
      <c r="I35" s="26">
        <f t="shared" si="7"/>
        <v>1.3414485486926537</v>
      </c>
      <c r="J35">
        <v>1981</v>
      </c>
      <c r="K35" s="5">
        <v>435345</v>
      </c>
      <c r="L35" s="31">
        <v>1492293</v>
      </c>
      <c r="N35" t="str">
        <f t="shared" si="26"/>
        <v>Grant</v>
      </c>
      <c r="O35">
        <f t="shared" si="27"/>
        <v>1981</v>
      </c>
      <c r="P35" s="35">
        <f t="shared" si="28"/>
        <v>436996</v>
      </c>
      <c r="Q35" s="39">
        <f t="shared" si="29"/>
        <v>500271</v>
      </c>
      <c r="R35" s="5"/>
      <c r="S35" s="5">
        <f>$Q38*S$2</f>
        <v>65824.335569025439</v>
      </c>
      <c r="T35" s="5">
        <f t="shared" si="9"/>
        <v>1396390.4092800745</v>
      </c>
      <c r="U35" s="5">
        <f t="shared" si="10"/>
        <v>208415.38105806216</v>
      </c>
      <c r="V35" s="5">
        <f t="shared" si="11"/>
        <v>695.85420768676238</v>
      </c>
      <c r="W35" s="12">
        <f t="shared" si="12"/>
        <v>1671325.9801148491</v>
      </c>
      <c r="X35" s="29"/>
      <c r="Y35" s="29"/>
      <c r="Z35" s="29"/>
      <c r="AA35" s="29"/>
      <c r="AB35" s="12">
        <f t="shared" si="13"/>
        <v>1671325.9801148491</v>
      </c>
      <c r="AD35" t="s">
        <v>52</v>
      </c>
      <c r="AE35">
        <v>1981</v>
      </c>
      <c r="AF35" s="14">
        <v>435345</v>
      </c>
      <c r="AG35" s="5">
        <f t="shared" ref="AG35:AG42" si="38">AS35</f>
        <v>56270</v>
      </c>
      <c r="AH35" s="6">
        <f t="shared" ref="AH35:AH42" si="39">AG35/(AF35+AG35)</f>
        <v>0.11445948557306022</v>
      </c>
      <c r="AI35" s="12">
        <f t="shared" si="33"/>
        <v>491615</v>
      </c>
      <c r="AJ35" s="6">
        <f t="shared" si="34"/>
        <v>-1.7302621978887444E-2</v>
      </c>
      <c r="AK35" t="s">
        <v>52</v>
      </c>
      <c r="AL35">
        <v>1981</v>
      </c>
      <c r="AM35" s="3">
        <v>26519</v>
      </c>
      <c r="AN35" s="4" t="s">
        <v>0</v>
      </c>
      <c r="AO35" s="3">
        <v>3205</v>
      </c>
      <c r="AP35" s="3">
        <v>5814</v>
      </c>
      <c r="AQ35" s="4">
        <v>771</v>
      </c>
      <c r="AR35" s="3">
        <v>19961</v>
      </c>
      <c r="AS35" s="3">
        <v>56270</v>
      </c>
      <c r="AT35" s="38">
        <f t="shared" ref="AT35:AT44" si="40">AS35/AV35</f>
        <v>0.11445948557306022</v>
      </c>
      <c r="AU35" s="16">
        <v>435345</v>
      </c>
      <c r="AV35" s="18">
        <v>491615</v>
      </c>
      <c r="AW35" s="7">
        <f t="shared" si="14"/>
        <v>0.11445948557306022</v>
      </c>
      <c r="AX35" s="1">
        <f t="shared" si="15"/>
        <v>5.394261769880903E-2</v>
      </c>
      <c r="AY35" s="2">
        <f t="shared" si="16"/>
        <v>6.8910504497996109E-3</v>
      </c>
      <c r="AZ35" s="1">
        <f t="shared" si="17"/>
        <v>4.3288081193615546E-2</v>
      </c>
      <c r="BA35" s="8">
        <f t="shared" si="18"/>
        <v>0.11445948557306022</v>
      </c>
      <c r="BB35" s="5">
        <f t="shared" si="19"/>
        <v>56270</v>
      </c>
      <c r="BC35" s="26">
        <v>0.14141359916611126</v>
      </c>
      <c r="BD35" s="6">
        <f t="shared" si="20"/>
        <v>0.51807252605324638</v>
      </c>
      <c r="BE35" s="6">
        <f t="shared" si="21"/>
        <v>6.6182622682897083E-2</v>
      </c>
      <c r="BF35" s="6">
        <f t="shared" si="22"/>
        <v>0.41574485126385657</v>
      </c>
      <c r="BH35">
        <v>1981</v>
      </c>
      <c r="BI35" s="5">
        <v>1302540</v>
      </c>
      <c r="BJ35" s="5">
        <v>185726.44640561001</v>
      </c>
      <c r="BK35" s="1">
        <v>0.124793814208583</v>
      </c>
      <c r="BL35" s="5">
        <v>1488266.4464056101</v>
      </c>
      <c r="BN35" s="6">
        <f t="shared" si="35"/>
        <v>0.11445948557306022</v>
      </c>
      <c r="BP35" t="s">
        <v>55</v>
      </c>
      <c r="BQ35" s="19">
        <v>1981</v>
      </c>
      <c r="BR35" s="12">
        <v>500271</v>
      </c>
      <c r="BS35" s="5">
        <v>30394</v>
      </c>
      <c r="BT35" s="5">
        <v>3370</v>
      </c>
      <c r="BU35" s="5">
        <v>2288</v>
      </c>
      <c r="BV35" s="5">
        <v>5814</v>
      </c>
      <c r="BW35">
        <v>0</v>
      </c>
      <c r="BX35" s="5">
        <v>21408</v>
      </c>
      <c r="BY35" s="14">
        <v>436996</v>
      </c>
      <c r="BZ35" s="5">
        <f t="shared" si="30"/>
        <v>500270</v>
      </c>
      <c r="CA35" s="5"/>
      <c r="CB35" s="41">
        <v>0.126</v>
      </c>
      <c r="CC35">
        <f t="shared" si="31"/>
        <v>1981</v>
      </c>
      <c r="CD35" s="6">
        <f t="shared" si="23"/>
        <v>1.760727398472382E-2</v>
      </c>
      <c r="CE35" s="6">
        <f t="shared" si="32"/>
        <v>3.7923945376655294E-3</v>
      </c>
      <c r="CH35">
        <v>1981</v>
      </c>
      <c r="CI35" s="5">
        <v>435345</v>
      </c>
      <c r="CJ35" s="5">
        <v>1492293</v>
      </c>
      <c r="CK35" s="6">
        <f t="shared" si="36"/>
        <v>-3.77806661845875E-3</v>
      </c>
      <c r="CL35" s="6">
        <f t="shared" si="37"/>
        <v>-0.10712032376984075</v>
      </c>
    </row>
    <row r="36" spans="1:100" x14ac:dyDescent="0.35">
      <c r="A36" t="str">
        <f t="shared" si="24"/>
        <v>Grant</v>
      </c>
      <c r="B36">
        <f t="shared" si="1"/>
        <v>1982</v>
      </c>
      <c r="C36" s="36">
        <f t="shared" si="2"/>
        <v>322286</v>
      </c>
      <c r="D36" s="31">
        <f t="shared" si="3"/>
        <v>1416221</v>
      </c>
      <c r="E36" s="26">
        <f t="shared" si="4"/>
        <v>1.4803079854347336</v>
      </c>
      <c r="F36" s="26" t="str">
        <f t="shared" si="5"/>
        <v>Grant</v>
      </c>
      <c r="G36" s="5">
        <f t="shared" si="25"/>
        <v>326439</v>
      </c>
      <c r="H36" s="5">
        <f t="shared" si="6"/>
        <v>1462818.3804338966</v>
      </c>
      <c r="I36" s="26">
        <f t="shared" si="7"/>
        <v>1.4998771501905774</v>
      </c>
      <c r="J36">
        <v>1982</v>
      </c>
      <c r="K36" s="5">
        <v>322286</v>
      </c>
      <c r="L36" s="31">
        <v>1416221</v>
      </c>
      <c r="N36" t="str">
        <f t="shared" si="26"/>
        <v>Grant</v>
      </c>
      <c r="O36">
        <f t="shared" si="27"/>
        <v>1982</v>
      </c>
      <c r="P36" s="35">
        <f t="shared" si="28"/>
        <v>326439</v>
      </c>
      <c r="Q36" s="39">
        <f t="shared" si="29"/>
        <v>724011</v>
      </c>
      <c r="R36" s="5"/>
      <c r="S36" s="5">
        <f t="shared" si="8"/>
        <v>197541.21533707052</v>
      </c>
      <c r="T36" s="5">
        <f t="shared" si="9"/>
        <v>1200356.7688091057</v>
      </c>
      <c r="U36" s="5">
        <f t="shared" si="10"/>
        <v>63423.156049643818</v>
      </c>
      <c r="V36" s="5">
        <f t="shared" si="11"/>
        <v>1497.2402380764208</v>
      </c>
      <c r="W36" s="12">
        <f t="shared" si="12"/>
        <v>1462818.3804338966</v>
      </c>
      <c r="X36" s="29"/>
      <c r="Y36" s="29"/>
      <c r="Z36" s="29"/>
      <c r="AA36" s="29"/>
      <c r="AB36" s="12">
        <f t="shared" si="13"/>
        <v>1462818.3804338966</v>
      </c>
      <c r="AD36" t="s">
        <v>52</v>
      </c>
      <c r="AE36">
        <v>1982</v>
      </c>
      <c r="AF36" s="14">
        <v>322286</v>
      </c>
      <c r="AG36" s="5">
        <f t="shared" si="38"/>
        <v>383164</v>
      </c>
      <c r="AH36" s="6">
        <f t="shared" si="39"/>
        <v>0.54314834502799636</v>
      </c>
      <c r="AI36" s="12">
        <f t="shared" si="33"/>
        <v>705450</v>
      </c>
      <c r="AJ36" s="6">
        <f t="shared" si="34"/>
        <v>-2.5636350828923869E-2</v>
      </c>
      <c r="AK36" t="s">
        <v>52</v>
      </c>
      <c r="AL36">
        <v>1982</v>
      </c>
      <c r="AM36" s="3">
        <v>235914</v>
      </c>
      <c r="AN36" s="4" t="s">
        <v>0</v>
      </c>
      <c r="AO36" s="3">
        <v>8527</v>
      </c>
      <c r="AP36" s="3">
        <v>54570</v>
      </c>
      <c r="AQ36" s="3">
        <v>1649</v>
      </c>
      <c r="AR36" s="3">
        <v>82505</v>
      </c>
      <c r="AS36" s="3">
        <v>383164</v>
      </c>
      <c r="AT36" s="38">
        <f t="shared" si="40"/>
        <v>0.54314834502799636</v>
      </c>
      <c r="AU36" s="16">
        <v>322286</v>
      </c>
      <c r="AV36" s="18">
        <v>705450</v>
      </c>
      <c r="AW36" s="7">
        <f t="shared" si="14"/>
        <v>0.54314834502799636</v>
      </c>
      <c r="AX36" s="1">
        <f t="shared" si="15"/>
        <v>0.33441633000212628</v>
      </c>
      <c r="AY36" s="2">
        <f t="shared" si="16"/>
        <v>1.8160481837388401E-2</v>
      </c>
      <c r="AZ36" s="1">
        <f t="shared" si="17"/>
        <v>0.17960858585858586</v>
      </c>
      <c r="BA36" s="8">
        <f t="shared" si="18"/>
        <v>0.54314834502799636</v>
      </c>
      <c r="BB36" s="5">
        <f t="shared" si="19"/>
        <v>383164.00000000012</v>
      </c>
      <c r="BC36" s="26">
        <v>0.57254888715913643</v>
      </c>
      <c r="BD36" s="6">
        <f t="shared" si="20"/>
        <v>0.62838313762196607</v>
      </c>
      <c r="BE36" s="6">
        <f t="shared" si="21"/>
        <v>3.4124351994510235E-2</v>
      </c>
      <c r="BF36" s="6">
        <f t="shared" si="22"/>
        <v>0.33749251038352363</v>
      </c>
      <c r="BH36">
        <v>1982</v>
      </c>
      <c r="BI36" s="5">
        <v>1453419</v>
      </c>
      <c r="BJ36" s="5">
        <v>1484320.8797828001</v>
      </c>
      <c r="BK36" s="1">
        <v>0.50525946493688301</v>
      </c>
      <c r="BL36" s="5">
        <v>2937739.8797828001</v>
      </c>
      <c r="BN36" s="6">
        <f t="shared" si="35"/>
        <v>0.54314834502799636</v>
      </c>
      <c r="BP36" t="s">
        <v>55</v>
      </c>
      <c r="BQ36" s="19">
        <v>1982</v>
      </c>
      <c r="BR36" s="12">
        <v>724011</v>
      </c>
      <c r="BS36" s="5">
        <v>240409</v>
      </c>
      <c r="BT36" s="5">
        <v>12660</v>
      </c>
      <c r="BU36" s="5">
        <v>7095</v>
      </c>
      <c r="BV36" s="5">
        <v>54508</v>
      </c>
      <c r="BW36">
        <v>0</v>
      </c>
      <c r="BX36" s="5">
        <v>82899</v>
      </c>
      <c r="BY36" s="14">
        <v>326439</v>
      </c>
      <c r="BZ36" s="5">
        <f t="shared" si="30"/>
        <v>724010</v>
      </c>
      <c r="CA36" s="5"/>
      <c r="CB36" s="41">
        <v>0.54900000000000004</v>
      </c>
      <c r="CC36">
        <f t="shared" si="31"/>
        <v>1982</v>
      </c>
      <c r="CD36" s="6">
        <f t="shared" si="23"/>
        <v>2.6310865405060599E-2</v>
      </c>
      <c r="CE36" s="6">
        <f t="shared" si="32"/>
        <v>1.2886070136462644E-2</v>
      </c>
      <c r="CH36">
        <v>1982</v>
      </c>
      <c r="CI36" s="5">
        <v>322286</v>
      </c>
      <c r="CJ36" s="5">
        <v>1416221</v>
      </c>
      <c r="CK36" s="6">
        <f t="shared" si="36"/>
        <v>-1.2722131853118041E-2</v>
      </c>
      <c r="CL36" s="6">
        <f t="shared" si="37"/>
        <v>-3.1854522104155535E-2</v>
      </c>
    </row>
    <row r="37" spans="1:100" x14ac:dyDescent="0.35">
      <c r="A37" t="str">
        <f t="shared" si="24"/>
        <v>Grant</v>
      </c>
      <c r="B37">
        <f t="shared" si="1"/>
        <v>1983</v>
      </c>
      <c r="C37" s="36">
        <f t="shared" si="2"/>
        <v>367363</v>
      </c>
      <c r="D37" s="31">
        <f t="shared" si="3"/>
        <v>795564</v>
      </c>
      <c r="E37" s="26">
        <f t="shared" si="4"/>
        <v>0.77270083705316917</v>
      </c>
      <c r="F37" s="26" t="str">
        <f t="shared" si="5"/>
        <v>Grant</v>
      </c>
      <c r="G37" s="5">
        <f t="shared" si="25"/>
        <v>371770</v>
      </c>
      <c r="H37" s="5">
        <f t="shared" si="6"/>
        <v>673139.64376411797</v>
      </c>
      <c r="I37" s="26">
        <f t="shared" si="7"/>
        <v>0.59367741908002314</v>
      </c>
      <c r="J37">
        <v>1983</v>
      </c>
      <c r="K37" s="5">
        <v>367363</v>
      </c>
      <c r="L37" s="31">
        <v>795564</v>
      </c>
      <c r="N37" t="str">
        <f t="shared" si="26"/>
        <v>Grant</v>
      </c>
      <c r="O37">
        <f t="shared" si="27"/>
        <v>1983</v>
      </c>
      <c r="P37" s="35">
        <f t="shared" si="28"/>
        <v>371770</v>
      </c>
      <c r="Q37" s="39">
        <f t="shared" si="29"/>
        <v>470101</v>
      </c>
      <c r="R37" s="5"/>
      <c r="S37" s="5">
        <f t="shared" si="8"/>
        <v>169809.19760891201</v>
      </c>
      <c r="T37" s="5">
        <f t="shared" si="9"/>
        <v>365282.13165906916</v>
      </c>
      <c r="U37" s="5">
        <f t="shared" si="10"/>
        <v>136464.93793434481</v>
      </c>
      <c r="V37" s="5">
        <f t="shared" si="11"/>
        <v>1583.3765617918978</v>
      </c>
      <c r="W37" s="12">
        <f t="shared" si="12"/>
        <v>673139.64376411797</v>
      </c>
      <c r="X37" s="29"/>
      <c r="Y37" s="29"/>
      <c r="Z37" s="29"/>
      <c r="AA37" s="29"/>
      <c r="AB37" s="12">
        <f t="shared" si="13"/>
        <v>673139.64376411797</v>
      </c>
      <c r="AD37" t="s">
        <v>52</v>
      </c>
      <c r="AE37">
        <v>1983</v>
      </c>
      <c r="AF37" s="14">
        <v>367363</v>
      </c>
      <c r="AG37" s="5">
        <f t="shared" si="38"/>
        <v>88034</v>
      </c>
      <c r="AH37" s="6">
        <f t="shared" si="39"/>
        <v>0.19331264808507742</v>
      </c>
      <c r="AI37" s="12">
        <f t="shared" si="33"/>
        <v>455397</v>
      </c>
      <c r="AJ37" s="6">
        <f t="shared" si="34"/>
        <v>-3.1278384857722066E-2</v>
      </c>
      <c r="AK37" t="s">
        <v>52</v>
      </c>
      <c r="AL37">
        <v>1983</v>
      </c>
      <c r="AM37" s="3">
        <v>56191</v>
      </c>
      <c r="AN37" s="4" t="s">
        <v>0</v>
      </c>
      <c r="AO37" s="4">
        <v>81</v>
      </c>
      <c r="AP37" s="3">
        <v>1671</v>
      </c>
      <c r="AQ37" s="3">
        <v>4899</v>
      </c>
      <c r="AR37" s="3">
        <v>25194</v>
      </c>
      <c r="AS37" s="3">
        <v>88034</v>
      </c>
      <c r="AT37" s="38">
        <f t="shared" si="40"/>
        <v>0.19331264808507742</v>
      </c>
      <c r="AU37" s="16">
        <v>367363</v>
      </c>
      <c r="AV37" s="18">
        <v>455397</v>
      </c>
      <c r="AW37" s="7">
        <f t="shared" si="14"/>
        <v>0.19331264808507742</v>
      </c>
      <c r="AX37" s="1">
        <f t="shared" si="15"/>
        <v>0.1233890429669058</v>
      </c>
      <c r="AY37" s="2">
        <f t="shared" si="16"/>
        <v>2.0290276198253534E-4</v>
      </c>
      <c r="AZ37" s="1">
        <f t="shared" si="17"/>
        <v>6.3907504832253575E-2</v>
      </c>
      <c r="BA37" s="8">
        <f t="shared" si="18"/>
        <v>0.19331264808507742</v>
      </c>
      <c r="BB37" s="5">
        <f t="shared" si="19"/>
        <v>88034</v>
      </c>
      <c r="BC37" s="26">
        <v>0.2308663419449562</v>
      </c>
      <c r="BD37" s="6">
        <f t="shared" si="20"/>
        <v>0.65807682421271796</v>
      </c>
      <c r="BE37" s="6">
        <f t="shared" si="21"/>
        <v>1.0821512349785288E-3</v>
      </c>
      <c r="BF37" s="6">
        <f t="shared" si="22"/>
        <v>0.34084102455230342</v>
      </c>
      <c r="BH37">
        <v>1983</v>
      </c>
      <c r="BI37" s="5">
        <v>1196968</v>
      </c>
      <c r="BJ37" s="5">
        <v>306257.41664499301</v>
      </c>
      <c r="BK37" s="1">
        <v>0.20373352742299999</v>
      </c>
      <c r="BL37" s="5">
        <v>1503225.41664499</v>
      </c>
      <c r="BN37" s="6">
        <f t="shared" si="35"/>
        <v>0.19331264808507742</v>
      </c>
      <c r="BP37" t="s">
        <v>55</v>
      </c>
      <c r="BQ37" s="19">
        <v>1983</v>
      </c>
      <c r="BR37" s="12">
        <v>470101</v>
      </c>
      <c r="BS37" s="5">
        <v>60431</v>
      </c>
      <c r="BT37" s="5">
        <v>14683</v>
      </c>
      <c r="BU37">
        <v>20</v>
      </c>
      <c r="BV37" s="5">
        <v>1602</v>
      </c>
      <c r="BW37">
        <v>0</v>
      </c>
      <c r="BX37" s="5">
        <v>21595</v>
      </c>
      <c r="BY37" s="14">
        <v>371770</v>
      </c>
      <c r="BZ37" s="5">
        <f t="shared" si="30"/>
        <v>470101</v>
      </c>
      <c r="CA37" s="5"/>
      <c r="CB37" s="41">
        <v>0.20899999999999999</v>
      </c>
      <c r="CC37">
        <f t="shared" si="31"/>
        <v>1983</v>
      </c>
      <c r="CD37" s="6">
        <f t="shared" si="23"/>
        <v>3.2288311078026426E-2</v>
      </c>
      <c r="CE37" s="6">
        <f t="shared" si="32"/>
        <v>1.1996308828052906E-2</v>
      </c>
      <c r="CH37">
        <v>1983</v>
      </c>
      <c r="CI37" s="5">
        <v>367363</v>
      </c>
      <c r="CJ37" s="5">
        <v>795564</v>
      </c>
      <c r="CK37" s="6">
        <f t="shared" si="36"/>
        <v>-1.1854103343465046E-2</v>
      </c>
      <c r="CL37" s="6">
        <f t="shared" si="37"/>
        <v>0.18187066735707227</v>
      </c>
    </row>
    <row r="38" spans="1:100" x14ac:dyDescent="0.35">
      <c r="A38" t="str">
        <f t="shared" si="24"/>
        <v>Grant</v>
      </c>
      <c r="B38">
        <f t="shared" si="1"/>
        <v>1984</v>
      </c>
      <c r="C38" s="36">
        <f t="shared" si="2"/>
        <v>540265</v>
      </c>
      <c r="D38" s="31">
        <f t="shared" si="3"/>
        <v>1061099</v>
      </c>
      <c r="E38" s="26">
        <f t="shared" si="4"/>
        <v>0.67500068253565193</v>
      </c>
      <c r="F38" s="26" t="str">
        <f t="shared" si="5"/>
        <v>Grant</v>
      </c>
      <c r="G38" s="5">
        <f t="shared" si="25"/>
        <v>541478</v>
      </c>
      <c r="H38" s="5">
        <f t="shared" si="6"/>
        <v>984259.76243600273</v>
      </c>
      <c r="I38" s="26">
        <f t="shared" si="7"/>
        <v>0.59758741069926624</v>
      </c>
      <c r="J38">
        <v>1984</v>
      </c>
      <c r="K38" s="5">
        <v>540265</v>
      </c>
      <c r="L38" s="31">
        <v>1061099</v>
      </c>
      <c r="N38" t="str">
        <f t="shared" si="26"/>
        <v>Grant</v>
      </c>
      <c r="O38">
        <f t="shared" si="27"/>
        <v>1984</v>
      </c>
      <c r="P38" s="35">
        <f t="shared" si="28"/>
        <v>541478</v>
      </c>
      <c r="Q38" s="39">
        <f t="shared" si="29"/>
        <v>612803</v>
      </c>
      <c r="R38" s="5"/>
      <c r="S38" s="5">
        <f t="shared" si="8"/>
        <v>51674.858083600251</v>
      </c>
      <c r="T38" s="5">
        <f t="shared" si="9"/>
        <v>785962.20261195884</v>
      </c>
      <c r="U38" s="5">
        <f t="shared" si="10"/>
        <v>144315.77427362651</v>
      </c>
      <c r="V38" s="5">
        <f t="shared" si="11"/>
        <v>2306.9274668170974</v>
      </c>
      <c r="W38" s="12">
        <f t="shared" si="12"/>
        <v>984259.76243600273</v>
      </c>
      <c r="X38" s="29"/>
      <c r="Y38" s="29"/>
      <c r="Z38" s="29"/>
      <c r="AA38" s="29"/>
      <c r="AB38" s="12">
        <f t="shared" si="13"/>
        <v>984259.76243600273</v>
      </c>
      <c r="AD38" t="s">
        <v>52</v>
      </c>
      <c r="AE38">
        <v>1984</v>
      </c>
      <c r="AF38" s="14">
        <v>540265</v>
      </c>
      <c r="AG38" s="5">
        <f t="shared" si="38"/>
        <v>65644</v>
      </c>
      <c r="AH38" s="6">
        <f t="shared" si="39"/>
        <v>0.10833970117624923</v>
      </c>
      <c r="AI38" s="12">
        <f t="shared" si="33"/>
        <v>605909</v>
      </c>
      <c r="AJ38" s="6">
        <f t="shared" si="34"/>
        <v>-1.1249944925204348E-2</v>
      </c>
      <c r="AK38" t="s">
        <v>52</v>
      </c>
      <c r="AL38">
        <v>1984</v>
      </c>
      <c r="AM38" s="3">
        <v>19746</v>
      </c>
      <c r="AN38" s="4" t="s">
        <v>0</v>
      </c>
      <c r="AO38" s="3">
        <v>6131</v>
      </c>
      <c r="AP38" s="3">
        <v>1192</v>
      </c>
      <c r="AQ38" s="3">
        <v>4846</v>
      </c>
      <c r="AR38" s="3">
        <v>337299</v>
      </c>
      <c r="AS38" s="3">
        <v>65644</v>
      </c>
      <c r="AT38" s="38">
        <f t="shared" si="40"/>
        <v>0.10833970117624923</v>
      </c>
      <c r="AU38" s="16">
        <v>540265</v>
      </c>
      <c r="AV38" s="18">
        <v>605909</v>
      </c>
      <c r="AW38" s="7">
        <f t="shared" si="14"/>
        <v>0.10833970117624923</v>
      </c>
      <c r="AX38" s="1">
        <f t="shared" si="15"/>
        <v>3.2589052151395674E-2</v>
      </c>
      <c r="AY38" s="2">
        <f t="shared" si="16"/>
        <v>1.0459547941442909E-2</v>
      </c>
      <c r="AZ38" s="1">
        <f t="shared" si="17"/>
        <v>0.58641726328526778</v>
      </c>
      <c r="BA38" s="8">
        <f t="shared" si="18"/>
        <v>0.10833970117624923</v>
      </c>
      <c r="BB38" s="5">
        <f t="shared" si="19"/>
        <v>65644</v>
      </c>
      <c r="BC38" s="26">
        <v>0.17431250101218676</v>
      </c>
      <c r="BD38" s="6">
        <f t="shared" si="20"/>
        <v>5.1772548834503107E-2</v>
      </c>
      <c r="BE38" s="6">
        <f t="shared" si="21"/>
        <v>1.6616545153553604E-2</v>
      </c>
      <c r="BF38" s="6">
        <f t="shared" si="22"/>
        <v>0.93161090601194319</v>
      </c>
      <c r="BH38">
        <v>1984</v>
      </c>
      <c r="BI38" s="5">
        <v>1627518</v>
      </c>
      <c r="BJ38" s="5">
        <v>295867.09154975798</v>
      </c>
      <c r="BK38" s="1">
        <v>0.153826237319623</v>
      </c>
      <c r="BL38" s="5">
        <v>1923385.09154976</v>
      </c>
      <c r="BN38" s="6">
        <f t="shared" si="35"/>
        <v>0.10833970117624923</v>
      </c>
      <c r="BP38" t="s">
        <v>55</v>
      </c>
      <c r="BQ38" s="19">
        <v>1984</v>
      </c>
      <c r="BR38" s="12">
        <v>612803</v>
      </c>
      <c r="BS38" s="5">
        <v>30552</v>
      </c>
      <c r="BT38" s="5">
        <v>17335</v>
      </c>
      <c r="BU38">
        <v>1</v>
      </c>
      <c r="BV38" s="5">
        <v>1192</v>
      </c>
      <c r="BW38">
        <v>0</v>
      </c>
      <c r="BX38" s="5">
        <v>22246</v>
      </c>
      <c r="BY38" s="14">
        <v>541478</v>
      </c>
      <c r="BZ38" s="5">
        <f t="shared" si="30"/>
        <v>612804</v>
      </c>
      <c r="CA38" s="5"/>
      <c r="CB38" s="41">
        <v>0.11600000000000001</v>
      </c>
      <c r="CC38">
        <f t="shared" si="31"/>
        <v>1984</v>
      </c>
      <c r="CD38" s="6">
        <f t="shared" si="23"/>
        <v>1.137794619324024E-2</v>
      </c>
      <c r="CE38" s="6">
        <f t="shared" si="32"/>
        <v>2.245194487890202E-3</v>
      </c>
      <c r="CH38">
        <v>1984</v>
      </c>
      <c r="CI38" s="5">
        <v>540265</v>
      </c>
      <c r="CJ38" s="5">
        <v>1061099</v>
      </c>
      <c r="CK38" s="6">
        <f t="shared" si="36"/>
        <v>-2.2401648820450691E-3</v>
      </c>
      <c r="CL38" s="6">
        <f t="shared" si="37"/>
        <v>7.8068047172652172E-2</v>
      </c>
    </row>
    <row r="39" spans="1:100" x14ac:dyDescent="0.35">
      <c r="A39" t="str">
        <f t="shared" si="24"/>
        <v>Grant</v>
      </c>
      <c r="B39">
        <f t="shared" si="1"/>
        <v>1985</v>
      </c>
      <c r="C39" s="36">
        <f t="shared" si="2"/>
        <v>1147702</v>
      </c>
      <c r="D39" s="31">
        <f t="shared" si="3"/>
        <v>1010518</v>
      </c>
      <c r="E39" s="26">
        <f t="shared" si="4"/>
        <v>-0.12729861165186437</v>
      </c>
      <c r="F39" s="26" t="str">
        <f t="shared" si="5"/>
        <v>Grant</v>
      </c>
      <c r="G39" s="5">
        <f t="shared" si="25"/>
        <v>1383808</v>
      </c>
      <c r="H39" s="5">
        <f t="shared" si="6"/>
        <v>1154731.9912101116</v>
      </c>
      <c r="I39" s="26">
        <f t="shared" si="7"/>
        <v>-0.18097084444265166</v>
      </c>
      <c r="J39">
        <v>1985</v>
      </c>
      <c r="K39" s="5">
        <v>1147702</v>
      </c>
      <c r="L39" s="31">
        <v>1010518</v>
      </c>
      <c r="N39" t="str">
        <f t="shared" si="26"/>
        <v>Grant</v>
      </c>
      <c r="O39">
        <f t="shared" si="27"/>
        <v>1985</v>
      </c>
      <c r="P39" s="35">
        <f t="shared" si="28"/>
        <v>1383808</v>
      </c>
      <c r="Q39" s="39">
        <f t="shared" si="29"/>
        <v>1839044</v>
      </c>
      <c r="R39" s="5"/>
      <c r="S39" s="5">
        <f t="shared" si="8"/>
        <v>111186.61921561987</v>
      </c>
      <c r="T39" s="5">
        <f t="shared" si="9"/>
        <v>831178.65685265593</v>
      </c>
      <c r="U39" s="5">
        <f t="shared" si="10"/>
        <v>210263.32686776348</v>
      </c>
      <c r="V39" s="5">
        <f t="shared" si="11"/>
        <v>2103.3882740723952</v>
      </c>
      <c r="W39" s="12">
        <f t="shared" si="12"/>
        <v>1154731.9912101116</v>
      </c>
      <c r="X39" s="29"/>
      <c r="Y39" s="29"/>
      <c r="Z39" s="29"/>
      <c r="AA39" s="29"/>
      <c r="AB39" s="12">
        <f t="shared" si="13"/>
        <v>1154731.9912101116</v>
      </c>
      <c r="AD39" t="s">
        <v>52</v>
      </c>
      <c r="AE39">
        <v>1985</v>
      </c>
      <c r="AF39" s="14">
        <v>1147702</v>
      </c>
      <c r="AG39" s="5">
        <f t="shared" si="38"/>
        <v>604708</v>
      </c>
      <c r="AH39" s="6">
        <f t="shared" si="39"/>
        <v>0.34507221483556932</v>
      </c>
      <c r="AI39" s="12">
        <f t="shared" si="33"/>
        <v>1752410</v>
      </c>
      <c r="AJ39" s="6">
        <f t="shared" si="34"/>
        <v>-4.7108171419498392E-2</v>
      </c>
      <c r="AK39" t="s">
        <v>52</v>
      </c>
      <c r="AL39">
        <v>1985</v>
      </c>
      <c r="AM39" s="3">
        <v>242114</v>
      </c>
      <c r="AN39" s="3">
        <v>36552</v>
      </c>
      <c r="AO39" s="3">
        <v>128032</v>
      </c>
      <c r="AP39" s="3">
        <v>124160</v>
      </c>
      <c r="AQ39" s="3">
        <v>15449</v>
      </c>
      <c r="AR39" s="3">
        <v>58400</v>
      </c>
      <c r="AS39" s="3">
        <v>604708</v>
      </c>
      <c r="AT39" s="38">
        <f t="shared" si="40"/>
        <v>0.34507221483556932</v>
      </c>
      <c r="AU39" s="16">
        <v>1147702</v>
      </c>
      <c r="AV39" s="18">
        <v>1752410</v>
      </c>
      <c r="AW39" s="7">
        <f t="shared" si="14"/>
        <v>0.34507221483556932</v>
      </c>
      <c r="AX39" s="1">
        <f t="shared" si="15"/>
        <v>0.13816059027282429</v>
      </c>
      <c r="AY39" s="2">
        <f t="shared" si="16"/>
        <v>8.4772786261765903E-2</v>
      </c>
      <c r="AZ39" s="1">
        <f t="shared" si="17"/>
        <v>4.2727069866807139E-2</v>
      </c>
      <c r="BA39" s="8">
        <f t="shared" si="18"/>
        <v>0.34507221483556932</v>
      </c>
      <c r="BB39" s="5">
        <f t="shared" si="19"/>
        <v>604708.00000000012</v>
      </c>
      <c r="BC39" s="26">
        <v>0.38</v>
      </c>
      <c r="BD39" s="6">
        <f t="shared" si="20"/>
        <v>0.52006458674721845</v>
      </c>
      <c r="BE39" s="6">
        <f t="shared" si="21"/>
        <v>0.31910202444544267</v>
      </c>
      <c r="BF39" s="6">
        <f t="shared" si="22"/>
        <v>0.16083338880733883</v>
      </c>
      <c r="BH39">
        <v>1985</v>
      </c>
      <c r="BI39" s="5">
        <v>2969439</v>
      </c>
      <c r="BJ39" s="5">
        <v>1733316.5485748299</v>
      </c>
      <c r="BK39" s="1">
        <v>0.36857466450709098</v>
      </c>
      <c r="BL39" s="5">
        <v>4702755.5485748304</v>
      </c>
      <c r="BN39" s="6">
        <f t="shared" si="35"/>
        <v>0.34507221483556932</v>
      </c>
      <c r="BP39" t="s">
        <v>55</v>
      </c>
      <c r="BQ39" s="19">
        <v>1985</v>
      </c>
      <c r="BR39" s="12">
        <v>1839044</v>
      </c>
      <c r="BS39" s="5">
        <v>248099</v>
      </c>
      <c r="BT39" s="5">
        <v>23242</v>
      </c>
      <c r="BU39" s="5">
        <v>2142</v>
      </c>
      <c r="BV39" s="5">
        <v>124098</v>
      </c>
      <c r="BW39">
        <v>0</v>
      </c>
      <c r="BX39" s="5">
        <v>57656</v>
      </c>
      <c r="BY39" s="14">
        <v>1383808</v>
      </c>
      <c r="BZ39" s="5">
        <f t="shared" si="30"/>
        <v>1839045</v>
      </c>
      <c r="CA39" s="5"/>
      <c r="CB39" s="41">
        <v>0.248</v>
      </c>
      <c r="CC39">
        <f t="shared" si="31"/>
        <v>1985</v>
      </c>
      <c r="CD39" s="6">
        <f t="shared" si="23"/>
        <v>4.9437060961761231E-2</v>
      </c>
      <c r="CE39" s="6">
        <f t="shared" si="32"/>
        <v>0.20572064873982968</v>
      </c>
      <c r="CH39">
        <v>1985</v>
      </c>
      <c r="CI39" s="5">
        <v>1147702</v>
      </c>
      <c r="CJ39" s="5">
        <v>1010518</v>
      </c>
      <c r="CK39" s="6">
        <f t="shared" si="36"/>
        <v>-0.17062049070391269</v>
      </c>
      <c r="CL39" s="6">
        <f t="shared" si="37"/>
        <v>-0.12488957810806066</v>
      </c>
    </row>
    <row r="40" spans="1:100" x14ac:dyDescent="0.35">
      <c r="A40" t="str">
        <f t="shared" si="24"/>
        <v>Grant</v>
      </c>
      <c r="B40">
        <f t="shared" si="1"/>
        <v>1986</v>
      </c>
      <c r="C40" s="36">
        <f t="shared" si="2"/>
        <v>833591</v>
      </c>
      <c r="D40" s="31">
        <f t="shared" si="3"/>
        <v>1322564</v>
      </c>
      <c r="E40" s="26">
        <f t="shared" si="4"/>
        <v>0.46158468136053471</v>
      </c>
      <c r="F40" s="26" t="str">
        <f t="shared" si="5"/>
        <v>Grant</v>
      </c>
      <c r="G40" s="5">
        <f t="shared" si="25"/>
        <v>997327</v>
      </c>
      <c r="H40" s="5">
        <f t="shared" si="6"/>
        <v>1522545.2624981394</v>
      </c>
      <c r="I40" s="26">
        <f t="shared" si="7"/>
        <v>0.4230600280662542</v>
      </c>
      <c r="J40">
        <v>1986</v>
      </c>
      <c r="K40" s="5">
        <v>833591</v>
      </c>
      <c r="L40" s="31">
        <v>1322564</v>
      </c>
      <c r="N40" t="str">
        <f t="shared" si="26"/>
        <v>Grant</v>
      </c>
      <c r="O40">
        <f t="shared" si="27"/>
        <v>1986</v>
      </c>
      <c r="P40" s="35">
        <f t="shared" si="28"/>
        <v>997327</v>
      </c>
      <c r="Q40" s="39">
        <f t="shared" si="29"/>
        <v>1580868</v>
      </c>
      <c r="R40" s="5"/>
      <c r="S40" s="5">
        <f t="shared" si="8"/>
        <v>117583.19231192564</v>
      </c>
      <c r="T40" s="5">
        <f t="shared" si="9"/>
        <v>1210999.9096838639</v>
      </c>
      <c r="U40" s="5">
        <f t="shared" si="10"/>
        <v>191711.88629146849</v>
      </c>
      <c r="V40" s="5">
        <f t="shared" si="11"/>
        <v>2250.2742108815128</v>
      </c>
      <c r="W40" s="12">
        <f t="shared" si="12"/>
        <v>1522545.2624981394</v>
      </c>
      <c r="X40" s="29"/>
      <c r="Y40" s="29"/>
      <c r="Z40" s="29"/>
      <c r="AA40" s="29"/>
      <c r="AB40" s="12">
        <f t="shared" si="13"/>
        <v>1522545.2624981394</v>
      </c>
      <c r="AD40" t="s">
        <v>52</v>
      </c>
      <c r="AE40">
        <v>1986</v>
      </c>
      <c r="AF40" s="14">
        <v>833591</v>
      </c>
      <c r="AG40" s="5">
        <f t="shared" si="38"/>
        <v>622194</v>
      </c>
      <c r="AH40" s="6">
        <f t="shared" si="39"/>
        <v>0.42739415504349887</v>
      </c>
      <c r="AI40" s="12">
        <f t="shared" si="33"/>
        <v>1455785</v>
      </c>
      <c r="AJ40" s="6">
        <f t="shared" si="34"/>
        <v>-7.9122988130571309E-2</v>
      </c>
      <c r="AK40" t="s">
        <v>52</v>
      </c>
      <c r="AL40">
        <v>1986</v>
      </c>
      <c r="AM40" s="3">
        <v>342548</v>
      </c>
      <c r="AN40" s="3">
        <v>61331</v>
      </c>
      <c r="AO40" s="3">
        <v>17228</v>
      </c>
      <c r="AP40" s="3">
        <v>68213</v>
      </c>
      <c r="AQ40" s="3">
        <v>17213</v>
      </c>
      <c r="AR40" s="3">
        <v>115661</v>
      </c>
      <c r="AS40" s="3">
        <v>622194</v>
      </c>
      <c r="AT40" s="38">
        <f t="shared" si="40"/>
        <v>0.42739415504349887</v>
      </c>
      <c r="AU40" s="16">
        <v>833591</v>
      </c>
      <c r="AV40" s="18">
        <v>1455785</v>
      </c>
      <c r="AW40" s="7">
        <f t="shared" si="14"/>
        <v>0.42739415504349887</v>
      </c>
      <c r="AX40" s="1">
        <f t="shared" si="15"/>
        <v>0.23530122923371238</v>
      </c>
      <c r="AY40" s="2">
        <f t="shared" si="16"/>
        <v>1.5475590552595718E-2</v>
      </c>
      <c r="AZ40" s="1">
        <f t="shared" si="17"/>
        <v>0.10721304120519543</v>
      </c>
      <c r="BA40" s="8">
        <f t="shared" si="18"/>
        <v>0.42739415504349887</v>
      </c>
      <c r="BB40" s="5">
        <f t="shared" si="19"/>
        <v>622194</v>
      </c>
      <c r="BC40" s="26">
        <v>0.5</v>
      </c>
      <c r="BD40" s="6">
        <f t="shared" si="20"/>
        <v>0.65728461856995712</v>
      </c>
      <c r="BE40" s="6">
        <f t="shared" si="21"/>
        <v>4.3229130874639525E-2</v>
      </c>
      <c r="BF40" s="6">
        <f t="shared" si="22"/>
        <v>0.29948625055540329</v>
      </c>
      <c r="BH40">
        <v>1986</v>
      </c>
      <c r="BI40" s="5">
        <v>2321907</v>
      </c>
      <c r="BJ40" s="5">
        <v>1888703.2457457201</v>
      </c>
      <c r="BK40" s="1">
        <v>0.44855807959285898</v>
      </c>
      <c r="BL40" s="5">
        <v>4210610.2457457203</v>
      </c>
      <c r="BN40" s="6">
        <f t="shared" si="35"/>
        <v>0.42739415504349887</v>
      </c>
      <c r="BP40" t="s">
        <v>55</v>
      </c>
      <c r="BQ40" s="19">
        <v>1986</v>
      </c>
      <c r="BR40" s="12">
        <v>1580868</v>
      </c>
      <c r="BS40" s="5">
        <v>346413</v>
      </c>
      <c r="BT40" s="5">
        <v>54696</v>
      </c>
      <c r="BU40" s="5">
        <v>1188</v>
      </c>
      <c r="BV40" s="5">
        <v>67221</v>
      </c>
      <c r="BW40">
        <v>0</v>
      </c>
      <c r="BX40" s="5">
        <v>114023</v>
      </c>
      <c r="BY40" s="14">
        <v>997327</v>
      </c>
      <c r="BZ40" s="5">
        <f t="shared" si="30"/>
        <v>1580868</v>
      </c>
      <c r="CA40" s="5"/>
      <c r="CB40" s="41">
        <v>0.36899999999999999</v>
      </c>
      <c r="CC40">
        <f t="shared" si="31"/>
        <v>1986</v>
      </c>
      <c r="CD40" s="6">
        <f t="shared" si="23"/>
        <v>8.5921341406869828E-2</v>
      </c>
      <c r="CE40" s="6">
        <f t="shared" si="32"/>
        <v>0.19642246617345915</v>
      </c>
      <c r="CH40">
        <v>1986</v>
      </c>
      <c r="CI40" s="5">
        <v>833591</v>
      </c>
      <c r="CJ40" s="5">
        <v>1322564</v>
      </c>
      <c r="CK40" s="6">
        <f t="shared" si="36"/>
        <v>-0.1641748393455707</v>
      </c>
      <c r="CL40" s="6">
        <f t="shared" si="37"/>
        <v>-0.13134667810795791</v>
      </c>
    </row>
    <row r="41" spans="1:100" x14ac:dyDescent="0.35">
      <c r="A41" t="str">
        <f t="shared" si="24"/>
        <v>Grant</v>
      </c>
      <c r="B41">
        <f t="shared" si="1"/>
        <v>1987</v>
      </c>
      <c r="C41" s="36">
        <f t="shared" si="2"/>
        <v>430000</v>
      </c>
      <c r="D41" s="31">
        <f t="shared" si="3"/>
        <v>1116839</v>
      </c>
      <c r="E41" s="26">
        <f t="shared" si="4"/>
        <v>0.95447244391420738</v>
      </c>
      <c r="F41" s="26" t="str">
        <f t="shared" si="5"/>
        <v>Grant</v>
      </c>
      <c r="G41" s="5">
        <f t="shared" si="25"/>
        <v>363671</v>
      </c>
      <c r="H41" s="5">
        <f t="shared" si="6"/>
        <v>1482704.3872326303</v>
      </c>
      <c r="I41" s="26">
        <f t="shared" si="7"/>
        <v>1.4053733752002293</v>
      </c>
      <c r="J41">
        <v>1987</v>
      </c>
      <c r="K41" s="5">
        <v>430000</v>
      </c>
      <c r="L41" s="31">
        <v>1116839</v>
      </c>
      <c r="N41" t="str">
        <f t="shared" si="26"/>
        <v>Grant</v>
      </c>
      <c r="O41">
        <f t="shared" si="27"/>
        <v>1987</v>
      </c>
      <c r="P41" s="35">
        <f t="shared" si="28"/>
        <v>363671</v>
      </c>
      <c r="Q41" s="39">
        <f t="shared" si="29"/>
        <v>481076</v>
      </c>
      <c r="R41" s="5"/>
      <c r="S41" s="5">
        <f>$Q44*S$2</f>
        <v>171314.83598155549</v>
      </c>
      <c r="T41" s="5">
        <f t="shared" si="9"/>
        <v>1104153.9218596166</v>
      </c>
      <c r="U41" s="5">
        <f>$Q46*U$2</f>
        <v>205099.70458563673</v>
      </c>
      <c r="V41" s="5">
        <f t="shared" si="11"/>
        <v>2135.9248058214453</v>
      </c>
      <c r="W41" s="12">
        <f t="shared" si="12"/>
        <v>1482704.3872326303</v>
      </c>
      <c r="X41" s="29"/>
      <c r="Y41" s="29"/>
      <c r="Z41" s="29"/>
      <c r="AA41" s="29"/>
      <c r="AB41" s="12">
        <f t="shared" si="13"/>
        <v>1482704.3872326303</v>
      </c>
      <c r="AD41" t="s">
        <v>52</v>
      </c>
      <c r="AE41">
        <v>1987</v>
      </c>
      <c r="AF41" s="14">
        <v>430000</v>
      </c>
      <c r="AG41" s="5">
        <f t="shared" si="38"/>
        <v>136674</v>
      </c>
      <c r="AH41" s="6">
        <f t="shared" si="39"/>
        <v>0.24118629053035784</v>
      </c>
      <c r="AI41" s="12">
        <f t="shared" si="33"/>
        <v>566674</v>
      </c>
      <c r="AJ41" s="6">
        <f t="shared" si="34"/>
        <v>0.17793030623020065</v>
      </c>
      <c r="AK41" t="s">
        <v>52</v>
      </c>
      <c r="AL41">
        <v>1987</v>
      </c>
      <c r="AM41" s="3">
        <v>17868</v>
      </c>
      <c r="AN41" s="3">
        <v>26729</v>
      </c>
      <c r="AO41" s="3">
        <v>22999</v>
      </c>
      <c r="AP41" s="3">
        <v>18649</v>
      </c>
      <c r="AQ41" s="3">
        <v>14081</v>
      </c>
      <c r="AR41" s="3">
        <v>36348</v>
      </c>
      <c r="AS41" s="3">
        <v>136674</v>
      </c>
      <c r="AT41" s="38">
        <f t="shared" si="40"/>
        <v>0.24118629053035784</v>
      </c>
      <c r="AU41" s="16">
        <v>430000</v>
      </c>
      <c r="AV41" s="18">
        <v>566674</v>
      </c>
      <c r="AW41" s="7">
        <f t="shared" si="14"/>
        <v>0.24118629053035784</v>
      </c>
      <c r="AX41" s="1">
        <f t="shared" si="15"/>
        <v>3.1531356653031549E-2</v>
      </c>
      <c r="AY41" s="2">
        <f t="shared" si="16"/>
        <v>4.1907340663185168E-2</v>
      </c>
      <c r="AZ41" s="1">
        <f t="shared" si="17"/>
        <v>7.1030199755337822E-2</v>
      </c>
      <c r="BA41" s="8">
        <f t="shared" si="18"/>
        <v>0.24118629053035784</v>
      </c>
      <c r="BB41" s="5">
        <f t="shared" si="19"/>
        <v>136674</v>
      </c>
      <c r="BC41" s="26">
        <v>0.52</v>
      </c>
      <c r="BD41" s="6">
        <f t="shared" si="20"/>
        <v>0.21825705942376142</v>
      </c>
      <c r="BE41" s="6">
        <f t="shared" si="21"/>
        <v>0.29007863638931725</v>
      </c>
      <c r="BF41" s="6">
        <f t="shared" si="22"/>
        <v>0.49166430418692142</v>
      </c>
      <c r="BH41">
        <v>1987</v>
      </c>
      <c r="BI41" s="5">
        <v>1317145</v>
      </c>
      <c r="BJ41" s="5">
        <v>638770.31534722797</v>
      </c>
      <c r="BK41" s="1">
        <v>0.32658383025843302</v>
      </c>
      <c r="BL41" s="5">
        <v>1955915.3153472301</v>
      </c>
      <c r="BN41" s="6">
        <f t="shared" si="35"/>
        <v>0.24118629053035784</v>
      </c>
      <c r="BP41" t="s">
        <v>55</v>
      </c>
      <c r="BQ41" s="19">
        <v>1987</v>
      </c>
      <c r="BR41" s="12">
        <v>481076</v>
      </c>
      <c r="BS41" s="5">
        <v>22167</v>
      </c>
      <c r="BT41" s="5">
        <v>25236</v>
      </c>
      <c r="BU41" s="5">
        <v>10167</v>
      </c>
      <c r="BV41" s="5">
        <v>21984</v>
      </c>
      <c r="BW41">
        <v>0</v>
      </c>
      <c r="BX41" s="5">
        <v>37852</v>
      </c>
      <c r="BY41" s="14">
        <v>363671</v>
      </c>
      <c r="BZ41" s="5">
        <f t="shared" si="30"/>
        <v>481077</v>
      </c>
      <c r="CA41" s="5"/>
      <c r="CB41" s="41">
        <v>0.24399999999999999</v>
      </c>
      <c r="CC41">
        <f t="shared" si="31"/>
        <v>1987</v>
      </c>
      <c r="CD41" s="6">
        <f t="shared" si="23"/>
        <v>-0.15105333930972659</v>
      </c>
      <c r="CE41" s="6">
        <f t="shared" si="32"/>
        <v>-0.15425348837209302</v>
      </c>
      <c r="CH41">
        <v>1987</v>
      </c>
      <c r="CI41" s="5">
        <v>430000</v>
      </c>
      <c r="CJ41" s="5">
        <v>1116839</v>
      </c>
      <c r="CK41" s="6">
        <f t="shared" si="36"/>
        <v>0.18238737760228338</v>
      </c>
      <c r="CL41" s="6">
        <f t="shared" si="37"/>
        <v>-0.24675544928783399</v>
      </c>
    </row>
    <row r="42" spans="1:100" x14ac:dyDescent="0.35">
      <c r="A42" t="str">
        <f t="shared" si="24"/>
        <v>Grant</v>
      </c>
      <c r="B42">
        <f t="shared" si="1"/>
        <v>1988</v>
      </c>
      <c r="C42" s="36">
        <f t="shared" si="2"/>
        <v>488070</v>
      </c>
      <c r="D42" s="31">
        <f t="shared" si="3"/>
        <v>406805</v>
      </c>
      <c r="E42" s="26">
        <f t="shared" si="4"/>
        <v>-0.18212488303820401</v>
      </c>
      <c r="F42" s="26" t="str">
        <f t="shared" si="5"/>
        <v>Grant</v>
      </c>
      <c r="G42" s="5">
        <f t="shared" si="25"/>
        <v>528467</v>
      </c>
      <c r="H42" s="5">
        <f t="shared" si="6"/>
        <v>1535457.5528593045</v>
      </c>
      <c r="I42" s="26">
        <f t="shared" si="7"/>
        <v>1.0666033331525118</v>
      </c>
      <c r="J42">
        <v>1988</v>
      </c>
      <c r="K42" s="5">
        <v>488070</v>
      </c>
      <c r="L42" s="31">
        <v>406805</v>
      </c>
      <c r="N42" t="str">
        <f t="shared" si="26"/>
        <v>Grant</v>
      </c>
      <c r="O42">
        <f t="shared" si="27"/>
        <v>1988</v>
      </c>
      <c r="P42" s="35">
        <f t="shared" si="28"/>
        <v>528467</v>
      </c>
      <c r="Q42" s="39">
        <f>BR42</f>
        <v>1035111</v>
      </c>
      <c r="R42" s="5"/>
      <c r="S42" s="5">
        <f>$Q45*S$2</f>
        <v>156199.80357484243</v>
      </c>
      <c r="T42" s="5">
        <f>$Q46*T$2</f>
        <v>1181260.3150030011</v>
      </c>
      <c r="U42" s="5">
        <f>$Q47*U$2</f>
        <v>194677.406234639</v>
      </c>
      <c r="V42" s="5">
        <f>$Q48*V$2</f>
        <v>3320.0280468219853</v>
      </c>
      <c r="W42" s="12">
        <f t="shared" si="12"/>
        <v>1535457.5528593045</v>
      </c>
      <c r="X42" s="5">
        <f>$Q45*$S$2</f>
        <v>156199.80357484243</v>
      </c>
      <c r="Y42" s="5">
        <f>$Q46*$T$2</f>
        <v>1181260.3150030011</v>
      </c>
      <c r="Z42" s="5">
        <f>$Q47*$U$2</f>
        <v>194677.406234639</v>
      </c>
      <c r="AA42" s="5">
        <f>$Q48*$V$2</f>
        <v>3320.0280468219853</v>
      </c>
      <c r="AB42" s="12">
        <f>SUM(X42:AA42)</f>
        <v>1535457.5528593045</v>
      </c>
      <c r="AD42" t="s">
        <v>52</v>
      </c>
      <c r="AE42">
        <v>1988</v>
      </c>
      <c r="AF42" s="14">
        <v>488070</v>
      </c>
      <c r="AG42" s="5">
        <f t="shared" si="38"/>
        <v>685238</v>
      </c>
      <c r="AH42" s="6">
        <f t="shared" si="39"/>
        <v>0.58402226866261886</v>
      </c>
      <c r="AI42" s="12">
        <f t="shared" si="33"/>
        <v>1173308</v>
      </c>
      <c r="AJ42" s="6">
        <f>(AI42-BR42)/BR42</f>
        <v>0.13350935310319376</v>
      </c>
      <c r="AK42" t="s">
        <v>52</v>
      </c>
      <c r="AL42">
        <v>1988</v>
      </c>
      <c r="AM42" s="3">
        <v>250953</v>
      </c>
      <c r="AN42" s="3">
        <v>4743</v>
      </c>
      <c r="AO42" s="3">
        <v>196360</v>
      </c>
      <c r="AP42" s="3">
        <v>96300</v>
      </c>
      <c r="AQ42" s="3">
        <v>30719</v>
      </c>
      <c r="AR42" s="3">
        <v>106162</v>
      </c>
      <c r="AS42" s="3">
        <v>685238</v>
      </c>
      <c r="AT42" s="38">
        <f t="shared" si="40"/>
        <v>0.58402226866261886</v>
      </c>
      <c r="AU42" s="16">
        <v>488070</v>
      </c>
      <c r="AV42" s="18">
        <v>1173308</v>
      </c>
      <c r="AW42" s="7">
        <f t="shared" si="14"/>
        <v>0.58402226866261886</v>
      </c>
      <c r="AX42" s="1">
        <f t="shared" si="15"/>
        <v>0.2138850156992026</v>
      </c>
      <c r="AY42" s="2">
        <f t="shared" si="16"/>
        <v>0.21288983092193353</v>
      </c>
      <c r="AZ42" s="1">
        <f t="shared" si="17"/>
        <v>0.1526904423567044</v>
      </c>
      <c r="BA42" s="8">
        <f t="shared" si="18"/>
        <v>0.58402226866261886</v>
      </c>
      <c r="BB42" s="5">
        <f t="shared" si="19"/>
        <v>685238.00000000012</v>
      </c>
      <c r="BC42" s="26">
        <v>0.56000000000000005</v>
      </c>
      <c r="BD42" s="6">
        <f t="shared" si="20"/>
        <v>0.36910755444297511</v>
      </c>
      <c r="BE42" s="6">
        <f t="shared" si="21"/>
        <v>0.36739013530467862</v>
      </c>
      <c r="BF42" s="6">
        <f t="shared" si="22"/>
        <v>0.26350231025234622</v>
      </c>
      <c r="BH42">
        <v>1988</v>
      </c>
      <c r="BI42" s="5">
        <v>1634560</v>
      </c>
      <c r="BJ42" s="5">
        <v>1788874.08846441</v>
      </c>
      <c r="BK42" s="1">
        <v>0.52253790849725801</v>
      </c>
      <c r="BL42" s="5">
        <v>3423434.08846441</v>
      </c>
      <c r="BN42" s="6">
        <f t="shared" si="35"/>
        <v>0.58402226866261886</v>
      </c>
      <c r="BP42" t="s">
        <v>55</v>
      </c>
      <c r="BQ42" s="19">
        <v>1988</v>
      </c>
      <c r="BR42" s="12">
        <v>1035111</v>
      </c>
      <c r="BS42" s="5">
        <v>296424</v>
      </c>
      <c r="BT42" s="5">
        <v>3964</v>
      </c>
      <c r="BU42" s="5">
        <v>1537</v>
      </c>
      <c r="BV42" s="5">
        <v>96892</v>
      </c>
      <c r="BW42">
        <v>0</v>
      </c>
      <c r="BX42" s="5">
        <v>107827</v>
      </c>
      <c r="BY42" s="14">
        <v>528467</v>
      </c>
      <c r="BZ42" s="5">
        <f t="shared" si="30"/>
        <v>1035111</v>
      </c>
      <c r="CA42" s="5"/>
      <c r="CB42" s="41">
        <v>0.48899999999999999</v>
      </c>
      <c r="CC42">
        <f t="shared" si="31"/>
        <v>1988</v>
      </c>
      <c r="CD42" s="6">
        <f t="shared" si="23"/>
        <v>-0.11778407715621132</v>
      </c>
      <c r="CE42" s="6">
        <f t="shared" si="32"/>
        <v>8.2768865121806298E-2</v>
      </c>
      <c r="CH42">
        <v>1988</v>
      </c>
      <c r="CI42" s="5">
        <v>488070</v>
      </c>
      <c r="CJ42" s="5">
        <v>406805</v>
      </c>
      <c r="CK42" s="6">
        <f t="shared" si="36"/>
        <v>-7.6441859188937061E-2</v>
      </c>
      <c r="CL42" s="6">
        <f t="shared" si="37"/>
        <v>-0.7350594295215428</v>
      </c>
    </row>
    <row r="43" spans="1:100" x14ac:dyDescent="0.35">
      <c r="A43" t="str">
        <f t="shared" si="24"/>
        <v>Grant</v>
      </c>
      <c r="B43">
        <f t="shared" si="1"/>
        <v>1989</v>
      </c>
      <c r="C43" s="36">
        <f>K43</f>
        <v>523657</v>
      </c>
      <c r="D43" s="29">
        <f t="shared" ref="D43" si="41">W43</f>
        <v>1593610.9601886882</v>
      </c>
      <c r="E43" s="26">
        <f t="shared" si="4"/>
        <v>1.1129208745978811</v>
      </c>
      <c r="F43" s="26" t="str">
        <f t="shared" si="5"/>
        <v>Grant</v>
      </c>
      <c r="G43" s="5">
        <f t="shared" si="25"/>
        <v>739647</v>
      </c>
      <c r="H43" s="5">
        <f t="shared" si="6"/>
        <v>1593610.9601886882</v>
      </c>
      <c r="I43" s="26">
        <f t="shared" si="7"/>
        <v>0.76758471907752701</v>
      </c>
      <c r="J43">
        <v>1989</v>
      </c>
      <c r="K43" s="5">
        <v>523657</v>
      </c>
      <c r="L43" s="5" t="e">
        <f>NA()</f>
        <v>#N/A</v>
      </c>
      <c r="N43" t="str">
        <f t="shared" si="26"/>
        <v>Grant</v>
      </c>
      <c r="O43">
        <f t="shared" si="27"/>
        <v>1989</v>
      </c>
      <c r="P43" s="35">
        <f t="shared" si="28"/>
        <v>739647</v>
      </c>
      <c r="Q43" s="39">
        <f t="shared" ref="Q43:Q49" si="42">BR43</f>
        <v>1094661</v>
      </c>
      <c r="R43" s="5"/>
      <c r="S43" s="5">
        <f t="shared" ref="S43:S47" si="43">$Q46*S$2</f>
        <v>167107.70620048064</v>
      </c>
      <c r="T43" s="5">
        <f t="shared" ref="T43:T47" si="44">$Q47*T$2</f>
        <v>1121233.6686554225</v>
      </c>
      <c r="U43" s="5">
        <f t="shared" ref="U43:U48" si="45">$Q48*U$2</f>
        <v>302601.68664176733</v>
      </c>
      <c r="V43" s="5">
        <f t="shared" ref="V43:V48" si="46">$Q49*V$2</f>
        <v>2667.8986910175931</v>
      </c>
      <c r="W43" s="29">
        <f t="shared" si="12"/>
        <v>1593610.9601886882</v>
      </c>
      <c r="X43" s="5">
        <f>$Q46*$S$2</f>
        <v>167107.70620048064</v>
      </c>
      <c r="Y43" s="5">
        <f>$Q47*$T$2</f>
        <v>1121233.6686554225</v>
      </c>
      <c r="Z43" s="5">
        <f>$Q48*$U$2</f>
        <v>302601.68664176733</v>
      </c>
      <c r="AA43" s="5">
        <f>$Q49*$V$2</f>
        <v>2667.8986910175931</v>
      </c>
      <c r="AB43" s="12">
        <f t="shared" ref="AB43" si="47">SUM(X43:AA43)</f>
        <v>1593610.9601886882</v>
      </c>
      <c r="AE43">
        <v>1989</v>
      </c>
      <c r="AF43" s="14"/>
      <c r="AG43" s="5"/>
      <c r="AH43" s="6"/>
      <c r="AI43" s="12"/>
      <c r="AJ43" s="6"/>
      <c r="AK43" t="s">
        <v>52</v>
      </c>
      <c r="AL43">
        <v>1989</v>
      </c>
      <c r="AM43" s="3">
        <v>256398</v>
      </c>
      <c r="AN43" s="3">
        <v>8017</v>
      </c>
      <c r="AO43" s="3">
        <v>25786</v>
      </c>
      <c r="AP43" s="3">
        <v>55544</v>
      </c>
      <c r="AQ43" s="3">
        <v>16769</v>
      </c>
      <c r="AR43" s="3">
        <v>37156</v>
      </c>
      <c r="AS43" s="3">
        <v>399670</v>
      </c>
      <c r="AT43" s="38">
        <f t="shared" si="40"/>
        <v>0.43093335288510887</v>
      </c>
      <c r="AU43" s="16">
        <v>527782</v>
      </c>
      <c r="AV43" s="18">
        <v>927452</v>
      </c>
      <c r="AW43" s="7">
        <f t="shared" si="14"/>
        <v>0.43093335288510887</v>
      </c>
      <c r="AX43" s="1">
        <f t="shared" si="15"/>
        <v>0.27645419924696912</v>
      </c>
      <c r="AY43" s="2">
        <f t="shared" si="16"/>
        <v>3.842611771928936E-2</v>
      </c>
      <c r="AZ43" s="1">
        <f t="shared" si="17"/>
        <v>5.9118630260350455E-2</v>
      </c>
      <c r="BA43" s="8">
        <f t="shared" si="18"/>
        <v>0.43093335288510887</v>
      </c>
      <c r="BB43" s="5">
        <f t="shared" si="19"/>
        <v>399670.00000000006</v>
      </c>
      <c r="BC43" s="26">
        <v>0.56000000000000005</v>
      </c>
      <c r="BD43" s="6">
        <f t="shared" si="20"/>
        <v>0.73918443165954495</v>
      </c>
      <c r="BE43" s="6">
        <f t="shared" si="21"/>
        <v>0.10274391947955581</v>
      </c>
      <c r="BF43" s="6">
        <f t="shared" si="22"/>
        <v>0.15807164886089906</v>
      </c>
      <c r="BH43">
        <v>1989</v>
      </c>
      <c r="BI43" s="5">
        <v>1029563</v>
      </c>
      <c r="BJ43" s="5">
        <v>822368.73517123703</v>
      </c>
      <c r="BK43" s="1">
        <v>0.44405996158125</v>
      </c>
      <c r="BL43" s="5">
        <v>1851931.7351712401</v>
      </c>
      <c r="BN43" s="6">
        <f t="shared" si="35"/>
        <v>0.43093335288510887</v>
      </c>
      <c r="BP43" t="s">
        <v>55</v>
      </c>
      <c r="BQ43" s="19">
        <v>1989</v>
      </c>
      <c r="BR43" s="12">
        <v>1094661</v>
      </c>
      <c r="BS43" s="5">
        <v>244269</v>
      </c>
      <c r="BT43" s="5">
        <v>6323</v>
      </c>
      <c r="BU43" s="5">
        <v>9749</v>
      </c>
      <c r="BV43" s="5">
        <v>55358</v>
      </c>
      <c r="BW43">
        <v>0</v>
      </c>
      <c r="BX43" s="5">
        <v>39315</v>
      </c>
      <c r="BY43" s="14">
        <v>739647</v>
      </c>
      <c r="BZ43" s="5">
        <f t="shared" si="30"/>
        <v>1094661</v>
      </c>
      <c r="CA43" s="5"/>
      <c r="CB43" s="41">
        <v>0.32400000000000001</v>
      </c>
      <c r="CC43">
        <f t="shared" si="31"/>
        <v>1989</v>
      </c>
      <c r="CD43" s="6">
        <f t="shared" si="23"/>
        <v>0.18028857558126998</v>
      </c>
      <c r="CE43" s="6">
        <f t="shared" si="32"/>
        <v>0.40142520965095435</v>
      </c>
      <c r="CH43">
        <v>1989</v>
      </c>
      <c r="CI43" s="5"/>
      <c r="CJ43" s="5"/>
    </row>
    <row r="44" spans="1:100" x14ac:dyDescent="0.35">
      <c r="A44" t="str">
        <f t="shared" si="24"/>
        <v>Grant</v>
      </c>
      <c r="B44">
        <f t="shared" si="1"/>
        <v>1990</v>
      </c>
      <c r="C44" s="36">
        <f t="shared" si="2"/>
        <v>736039</v>
      </c>
      <c r="D44" s="29">
        <f>W44</f>
        <v>2146403.1629478713</v>
      </c>
      <c r="E44" s="26">
        <f t="shared" si="4"/>
        <v>1.0702656662608701</v>
      </c>
      <c r="F44" s="26" t="str">
        <f t="shared" si="5"/>
        <v>Grant</v>
      </c>
      <c r="G44" s="5">
        <f t="shared" si="25"/>
        <v>861972</v>
      </c>
      <c r="H44" s="5">
        <f t="shared" si="6"/>
        <v>2146403.1629478713</v>
      </c>
      <c r="I44" s="26">
        <f t="shared" si="7"/>
        <v>0.91232598517879238</v>
      </c>
      <c r="J44">
        <v>1990</v>
      </c>
      <c r="K44" s="5">
        <v>736039</v>
      </c>
      <c r="L44" s="5" t="e">
        <f>NA()</f>
        <v>#N/A</v>
      </c>
      <c r="N44" t="str">
        <f t="shared" si="26"/>
        <v>Grant</v>
      </c>
      <c r="O44">
        <f t="shared" si="27"/>
        <v>1990</v>
      </c>
      <c r="P44" s="35">
        <f t="shared" si="28"/>
        <v>861972</v>
      </c>
      <c r="Q44" s="39">
        <f t="shared" si="42"/>
        <v>1594885</v>
      </c>
      <c r="R44" s="5"/>
      <c r="S44" s="5">
        <f t="shared" si="43"/>
        <v>158616.00030411701</v>
      </c>
      <c r="T44" s="5">
        <f t="shared" si="44"/>
        <v>1742817.5452765916</v>
      </c>
      <c r="U44" s="5">
        <f t="shared" si="45"/>
        <v>243163.80232512346</v>
      </c>
      <c r="V44" s="5">
        <f>$Q50*V$2</f>
        <v>1805.8150420391403</v>
      </c>
      <c r="W44" s="29">
        <f>SUM(S44:V44)</f>
        <v>2146403.1629478713</v>
      </c>
      <c r="X44" s="5">
        <f>$Q47*$S$2</f>
        <v>158616.00030411701</v>
      </c>
      <c r="Y44" s="5">
        <f>$Q48*$T$2</f>
        <v>1742817.5452765916</v>
      </c>
      <c r="Z44" s="5">
        <f>$Q49*$U$2</f>
        <v>243163.80232512346</v>
      </c>
      <c r="AA44" s="32">
        <f>$R50*$V$2</f>
        <v>1805.8150420391403</v>
      </c>
      <c r="AB44" s="29">
        <f>SUM(X44:AA44)</f>
        <v>2146403.1629478713</v>
      </c>
      <c r="AE44">
        <v>1990</v>
      </c>
      <c r="AF44" s="14"/>
      <c r="AG44" s="5"/>
      <c r="AH44" s="6"/>
      <c r="AI44" s="12"/>
      <c r="AJ44" s="6"/>
      <c r="AK44" t="s">
        <v>52</v>
      </c>
      <c r="AL44">
        <v>1990</v>
      </c>
      <c r="AM44" s="3">
        <v>437784</v>
      </c>
      <c r="AN44" s="3">
        <v>8274</v>
      </c>
      <c r="AO44" s="3">
        <v>1988</v>
      </c>
      <c r="AP44" s="3">
        <v>143511</v>
      </c>
      <c r="AQ44" s="3">
        <v>15719</v>
      </c>
      <c r="AR44" s="3">
        <v>127188</v>
      </c>
      <c r="AS44" s="3">
        <v>734464</v>
      </c>
      <c r="AT44" s="38">
        <f t="shared" si="40"/>
        <v>0.49435485716516503</v>
      </c>
      <c r="AU44" s="16">
        <v>751239</v>
      </c>
      <c r="AV44" s="18">
        <v>1485702</v>
      </c>
      <c r="AW44" s="7">
        <f t="shared" si="14"/>
        <v>0.49435485716516503</v>
      </c>
      <c r="AX44" s="1">
        <f t="shared" si="15"/>
        <v>0.29466474434307821</v>
      </c>
      <c r="AY44" s="2">
        <f t="shared" si="16"/>
        <v>1.8970950017081489E-3</v>
      </c>
      <c r="AZ44" s="1">
        <f t="shared" si="17"/>
        <v>0.1234582041931216</v>
      </c>
      <c r="BA44" s="8">
        <f t="shared" si="18"/>
        <v>0.49435485716516503</v>
      </c>
      <c r="BB44" s="5">
        <f t="shared" si="19"/>
        <v>734464.97767152358</v>
      </c>
      <c r="BC44" s="26">
        <v>0.56999999999999995</v>
      </c>
      <c r="BD44" s="6">
        <f t="shared" si="20"/>
        <v>0.70154924479570446</v>
      </c>
      <c r="BE44" s="6">
        <f t="shared" si="21"/>
        <v>4.5166773131314411E-3</v>
      </c>
      <c r="BF44" s="6">
        <f t="shared" si="22"/>
        <v>0.29393407789116416</v>
      </c>
      <c r="BH44">
        <v>1990</v>
      </c>
      <c r="BI44" s="5">
        <v>1743112</v>
      </c>
      <c r="BJ44" s="5">
        <v>1884857.28070792</v>
      </c>
      <c r="BK44" s="1">
        <v>0.51953507179094105</v>
      </c>
      <c r="BL44" s="5">
        <v>3627969.28070792</v>
      </c>
      <c r="BN44" s="6">
        <f t="shared" si="35"/>
        <v>0.49435485716516503</v>
      </c>
      <c r="BP44" t="s">
        <v>55</v>
      </c>
      <c r="BQ44" s="19">
        <v>1990</v>
      </c>
      <c r="BR44" s="12">
        <v>1594885</v>
      </c>
      <c r="BS44" s="5">
        <v>451937</v>
      </c>
      <c r="BT44" s="5">
        <v>16682</v>
      </c>
      <c r="BU44">
        <v>4</v>
      </c>
      <c r="BV44" s="5">
        <v>144478</v>
      </c>
      <c r="BW44">
        <v>0</v>
      </c>
      <c r="BX44" s="5">
        <v>119812</v>
      </c>
      <c r="BY44" s="14">
        <v>861972</v>
      </c>
      <c r="BZ44" s="5">
        <f t="shared" si="30"/>
        <v>1594885</v>
      </c>
      <c r="CA44" s="5"/>
      <c r="CB44" s="41">
        <v>0.46</v>
      </c>
      <c r="CC44">
        <f t="shared" si="31"/>
        <v>1990</v>
      </c>
      <c r="CD44" s="6">
        <f t="shared" si="23"/>
        <v>7.3489165391175351E-2</v>
      </c>
      <c r="CE44" s="6">
        <f t="shared" si="32"/>
        <v>0.14740049438327882</v>
      </c>
      <c r="CH44">
        <v>1990</v>
      </c>
      <c r="CI44" s="5"/>
      <c r="CJ44" s="5"/>
    </row>
    <row r="45" spans="1:100" x14ac:dyDescent="0.35">
      <c r="A45" t="str">
        <f t="shared" si="24"/>
        <v>Grant</v>
      </c>
      <c r="B45">
        <f t="shared" si="1"/>
        <v>1991</v>
      </c>
      <c r="C45" s="36">
        <f t="shared" si="2"/>
        <v>790060</v>
      </c>
      <c r="D45" s="29">
        <f t="shared" ref="D45:D46" si="48">W45</f>
        <v>1813267.302483201</v>
      </c>
      <c r="E45" s="26">
        <f t="shared" si="4"/>
        <v>0.83077674450295746</v>
      </c>
      <c r="F45" s="26" t="str">
        <f t="shared" si="5"/>
        <v>Grant</v>
      </c>
      <c r="G45" s="5">
        <f t="shared" si="25"/>
        <v>1106348</v>
      </c>
      <c r="H45" s="5">
        <f t="shared" si="6"/>
        <v>1813267.302483201</v>
      </c>
      <c r="I45" s="26">
        <f t="shared" si="7"/>
        <v>0.49406585647799239</v>
      </c>
      <c r="J45">
        <v>1991</v>
      </c>
      <c r="K45" s="5">
        <v>790060</v>
      </c>
      <c r="L45" s="5" t="e">
        <f>NA()</f>
        <v>#N/A</v>
      </c>
      <c r="N45" t="str">
        <f t="shared" si="26"/>
        <v>Grant</v>
      </c>
      <c r="O45">
        <f t="shared" si="27"/>
        <v>1991</v>
      </c>
      <c r="P45" s="35">
        <f t="shared" si="28"/>
        <v>1106348</v>
      </c>
      <c r="Q45" s="39">
        <f t="shared" si="42"/>
        <v>1454169</v>
      </c>
      <c r="R45" s="5"/>
      <c r="S45" s="5">
        <f t="shared" si="43"/>
        <v>246548.74003481914</v>
      </c>
      <c r="T45" s="5">
        <f t="shared" si="44"/>
        <v>1400488.3639994203</v>
      </c>
      <c r="U45" s="5">
        <f t="shared" si="45"/>
        <v>164589.77748913493</v>
      </c>
      <c r="V45" s="5">
        <f>$Q51*V$2</f>
        <v>1640.4209598264956</v>
      </c>
      <c r="W45" s="29">
        <f t="shared" si="12"/>
        <v>1813267.302483201</v>
      </c>
      <c r="X45" s="5">
        <f>$Q48*$S$2</f>
        <v>246548.74003481914</v>
      </c>
      <c r="Y45" s="5">
        <f>$Q49*$T$2</f>
        <v>1400488.3639994203</v>
      </c>
      <c r="Z45" s="32">
        <f>$R50*$U$2</f>
        <v>164589.77748913493</v>
      </c>
      <c r="AA45" s="32">
        <f t="shared" ref="AA45:AA73" si="49">$R51*$V$2</f>
        <v>1640.4209598264956</v>
      </c>
      <c r="AB45" s="29">
        <f t="shared" ref="AB45:AB71" si="50">SUM(X45:AA45)</f>
        <v>1813267.302483201</v>
      </c>
      <c r="AC45" t="s">
        <v>78</v>
      </c>
      <c r="AE45">
        <v>1991</v>
      </c>
      <c r="AF45" s="14"/>
      <c r="AG45" s="5"/>
      <c r="AH45" s="6"/>
      <c r="AI45" s="12"/>
      <c r="AJ45" s="6"/>
      <c r="AK45" s="6"/>
      <c r="AL45">
        <v>1991</v>
      </c>
      <c r="AT45" s="27">
        <f>BC45</f>
        <v>0.42</v>
      </c>
      <c r="AW45" s="6"/>
      <c r="BA45" s="5"/>
      <c r="BC45" s="26">
        <v>0.42</v>
      </c>
      <c r="BP45" t="s">
        <v>55</v>
      </c>
      <c r="BQ45" s="19">
        <v>1991</v>
      </c>
      <c r="BR45" s="12">
        <v>1454169</v>
      </c>
      <c r="BS45" s="5">
        <v>104533</v>
      </c>
      <c r="BT45" s="5">
        <v>54637</v>
      </c>
      <c r="BU45">
        <v>78</v>
      </c>
      <c r="BV45" s="5">
        <v>110837</v>
      </c>
      <c r="BW45">
        <v>0</v>
      </c>
      <c r="BX45" s="5">
        <v>77737</v>
      </c>
      <c r="BY45" s="14">
        <v>1106348</v>
      </c>
      <c r="BZ45" s="5">
        <f t="shared" si="30"/>
        <v>1454170</v>
      </c>
      <c r="CA45" s="5"/>
      <c r="CB45" s="41">
        <v>0.23899999999999999</v>
      </c>
      <c r="CH45">
        <v>1991</v>
      </c>
      <c r="CI45" s="5"/>
      <c r="CJ45" s="5"/>
    </row>
    <row r="46" spans="1:100" ht="43.5" x14ac:dyDescent="0.35">
      <c r="A46" t="str">
        <f t="shared" si="24"/>
        <v>Grant</v>
      </c>
      <c r="B46">
        <f t="shared" si="1"/>
        <v>1992</v>
      </c>
      <c r="C46" s="36">
        <f t="shared" si="2"/>
        <v>757025</v>
      </c>
      <c r="D46" s="29">
        <f t="shared" si="48"/>
        <v>1301468.2344712224</v>
      </c>
      <c r="E46" s="26">
        <f t="shared" si="4"/>
        <v>0.54185203928518566</v>
      </c>
      <c r="F46" s="26" t="str">
        <f t="shared" si="5"/>
        <v>Grant</v>
      </c>
      <c r="G46" s="5">
        <f t="shared" si="25"/>
        <v>1035859</v>
      </c>
      <c r="H46" s="5">
        <f t="shared" si="6"/>
        <v>1301468.2344712224</v>
      </c>
      <c r="I46" s="26">
        <f t="shared" si="7"/>
        <v>0.22826200410556305</v>
      </c>
      <c r="J46">
        <v>1992</v>
      </c>
      <c r="K46" s="5">
        <v>757025</v>
      </c>
      <c r="L46" s="5" t="e">
        <f>NA()</f>
        <v>#N/A</v>
      </c>
      <c r="N46" t="str">
        <f t="shared" si="26"/>
        <v>Grant</v>
      </c>
      <c r="O46">
        <f t="shared" si="27"/>
        <v>1992</v>
      </c>
      <c r="P46" s="35">
        <f>BY46</f>
        <v>1035859</v>
      </c>
      <c r="Q46" s="39">
        <f t="shared" si="42"/>
        <v>1555718</v>
      </c>
      <c r="R46" s="5"/>
      <c r="S46" s="5">
        <f t="shared" si="43"/>
        <v>198120.9349844385</v>
      </c>
      <c r="T46" s="5">
        <f t="shared" si="44"/>
        <v>947945.64817088959</v>
      </c>
      <c r="U46" s="5">
        <f t="shared" si="45"/>
        <v>149515.04693496955</v>
      </c>
      <c r="V46" s="5">
        <f t="shared" si="46"/>
        <v>5886.6043809246203</v>
      </c>
      <c r="W46" s="29">
        <f t="shared" si="12"/>
        <v>1301468.2344712224</v>
      </c>
      <c r="X46" s="5">
        <f>$Q49*$S$2</f>
        <v>198120.9349844385</v>
      </c>
      <c r="Y46" s="32">
        <f>$R50*$T$2</f>
        <v>947945.64817088959</v>
      </c>
      <c r="Z46" s="32">
        <f t="shared" ref="Z46:Z73" si="51">$R51*$U$2</f>
        <v>149515.04693496955</v>
      </c>
      <c r="AA46" s="32">
        <f t="shared" si="49"/>
        <v>5886.6043809246203</v>
      </c>
      <c r="AB46" s="29">
        <f t="shared" si="50"/>
        <v>1301468.2344712224</v>
      </c>
      <c r="AC46" s="9" t="s">
        <v>76</v>
      </c>
      <c r="AE46">
        <v>1992</v>
      </c>
      <c r="AF46" s="14"/>
      <c r="AG46" s="5"/>
      <c r="AH46" s="6"/>
      <c r="AI46" s="12"/>
      <c r="AJ46" s="6"/>
      <c r="AK46" s="6"/>
      <c r="AL46">
        <v>1992</v>
      </c>
      <c r="AT46" s="27">
        <f t="shared" ref="AT46:AT74" si="52">BC46</f>
        <v>0.53</v>
      </c>
      <c r="AW46" s="6"/>
      <c r="BA46" s="5"/>
      <c r="BC46" s="26">
        <v>0.53</v>
      </c>
      <c r="BP46" t="s">
        <v>55</v>
      </c>
      <c r="BQ46" s="19">
        <v>1992</v>
      </c>
      <c r="BR46" s="12">
        <v>1555718</v>
      </c>
      <c r="BS46" s="5">
        <v>309541</v>
      </c>
      <c r="BT46" s="5">
        <v>48931</v>
      </c>
      <c r="BU46">
        <v>57</v>
      </c>
      <c r="BV46" s="5">
        <v>90015</v>
      </c>
      <c r="BW46">
        <v>0</v>
      </c>
      <c r="BX46" s="5">
        <v>71317</v>
      </c>
      <c r="BY46" s="14">
        <v>1035859</v>
      </c>
      <c r="BZ46" s="5">
        <f t="shared" si="30"/>
        <v>1555720</v>
      </c>
      <c r="CA46" s="5"/>
      <c r="CB46" s="41">
        <v>0.33400000000000002</v>
      </c>
      <c r="CH46">
        <v>1992</v>
      </c>
      <c r="CI46" s="5"/>
      <c r="CJ46" s="5"/>
    </row>
    <row r="47" spans="1:100" x14ac:dyDescent="0.35">
      <c r="A47" t="str">
        <f t="shared" si="24"/>
        <v>Grant</v>
      </c>
      <c r="B47">
        <f t="shared" si="1"/>
        <v>1993</v>
      </c>
      <c r="C47" s="36">
        <f t="shared" si="2"/>
        <v>788831</v>
      </c>
      <c r="D47" s="29">
        <f>L47</f>
        <v>1361315</v>
      </c>
      <c r="E47" s="26">
        <f t="shared" si="4"/>
        <v>0.54565432061770003</v>
      </c>
      <c r="F47" s="26" t="str">
        <f t="shared" si="5"/>
        <v>Grant</v>
      </c>
      <c r="G47" s="5">
        <f t="shared" si="25"/>
        <v>985479</v>
      </c>
      <c r="H47" s="5">
        <f t="shared" si="6"/>
        <v>1536216.2121439504</v>
      </c>
      <c r="I47" s="26">
        <f t="shared" si="7"/>
        <v>0.44394984953044858</v>
      </c>
      <c r="J47">
        <v>1993</v>
      </c>
      <c r="K47" s="5">
        <v>788831</v>
      </c>
      <c r="L47" s="31">
        <v>1361315</v>
      </c>
      <c r="N47" t="str">
        <f t="shared" si="26"/>
        <v>Grant</v>
      </c>
      <c r="O47">
        <f>AE47</f>
        <v>1993</v>
      </c>
      <c r="P47" s="35">
        <f t="shared" si="28"/>
        <v>985479</v>
      </c>
      <c r="Q47" s="39">
        <f>BR47</f>
        <v>1476663</v>
      </c>
      <c r="R47" s="5"/>
      <c r="S47" s="5">
        <f t="shared" si="43"/>
        <v>134101.70548916032</v>
      </c>
      <c r="T47" s="5">
        <f t="shared" si="44"/>
        <v>861123.57790523686</v>
      </c>
      <c r="U47" s="5">
        <f t="shared" si="45"/>
        <v>536530.53201333899</v>
      </c>
      <c r="V47" s="5">
        <f t="shared" si="46"/>
        <v>4460.3967362142703</v>
      </c>
      <c r="W47" s="29">
        <f>SUM(S47:V47)</f>
        <v>1536216.2121439504</v>
      </c>
      <c r="X47" s="32">
        <f>$R50*$S$2</f>
        <v>134101.70548916032</v>
      </c>
      <c r="Y47" s="32">
        <f t="shared" ref="Y47:Y73" si="53">$R51*$T$2</f>
        <v>861123.57790523686</v>
      </c>
      <c r="Z47" s="32">
        <f t="shared" si="51"/>
        <v>536530.53201333899</v>
      </c>
      <c r="AA47" s="32">
        <f t="shared" si="49"/>
        <v>4460.3967362142703</v>
      </c>
      <c r="AB47" s="29">
        <f t="shared" si="50"/>
        <v>1536216.2121439504</v>
      </c>
      <c r="AC47" s="1">
        <f>(AB47-L47)/L47</f>
        <v>0.12847960401813716</v>
      </c>
      <c r="AD47" t="s">
        <v>53</v>
      </c>
      <c r="AE47" s="19">
        <v>1993</v>
      </c>
      <c r="AF47" s="14">
        <v>788831</v>
      </c>
      <c r="AG47" s="5">
        <f>AF47*AT47/(1-AT47)</f>
        <v>854566.91666666674</v>
      </c>
      <c r="AH47" s="6">
        <f>AG47/(AF47+AG47)</f>
        <v>0.52</v>
      </c>
      <c r="AI47" s="12">
        <f t="shared" si="33"/>
        <v>1643397.9166666667</v>
      </c>
      <c r="AJ47" s="6">
        <f>(AI47-BR47)/BR47</f>
        <v>0.11291331648904777</v>
      </c>
      <c r="AK47" s="6"/>
      <c r="AL47">
        <v>1993</v>
      </c>
      <c r="AT47" s="27">
        <f t="shared" si="52"/>
        <v>0.52</v>
      </c>
      <c r="AW47" s="6"/>
      <c r="BA47" s="5"/>
      <c r="BC47" s="26">
        <v>0.52</v>
      </c>
      <c r="BP47" t="s">
        <v>55</v>
      </c>
      <c r="BQ47">
        <v>1993</v>
      </c>
      <c r="BR47" s="12">
        <v>1476663</v>
      </c>
      <c r="BS47" s="5">
        <v>250194</v>
      </c>
      <c r="BT47" s="5">
        <v>26665</v>
      </c>
      <c r="BU47">
        <v>28</v>
      </c>
      <c r="BV47" s="5">
        <v>98891</v>
      </c>
      <c r="BW47">
        <v>0</v>
      </c>
      <c r="BX47" s="5">
        <v>115406</v>
      </c>
      <c r="BY47" s="14">
        <v>985479</v>
      </c>
      <c r="BZ47" s="5">
        <f t="shared" si="30"/>
        <v>1476663</v>
      </c>
      <c r="CA47" s="5"/>
      <c r="CB47" s="41">
        <v>0.33300000000000002</v>
      </c>
      <c r="CH47">
        <v>1993</v>
      </c>
      <c r="CI47" s="5">
        <v>788831</v>
      </c>
      <c r="CJ47" s="5">
        <v>1361315</v>
      </c>
      <c r="CK47" s="6">
        <f t="shared" ref="CK47" si="54">(CI47-P47)/P47</f>
        <v>-0.19954560168202468</v>
      </c>
      <c r="CL47" s="6">
        <f t="shared" ref="CL47" si="55">(CJ47-AB47)/AB47</f>
        <v>-0.11385195050106746</v>
      </c>
    </row>
    <row r="48" spans="1:100" x14ac:dyDescent="0.35">
      <c r="A48" t="str">
        <f t="shared" si="24"/>
        <v>Grant</v>
      </c>
      <c r="B48">
        <f t="shared" si="1"/>
        <v>1994</v>
      </c>
      <c r="C48" s="5">
        <f t="shared" ref="C48:C49" si="56">P48</f>
        <v>1666079</v>
      </c>
      <c r="D48" s="29">
        <f t="shared" ref="D48:D71" si="57">L48</f>
        <v>3442899</v>
      </c>
      <c r="E48" s="26">
        <f t="shared" si="4"/>
        <v>0.72584088745574638</v>
      </c>
      <c r="F48" s="26" t="str">
        <f t="shared" si="5"/>
        <v>Grant</v>
      </c>
      <c r="G48" s="5">
        <f t="shared" si="25"/>
        <v>1666079</v>
      </c>
      <c r="H48" s="5">
        <f t="shared" si="6"/>
        <v>3619664.876538008</v>
      </c>
      <c r="I48" s="26">
        <f t="shared" si="7"/>
        <v>0.77590848442231863</v>
      </c>
      <c r="J48">
        <v>1994</v>
      </c>
      <c r="K48" s="5" t="e">
        <f>NA()</f>
        <v>#N/A</v>
      </c>
      <c r="L48" s="31">
        <v>3442899</v>
      </c>
      <c r="N48" t="str">
        <f t="shared" si="26"/>
        <v>Grant</v>
      </c>
      <c r="O48">
        <f t="shared" si="27"/>
        <v>1994</v>
      </c>
      <c r="P48" s="35">
        <f t="shared" si="28"/>
        <v>1666079</v>
      </c>
      <c r="Q48" s="39">
        <f t="shared" si="42"/>
        <v>2295288</v>
      </c>
      <c r="R48" s="5"/>
      <c r="S48" s="5">
        <f>$Q51*S$2</f>
        <v>121819.3687125851</v>
      </c>
      <c r="T48" s="5">
        <f>$Q52*T$2</f>
        <v>3090117.6895170854</v>
      </c>
      <c r="U48" s="5">
        <f t="shared" si="45"/>
        <v>406539.81124101096</v>
      </c>
      <c r="V48" s="5">
        <f t="shared" si="46"/>
        <v>1188.0070673266546</v>
      </c>
      <c r="W48" s="29">
        <f>SUM(S48:V48)</f>
        <v>3619664.876538008</v>
      </c>
      <c r="X48" s="32">
        <f t="shared" ref="X48:X73" si="58">$R51*$S$2</f>
        <v>121819.3687125851</v>
      </c>
      <c r="Y48" s="32">
        <f t="shared" si="53"/>
        <v>3090117.6895170854</v>
      </c>
      <c r="Z48" s="32">
        <f t="shared" si="51"/>
        <v>406539.81124101096</v>
      </c>
      <c r="AA48" s="32">
        <f t="shared" si="49"/>
        <v>1188.0070673266546</v>
      </c>
      <c r="AB48" s="29">
        <f t="shared" si="50"/>
        <v>3619664.876538008</v>
      </c>
      <c r="AC48" s="1">
        <f>(AB48-L48)/L48</f>
        <v>5.1342161515051117E-2</v>
      </c>
      <c r="AD48" t="s">
        <v>53</v>
      </c>
      <c r="AE48">
        <v>1994</v>
      </c>
      <c r="AF48" s="14"/>
      <c r="AG48" s="5"/>
      <c r="AH48" s="6">
        <f>AT48</f>
        <v>0.44</v>
      </c>
      <c r="AI48" s="12"/>
      <c r="AJ48" s="6"/>
      <c r="AK48" s="6"/>
      <c r="AL48">
        <v>1994</v>
      </c>
      <c r="AT48" s="27">
        <f t="shared" si="52"/>
        <v>0.44</v>
      </c>
      <c r="AW48" s="6"/>
      <c r="BA48" s="5"/>
      <c r="BC48" s="26">
        <v>0.44</v>
      </c>
      <c r="BP48" t="s">
        <v>55</v>
      </c>
      <c r="BQ48">
        <v>1994</v>
      </c>
      <c r="BR48" s="12">
        <v>2295288</v>
      </c>
      <c r="BS48" s="5">
        <v>335201</v>
      </c>
      <c r="BT48" s="5">
        <v>24576</v>
      </c>
      <c r="BU48">
        <v>0</v>
      </c>
      <c r="BV48" s="5">
        <v>54975</v>
      </c>
      <c r="BW48">
        <v>0</v>
      </c>
      <c r="BX48" s="5">
        <v>214456</v>
      </c>
      <c r="BY48" s="14">
        <v>1666079</v>
      </c>
      <c r="BZ48" s="5">
        <f t="shared" si="30"/>
        <v>2295287</v>
      </c>
      <c r="CA48" s="5"/>
      <c r="CB48" s="41">
        <v>0.27400000000000002</v>
      </c>
      <c r="CH48">
        <v>1994</v>
      </c>
      <c r="CI48" s="5"/>
      <c r="CJ48" s="5"/>
      <c r="CK48" s="6"/>
      <c r="CL48" s="6"/>
      <c r="CV48" t="s">
        <v>80</v>
      </c>
    </row>
    <row r="49" spans="1:105" ht="29" x14ac:dyDescent="0.35">
      <c r="A49" t="str">
        <f t="shared" si="24"/>
        <v>Grant</v>
      </c>
      <c r="B49">
        <f t="shared" si="1"/>
        <v>1995</v>
      </c>
      <c r="C49" s="5">
        <f t="shared" si="56"/>
        <v>1628542</v>
      </c>
      <c r="D49" s="29">
        <f t="shared" si="57"/>
        <v>3112653</v>
      </c>
      <c r="E49" s="26">
        <f t="shared" si="4"/>
        <v>0.64779028120275439</v>
      </c>
      <c r="F49" s="26" t="str">
        <f t="shared" si="5"/>
        <v>Grant</v>
      </c>
      <c r="G49" s="5">
        <f t="shared" si="25"/>
        <v>1628542</v>
      </c>
      <c r="H49" s="5">
        <f t="shared" si="6"/>
        <v>2891781.1987866559</v>
      </c>
      <c r="I49" s="26">
        <f t="shared" si="7"/>
        <v>0.57418750802358465</v>
      </c>
      <c r="J49">
        <v>1995</v>
      </c>
      <c r="K49" s="5" t="e">
        <f>NA()</f>
        <v>#N/A</v>
      </c>
      <c r="L49" s="31">
        <v>3112653</v>
      </c>
      <c r="N49" t="str">
        <f t="shared" si="26"/>
        <v>Grant</v>
      </c>
      <c r="O49">
        <f t="shared" ref="O49:O76" si="59">AE49</f>
        <v>1995</v>
      </c>
      <c r="P49" s="35">
        <f>BY49</f>
        <v>1628542</v>
      </c>
      <c r="Q49" s="39">
        <f t="shared" si="42"/>
        <v>1844441</v>
      </c>
      <c r="R49" s="42" t="s">
        <v>97</v>
      </c>
      <c r="S49" s="5">
        <f>$Q52*$S$2</f>
        <v>437145.37128373538</v>
      </c>
      <c r="T49" s="5">
        <f>$Q53*$T$2</f>
        <v>2341443.3797358475</v>
      </c>
      <c r="U49" s="5">
        <f>$Q54*$U$2</f>
        <v>108280.09198883155</v>
      </c>
      <c r="V49" s="5">
        <f>$Q55*$V$2</f>
        <v>4912.3557782410926</v>
      </c>
      <c r="W49" s="29">
        <f>SUM(S49:V49)</f>
        <v>2891781.1987866559</v>
      </c>
      <c r="X49" s="32">
        <f t="shared" si="58"/>
        <v>437145.37128373538</v>
      </c>
      <c r="Y49" s="32">
        <f t="shared" si="53"/>
        <v>2341443.3797358475</v>
      </c>
      <c r="Z49" s="32">
        <f t="shared" si="51"/>
        <v>108280.09198883155</v>
      </c>
      <c r="AA49" s="32">
        <f t="shared" si="49"/>
        <v>4912.3557782410926</v>
      </c>
      <c r="AB49" s="29">
        <f t="shared" si="50"/>
        <v>2891781.1987866559</v>
      </c>
      <c r="AC49" s="1">
        <f>(AB49-L49)/L49</f>
        <v>-7.0959339577313665E-2</v>
      </c>
      <c r="AD49" t="s">
        <v>53</v>
      </c>
      <c r="AE49" s="19">
        <v>1995</v>
      </c>
      <c r="AF49" s="14"/>
      <c r="AG49" s="5"/>
      <c r="AH49" s="6">
        <f t="shared" ref="AH49" si="60">AT49</f>
        <v>0.28000000000000003</v>
      </c>
      <c r="AI49" s="12"/>
      <c r="AJ49" s="6"/>
      <c r="AK49" s="6"/>
      <c r="AL49">
        <v>1995</v>
      </c>
      <c r="AT49" s="27">
        <f t="shared" si="52"/>
        <v>0.28000000000000003</v>
      </c>
      <c r="AW49" s="6"/>
      <c r="BA49" s="5"/>
      <c r="BC49" s="26">
        <v>0.28000000000000003</v>
      </c>
      <c r="BP49" t="s">
        <v>55</v>
      </c>
      <c r="BQ49">
        <v>1995</v>
      </c>
      <c r="BR49" s="12">
        <v>1844441</v>
      </c>
      <c r="BS49" s="5">
        <v>94747</v>
      </c>
      <c r="BT49" s="5">
        <v>2224</v>
      </c>
      <c r="BU49">
        <v>507</v>
      </c>
      <c r="BV49" s="5">
        <v>31940</v>
      </c>
      <c r="BW49">
        <v>0</v>
      </c>
      <c r="BX49" s="5">
        <v>86480</v>
      </c>
      <c r="BY49" s="14">
        <v>1628542</v>
      </c>
      <c r="BZ49" s="5">
        <f t="shared" si="30"/>
        <v>1844440</v>
      </c>
      <c r="CA49" s="5"/>
      <c r="CB49" s="41">
        <v>0.11700000000000001</v>
      </c>
      <c r="CH49">
        <v>1995</v>
      </c>
      <c r="CI49" s="5"/>
      <c r="CJ49" s="5"/>
      <c r="CK49" s="6"/>
      <c r="CL49" s="6"/>
      <c r="CT49" s="9" t="s">
        <v>1</v>
      </c>
      <c r="CU49" s="9" t="s">
        <v>67</v>
      </c>
      <c r="CV49" s="30" t="s">
        <v>30</v>
      </c>
      <c r="CW49" s="9" t="s">
        <v>32</v>
      </c>
      <c r="CX49" s="9" t="s">
        <v>68</v>
      </c>
      <c r="CZ49" s="33" t="s">
        <v>69</v>
      </c>
      <c r="DA49" s="9" t="s">
        <v>70</v>
      </c>
    </row>
    <row r="50" spans="1:105" x14ac:dyDescent="0.35">
      <c r="A50" t="s">
        <v>73</v>
      </c>
      <c r="B50">
        <f t="shared" si="1"/>
        <v>1996</v>
      </c>
      <c r="C50" s="43">
        <f>K50</f>
        <v>1186180</v>
      </c>
      <c r="D50" s="31">
        <f t="shared" si="57"/>
        <v>1431408</v>
      </c>
      <c r="E50" s="26">
        <f t="shared" si="4"/>
        <v>0.18792051552344743</v>
      </c>
      <c r="F50" s="26" t="s">
        <v>96</v>
      </c>
      <c r="G50" s="5">
        <f>P50</f>
        <v>1186180</v>
      </c>
      <c r="H50" s="5">
        <f t="shared" si="6"/>
        <v>1406508.3752676437</v>
      </c>
      <c r="I50" s="26">
        <f t="shared" si="7"/>
        <v>0.17037224390010886</v>
      </c>
      <c r="J50">
        <v>1996</v>
      </c>
      <c r="K50" s="43">
        <v>1186180</v>
      </c>
      <c r="L50" s="31">
        <v>1431408</v>
      </c>
      <c r="N50" t="str">
        <f t="shared" ref="N50:N76" si="61">AD50</f>
        <v>Brittany</v>
      </c>
      <c r="O50">
        <f t="shared" si="59"/>
        <v>1996</v>
      </c>
      <c r="P50" s="5">
        <f t="shared" ref="P50:P76" si="62">AF50</f>
        <v>1186180</v>
      </c>
      <c r="Q50" s="5">
        <f>AI50</f>
        <v>1248442.946191224</v>
      </c>
      <c r="R50" s="29">
        <f>Q50</f>
        <v>1248442.946191224</v>
      </c>
      <c r="S50" s="5">
        <f>$Q53*$S$2</f>
        <v>331233.7064205567</v>
      </c>
      <c r="T50" s="5">
        <f>$Q54*$T$2</f>
        <v>623633.15359079512</v>
      </c>
      <c r="U50" s="5">
        <f>$Q55*$U$2</f>
        <v>447733.30915173714</v>
      </c>
      <c r="V50" s="5">
        <f>$Q56*$V$2</f>
        <v>3908.2061045548871</v>
      </c>
      <c r="W50" s="22">
        <f t="shared" ref="W50:W70" si="63">SUM(S50:V50)</f>
        <v>1406508.3752676437</v>
      </c>
      <c r="X50" s="32">
        <f t="shared" si="58"/>
        <v>331233.7064205567</v>
      </c>
      <c r="Y50" s="32">
        <f t="shared" si="53"/>
        <v>623633.15359079512</v>
      </c>
      <c r="Z50" s="32">
        <f t="shared" si="51"/>
        <v>447733.30915173714</v>
      </c>
      <c r="AA50" s="32">
        <f t="shared" si="49"/>
        <v>3908.2061045548871</v>
      </c>
      <c r="AB50" s="12">
        <f t="shared" si="50"/>
        <v>1406508.3752676437</v>
      </c>
      <c r="AC50" s="1">
        <f>(AB50-L50)/L50</f>
        <v>-1.7395197408674734E-2</v>
      </c>
      <c r="AD50" t="s">
        <v>53</v>
      </c>
      <c r="AE50" s="19">
        <v>1996</v>
      </c>
      <c r="AF50" s="14">
        <v>1186180</v>
      </c>
      <c r="AG50" s="5">
        <f>AI50-AF50</f>
        <v>62262.946191224037</v>
      </c>
      <c r="AH50" s="41">
        <f>AG50/AI50</f>
        <v>4.9872480261254341E-2</v>
      </c>
      <c r="AI50" s="12">
        <v>1248442.946191224</v>
      </c>
      <c r="AJ50" s="6">
        <f>(AI50-BR50)/BR50</f>
        <v>0.40842129593228443</v>
      </c>
      <c r="AK50" s="6"/>
      <c r="AL50">
        <v>1996</v>
      </c>
      <c r="AT50" s="27">
        <f t="shared" si="52"/>
        <v>0.27</v>
      </c>
      <c r="AW50" s="6"/>
      <c r="BA50" s="5"/>
      <c r="BC50" s="26">
        <v>0.27</v>
      </c>
      <c r="BP50" t="s">
        <v>55</v>
      </c>
      <c r="BQ50">
        <v>1996</v>
      </c>
      <c r="BR50" s="12">
        <v>886413</v>
      </c>
      <c r="BS50" s="5">
        <v>24816</v>
      </c>
      <c r="BT50">
        <v>0</v>
      </c>
      <c r="BU50">
        <v>0</v>
      </c>
      <c r="BV50">
        <v>81</v>
      </c>
      <c r="BW50">
        <v>0</v>
      </c>
      <c r="BX50" s="5">
        <v>16175</v>
      </c>
      <c r="BY50" s="14">
        <v>845342</v>
      </c>
      <c r="BZ50" s="5">
        <f t="shared" si="30"/>
        <v>886414</v>
      </c>
      <c r="CA50" s="5"/>
      <c r="CB50" s="41">
        <v>4.5999999999999999E-2</v>
      </c>
      <c r="CH50">
        <v>1996</v>
      </c>
      <c r="CI50" s="5">
        <v>1186180</v>
      </c>
      <c r="CJ50" s="5">
        <v>1431408</v>
      </c>
      <c r="CK50" s="6">
        <f t="shared" ref="CK50:CK71" si="64">(CI50-P50)/P50</f>
        <v>0</v>
      </c>
      <c r="CL50" s="6">
        <f t="shared" ref="CL50:CL71" si="65">(CJ50-AB50)/AB50</f>
        <v>1.7703147148070236E-2</v>
      </c>
      <c r="CT50">
        <v>1996</v>
      </c>
      <c r="CU50" s="5">
        <v>1253503.3355702001</v>
      </c>
      <c r="CV50" s="29">
        <v>1123652.9428018699</v>
      </c>
      <c r="CW50" s="5">
        <f>CU50-CV50</f>
        <v>129850.39276833017</v>
      </c>
      <c r="CX50" s="6">
        <f>CW50/CU50</f>
        <v>0.10358998582900711</v>
      </c>
      <c r="CZ50" s="34">
        <f>(K50-CV50)/CU50</f>
        <v>4.9881843489221693E-2</v>
      </c>
      <c r="DA50" s="6">
        <f>(AH50-CX50)/CX50</f>
        <v>-0.51855886587746669</v>
      </c>
    </row>
    <row r="51" spans="1:105" x14ac:dyDescent="0.35">
      <c r="A51" t="s">
        <v>73</v>
      </c>
      <c r="B51">
        <f t="shared" si="1"/>
        <v>1997</v>
      </c>
      <c r="C51" s="43">
        <f t="shared" ref="C51:C76" si="66">K51</f>
        <v>1045815</v>
      </c>
      <c r="D51" s="31">
        <f t="shared" si="57"/>
        <v>2858328</v>
      </c>
      <c r="E51" s="26">
        <f t="shared" si="4"/>
        <v>1.0054403527372759</v>
      </c>
      <c r="F51" s="26" t="s">
        <v>96</v>
      </c>
      <c r="G51" s="5">
        <f t="shared" ref="G51:G71" si="67">P51</f>
        <v>1045815</v>
      </c>
      <c r="H51" s="5">
        <f t="shared" si="6"/>
        <v>3026044.5640955563</v>
      </c>
      <c r="I51" s="26">
        <f t="shared" si="7"/>
        <v>1.0624598565660222</v>
      </c>
      <c r="J51">
        <v>1997</v>
      </c>
      <c r="K51" s="43">
        <v>1045815</v>
      </c>
      <c r="L51" s="31">
        <v>2858328</v>
      </c>
      <c r="N51" t="str">
        <f t="shared" si="61"/>
        <v>Brittany</v>
      </c>
      <c r="O51">
        <f t="shared" si="59"/>
        <v>1997</v>
      </c>
      <c r="P51" s="5">
        <f t="shared" si="62"/>
        <v>1045815</v>
      </c>
      <c r="Q51" s="5">
        <f t="shared" ref="Q51:Q71" si="68">AI51</f>
        <v>1134098.414512618</v>
      </c>
      <c r="R51" s="29">
        <f t="shared" ref="R51:R76" si="69">Q51</f>
        <v>1134098.414512618</v>
      </c>
      <c r="S51" s="5">
        <f>$Q54*$S$2</f>
        <v>88222.641938889676</v>
      </c>
      <c r="T51" s="5">
        <f>$Q55*$T$2</f>
        <v>2578695.034565913</v>
      </c>
      <c r="U51" s="5">
        <f>$Q56*$U$2</f>
        <v>356210.773615001</v>
      </c>
      <c r="V51" s="31">
        <f>$Q57*$CQ57</f>
        <v>2916.1139757523961</v>
      </c>
      <c r="W51" s="22">
        <f t="shared" si="63"/>
        <v>3026044.5640955563</v>
      </c>
      <c r="X51" s="32">
        <f t="shared" si="58"/>
        <v>88222.641938889676</v>
      </c>
      <c r="Y51" s="32">
        <f t="shared" si="53"/>
        <v>2578695.034565913</v>
      </c>
      <c r="Z51" s="32">
        <f>$R56*$U$2</f>
        <v>356210.773615001</v>
      </c>
      <c r="AA51" s="32">
        <f t="shared" si="49"/>
        <v>2902.0006068138446</v>
      </c>
      <c r="AB51" s="12">
        <f t="shared" si="50"/>
        <v>3026030.4507266176</v>
      </c>
      <c r="AC51" s="1">
        <f t="shared" ref="AC51:AC71" si="70">(AB51-L51)/L51</f>
        <v>5.8671520807485215E-2</v>
      </c>
      <c r="AD51" t="s">
        <v>53</v>
      </c>
      <c r="AE51" s="19">
        <v>1997</v>
      </c>
      <c r="AF51" s="14">
        <v>1045815</v>
      </c>
      <c r="AG51" s="5">
        <f t="shared" ref="AG51:AG76" si="71">AI51-AF51</f>
        <v>88283.414512617979</v>
      </c>
      <c r="AH51" s="41">
        <f t="shared" ref="AH51:AH76" si="72">AG51/AI51</f>
        <v>7.784457978504275E-2</v>
      </c>
      <c r="AI51" s="12">
        <v>1134098.414512618</v>
      </c>
      <c r="AJ51" s="6">
        <f t="shared" ref="AJ51:AJ60" si="73">(AI51-BR51)/BR51</f>
        <v>-0.32886158733977194</v>
      </c>
      <c r="AK51" s="6"/>
      <c r="AL51">
        <v>1997</v>
      </c>
      <c r="AT51" s="27">
        <f t="shared" si="52"/>
        <v>0.18</v>
      </c>
      <c r="AW51" s="6"/>
      <c r="BA51" s="5"/>
      <c r="BC51" s="26">
        <v>0.18</v>
      </c>
      <c r="BP51" t="s">
        <v>55</v>
      </c>
      <c r="BQ51">
        <v>1997</v>
      </c>
      <c r="BR51" s="12">
        <v>1689813</v>
      </c>
      <c r="BS51" s="5">
        <v>38231</v>
      </c>
      <c r="BT51">
        <v>0</v>
      </c>
      <c r="BU51">
        <v>20</v>
      </c>
      <c r="BV51">
        <v>191</v>
      </c>
      <c r="BW51">
        <v>0</v>
      </c>
      <c r="BX51" s="5">
        <v>31764</v>
      </c>
      <c r="BY51" s="14">
        <v>1619608</v>
      </c>
      <c r="BZ51" s="5">
        <f t="shared" si="30"/>
        <v>1689814</v>
      </c>
      <c r="CA51" s="5"/>
      <c r="CB51" s="41">
        <v>4.2000000000000003E-2</v>
      </c>
      <c r="CH51">
        <v>1997</v>
      </c>
      <c r="CI51" s="5">
        <v>1045815</v>
      </c>
      <c r="CJ51" s="5">
        <v>2858328</v>
      </c>
      <c r="CK51" s="6">
        <f t="shared" si="64"/>
        <v>0</v>
      </c>
      <c r="CL51" s="6">
        <f t="shared" si="65"/>
        <v>-5.5419948165540925E-2</v>
      </c>
      <c r="CT51">
        <v>1997</v>
      </c>
      <c r="CU51" s="5">
        <v>1137153.1204357899</v>
      </c>
      <c r="CV51" s="29">
        <v>955315.20151580998</v>
      </c>
      <c r="CW51" s="5">
        <f t="shared" ref="CW51:CW76" si="74">CU51-CV51</f>
        <v>181837.91891997994</v>
      </c>
      <c r="CX51" s="6">
        <f t="shared" ref="CX51:CX76" si="75">CW51/CU51</f>
        <v>0.15990627440770194</v>
      </c>
      <c r="CZ51" s="34">
        <f t="shared" ref="CZ51:CZ76" si="76">(K51-CV51)/CU51</f>
        <v>7.9584531632387268E-2</v>
      </c>
      <c r="DA51" s="6">
        <f t="shared" ref="DA51:DA76" si="77">(AH51-CX51)/CX51</f>
        <v>-0.51318620814985771</v>
      </c>
    </row>
    <row r="52" spans="1:105" x14ac:dyDescent="0.35">
      <c r="A52" t="s">
        <v>73</v>
      </c>
      <c r="B52">
        <f t="shared" si="1"/>
        <v>1998</v>
      </c>
      <c r="C52" s="43">
        <f t="shared" si="66"/>
        <v>3561043</v>
      </c>
      <c r="D52" s="31">
        <f t="shared" si="57"/>
        <v>2785129</v>
      </c>
      <c r="E52" s="26">
        <f t="shared" si="4"/>
        <v>-0.24575928760684423</v>
      </c>
      <c r="F52" s="26" t="s">
        <v>96</v>
      </c>
      <c r="G52" s="5">
        <f t="shared" si="67"/>
        <v>3561043</v>
      </c>
      <c r="H52" s="5">
        <f t="shared" si="6"/>
        <v>2543320.0171653759</v>
      </c>
      <c r="I52" s="26">
        <f t="shared" si="7"/>
        <v>-0.33658315858273746</v>
      </c>
      <c r="J52">
        <v>1998</v>
      </c>
      <c r="K52" s="43">
        <v>3561043</v>
      </c>
      <c r="L52" s="31">
        <v>2785129</v>
      </c>
      <c r="N52" t="str">
        <f t="shared" si="61"/>
        <v>Brittany</v>
      </c>
      <c r="O52">
        <f t="shared" si="59"/>
        <v>1998</v>
      </c>
      <c r="P52" s="5">
        <f t="shared" si="62"/>
        <v>3561043</v>
      </c>
      <c r="Q52" s="5">
        <f t="shared" si="68"/>
        <v>4069680.1971950848</v>
      </c>
      <c r="R52" s="29">
        <f t="shared" si="69"/>
        <v>4069680.1971950848</v>
      </c>
      <c r="S52" s="5">
        <f>$Q55*$S$2</f>
        <v>364796.65552447183</v>
      </c>
      <c r="T52" s="5">
        <f>$Q56*$T$2</f>
        <v>2051576.0931885131</v>
      </c>
      <c r="U52" s="31">
        <f>$Q57*$CP57</f>
        <v>122476.78698160063</v>
      </c>
      <c r="V52" s="31">
        <f t="shared" ref="V52:V76" si="78">$Q58*CQ58</f>
        <v>4470.4814707902096</v>
      </c>
      <c r="W52" s="22">
        <f t="shared" si="63"/>
        <v>2543320.0171653759</v>
      </c>
      <c r="X52" s="32">
        <f t="shared" si="58"/>
        <v>364796.65552447183</v>
      </c>
      <c r="Y52" s="32">
        <f t="shared" si="53"/>
        <v>2051576.0931885131</v>
      </c>
      <c r="Z52" s="32">
        <f t="shared" si="51"/>
        <v>264500.86140021891</v>
      </c>
      <c r="AA52" s="32">
        <f t="shared" si="49"/>
        <v>4849.7586792446627</v>
      </c>
      <c r="AB52" s="12">
        <f t="shared" si="50"/>
        <v>2685723.3687924482</v>
      </c>
      <c r="AC52" s="1">
        <f t="shared" si="70"/>
        <v>-3.569157163188915E-2</v>
      </c>
      <c r="AD52" t="s">
        <v>53</v>
      </c>
      <c r="AE52" s="19">
        <v>1998</v>
      </c>
      <c r="AF52" s="14">
        <v>3561043</v>
      </c>
      <c r="AG52" s="5">
        <f t="shared" si="71"/>
        <v>508637.19719508477</v>
      </c>
      <c r="AH52" s="41">
        <f t="shared" si="72"/>
        <v>0.12498210487046353</v>
      </c>
      <c r="AI52" s="12">
        <v>4069680.1971950848</v>
      </c>
      <c r="AJ52" s="6">
        <f t="shared" si="73"/>
        <v>-5.7344078121006094E-3</v>
      </c>
      <c r="AK52" s="6"/>
      <c r="AL52">
        <v>1998</v>
      </c>
      <c r="AT52" s="27">
        <f t="shared" si="52"/>
        <v>0.36</v>
      </c>
      <c r="AW52" s="6"/>
      <c r="BA52" s="5"/>
      <c r="BC52" s="26">
        <v>0.36</v>
      </c>
      <c r="BP52" t="s">
        <v>55</v>
      </c>
      <c r="BQ52">
        <v>1998</v>
      </c>
      <c r="BR52" s="12">
        <v>4093152</v>
      </c>
      <c r="BS52" s="5">
        <v>334938</v>
      </c>
      <c r="BT52" s="5">
        <v>80296</v>
      </c>
      <c r="BU52">
        <v>0</v>
      </c>
      <c r="BV52" s="5">
        <v>26006</v>
      </c>
      <c r="BW52">
        <v>0</v>
      </c>
      <c r="BX52" s="5">
        <v>28281</v>
      </c>
      <c r="BY52" s="14">
        <v>3623631</v>
      </c>
      <c r="BZ52" s="5">
        <f t="shared" si="30"/>
        <v>4093152</v>
      </c>
      <c r="CA52" s="5"/>
      <c r="CB52" s="41">
        <v>0.115</v>
      </c>
      <c r="CH52">
        <v>1998</v>
      </c>
      <c r="CI52" s="5">
        <v>3561043</v>
      </c>
      <c r="CJ52" s="5">
        <v>2785129</v>
      </c>
      <c r="CK52" s="6">
        <f t="shared" si="64"/>
        <v>0</v>
      </c>
      <c r="CL52" s="6">
        <f t="shared" si="65"/>
        <v>3.7012609847546007E-2</v>
      </c>
      <c r="CT52">
        <v>1998</v>
      </c>
      <c r="CU52" s="5">
        <v>4085678.7589310301</v>
      </c>
      <c r="CV52" s="29">
        <v>3384399.7947341399</v>
      </c>
      <c r="CW52" s="5">
        <f t="shared" si="74"/>
        <v>701278.96419689013</v>
      </c>
      <c r="CX52" s="6">
        <f t="shared" si="75"/>
        <v>0.17164319702422506</v>
      </c>
      <c r="CZ52" s="34">
        <f t="shared" si="76"/>
        <v>4.3234726880993626E-2</v>
      </c>
      <c r="DA52" s="6">
        <f t="shared" si="77"/>
        <v>-0.27184935355856815</v>
      </c>
    </row>
    <row r="53" spans="1:105" x14ac:dyDescent="0.35">
      <c r="A53" t="s">
        <v>73</v>
      </c>
      <c r="B53">
        <f t="shared" si="1"/>
        <v>1999</v>
      </c>
      <c r="C53" s="43">
        <f t="shared" si="66"/>
        <v>2987256</v>
      </c>
      <c r="D53" s="31">
        <f t="shared" si="57"/>
        <v>2232718</v>
      </c>
      <c r="E53" s="26">
        <f t="shared" si="4"/>
        <v>-0.29113556290450376</v>
      </c>
      <c r="F53" s="26" t="s">
        <v>96</v>
      </c>
      <c r="G53" s="5">
        <f t="shared" si="67"/>
        <v>2987256</v>
      </c>
      <c r="H53" s="5">
        <f t="shared" si="6"/>
        <v>3078021.5509376186</v>
      </c>
      <c r="I53" s="26">
        <f t="shared" si="7"/>
        <v>2.9931796714352529E-2</v>
      </c>
      <c r="J53">
        <v>1999</v>
      </c>
      <c r="K53" s="43">
        <v>2987256</v>
      </c>
      <c r="L53" s="31">
        <v>2232718</v>
      </c>
      <c r="N53" t="str">
        <f t="shared" si="61"/>
        <v>Brittany</v>
      </c>
      <c r="O53">
        <f t="shared" si="59"/>
        <v>1999</v>
      </c>
      <c r="P53" s="5">
        <f t="shared" si="62"/>
        <v>2987256</v>
      </c>
      <c r="Q53" s="5">
        <f t="shared" si="68"/>
        <v>3083677.2941336296</v>
      </c>
      <c r="R53" s="29">
        <f t="shared" si="69"/>
        <v>3083677.2941336296</v>
      </c>
      <c r="S53" s="5">
        <f>$Q56*$S$2</f>
        <v>290227.45509536983</v>
      </c>
      <c r="T53" s="31">
        <f>$Q57*$CO57</f>
        <v>1825487.348821</v>
      </c>
      <c r="U53" s="31">
        <f t="shared" ref="U53:U76" si="79">$Q58*CP58</f>
        <v>952212.55327831465</v>
      </c>
      <c r="V53" s="31">
        <f t="shared" si="78"/>
        <v>10094.19374293412</v>
      </c>
      <c r="W53" s="22">
        <f t="shared" si="63"/>
        <v>3078021.5509376186</v>
      </c>
      <c r="X53" s="32">
        <f t="shared" si="58"/>
        <v>290227.45509536983</v>
      </c>
      <c r="Y53" s="32">
        <f t="shared" si="53"/>
        <v>1523377.9662794718</v>
      </c>
      <c r="Z53" s="32">
        <f t="shared" si="51"/>
        <v>442027.9393572461</v>
      </c>
      <c r="AA53" s="32">
        <f t="shared" si="49"/>
        <v>2609.8902981528172</v>
      </c>
      <c r="AB53" s="12">
        <f t="shared" si="50"/>
        <v>2258243.2510302407</v>
      </c>
      <c r="AC53" s="1">
        <f t="shared" si="70"/>
        <v>1.1432366752200983E-2</v>
      </c>
      <c r="AD53" t="s">
        <v>53</v>
      </c>
      <c r="AE53" s="19">
        <v>1999</v>
      </c>
      <c r="AF53" s="14">
        <v>2987256</v>
      </c>
      <c r="AG53" s="5">
        <f t="shared" si="71"/>
        <v>96421.29413362965</v>
      </c>
      <c r="AH53" s="41">
        <f t="shared" si="72"/>
        <v>3.1268282941623295E-2</v>
      </c>
      <c r="AI53" s="12">
        <v>3083677.2941336296</v>
      </c>
      <c r="AJ53" s="6">
        <f t="shared" si="73"/>
        <v>9.4269835674766992E-3</v>
      </c>
      <c r="AK53" s="6"/>
      <c r="AL53">
        <v>1999</v>
      </c>
      <c r="AT53" s="27">
        <f t="shared" si="52"/>
        <v>0.15</v>
      </c>
      <c r="AW53" s="6"/>
      <c r="BA53" s="5"/>
      <c r="BC53" s="26">
        <v>0.15</v>
      </c>
      <c r="BP53" t="s">
        <v>55</v>
      </c>
      <c r="BQ53">
        <v>1999</v>
      </c>
      <c r="BR53" s="12">
        <v>3054879</v>
      </c>
      <c r="BS53" s="5">
        <v>15202</v>
      </c>
      <c r="BT53">
        <v>0</v>
      </c>
      <c r="BU53">
        <v>0</v>
      </c>
      <c r="BV53">
        <v>71</v>
      </c>
      <c r="BW53">
        <v>0</v>
      </c>
      <c r="BX53" s="5">
        <v>54640</v>
      </c>
      <c r="BY53" s="14">
        <v>2984966</v>
      </c>
      <c r="BZ53" s="5">
        <f t="shared" si="30"/>
        <v>3054879</v>
      </c>
      <c r="CA53" s="5"/>
      <c r="CB53" s="41">
        <v>2.3E-2</v>
      </c>
      <c r="CH53">
        <v>1999</v>
      </c>
      <c r="CI53" s="5">
        <v>2987256</v>
      </c>
      <c r="CJ53" s="5">
        <v>2232718</v>
      </c>
      <c r="CK53" s="6">
        <f t="shared" si="64"/>
        <v>0</v>
      </c>
      <c r="CL53" s="6">
        <f t="shared" si="65"/>
        <v>-1.1303145052507391E-2</v>
      </c>
      <c r="CT53">
        <v>1999</v>
      </c>
      <c r="CU53" s="5">
        <v>3086172.18647613</v>
      </c>
      <c r="CV53" s="29">
        <v>2774503.6118896301</v>
      </c>
      <c r="CW53" s="5">
        <f t="shared" si="74"/>
        <v>311668.57458649995</v>
      </c>
      <c r="CX53" s="6">
        <f t="shared" si="75"/>
        <v>0.10098871863088464</v>
      </c>
      <c r="CZ53" s="34">
        <f t="shared" si="76"/>
        <v>6.8937303317899448E-2</v>
      </c>
      <c r="DA53" s="6">
        <f t="shared" si="77"/>
        <v>-0.69037845646988183</v>
      </c>
    </row>
    <row r="54" spans="1:105" x14ac:dyDescent="0.35">
      <c r="A54" t="s">
        <v>73</v>
      </c>
      <c r="B54">
        <f t="shared" si="1"/>
        <v>2000</v>
      </c>
      <c r="C54" s="43">
        <f t="shared" si="66"/>
        <v>699976</v>
      </c>
      <c r="D54" s="31">
        <f t="shared" si="57"/>
        <v>2988615</v>
      </c>
      <c r="E54" s="26">
        <f t="shared" si="4"/>
        <v>1.4515192996258222</v>
      </c>
      <c r="F54" s="26" t="s">
        <v>96</v>
      </c>
      <c r="G54" s="5">
        <f t="shared" si="67"/>
        <v>699976</v>
      </c>
      <c r="H54" s="5">
        <f t="shared" si="6"/>
        <v>2282485.9433021657</v>
      </c>
      <c r="I54" s="26">
        <f t="shared" si="7"/>
        <v>1.1819744052431649</v>
      </c>
      <c r="J54">
        <v>2000</v>
      </c>
      <c r="K54" s="43">
        <v>699976</v>
      </c>
      <c r="L54" s="31">
        <v>2988615</v>
      </c>
      <c r="N54" t="str">
        <f t="shared" si="61"/>
        <v>Brittany</v>
      </c>
      <c r="O54">
        <f t="shared" si="59"/>
        <v>2000</v>
      </c>
      <c r="P54" s="5">
        <f t="shared" si="62"/>
        <v>699976</v>
      </c>
      <c r="Q54" s="5">
        <f t="shared" si="68"/>
        <v>821323.89458584297</v>
      </c>
      <c r="R54" s="29">
        <f t="shared" si="69"/>
        <v>821323.89458584297</v>
      </c>
      <c r="S54" s="31">
        <f>$Q57*$CN57</f>
        <v>55406.165539295529</v>
      </c>
      <c r="T54" s="31">
        <f t="shared" ref="T54:T76" si="80">$Q58*CO58</f>
        <v>1926777.5139105804</v>
      </c>
      <c r="U54" s="31">
        <f t="shared" si="79"/>
        <v>300302.26385229005</v>
      </c>
      <c r="V54" s="31">
        <f t="shared" si="78"/>
        <v>0</v>
      </c>
      <c r="W54" s="22">
        <f t="shared" si="63"/>
        <v>2282485.9433021657</v>
      </c>
      <c r="X54" s="32">
        <f t="shared" si="58"/>
        <v>215505.58703114386</v>
      </c>
      <c r="Y54" s="32">
        <f t="shared" si="53"/>
        <v>2545835.2752880291</v>
      </c>
      <c r="Z54" s="32">
        <f t="shared" si="51"/>
        <v>237876.66701400399</v>
      </c>
      <c r="AA54" s="32">
        <f t="shared" si="49"/>
        <v>3881.8043661099955</v>
      </c>
      <c r="AB54" s="12">
        <f t="shared" si="50"/>
        <v>3003099.3336992869</v>
      </c>
      <c r="AC54" s="1">
        <f t="shared" si="70"/>
        <v>4.846503714692898E-3</v>
      </c>
      <c r="AD54" t="s">
        <v>53</v>
      </c>
      <c r="AE54" s="19">
        <v>2000</v>
      </c>
      <c r="AF54" s="14">
        <v>699976</v>
      </c>
      <c r="AG54" s="5">
        <f t="shared" si="71"/>
        <v>121347.89458584297</v>
      </c>
      <c r="AH54" s="41">
        <f t="shared" si="72"/>
        <v>0.14774669942731095</v>
      </c>
      <c r="AI54" s="12">
        <v>821323.89458584297</v>
      </c>
      <c r="AJ54" s="6">
        <f t="shared" si="73"/>
        <v>1.8010685003269692E-2</v>
      </c>
      <c r="AK54" s="6"/>
      <c r="AL54">
        <v>2000</v>
      </c>
      <c r="AT54" s="27">
        <f t="shared" si="52"/>
        <v>0.31</v>
      </c>
      <c r="AW54" s="6"/>
      <c r="BA54" s="5"/>
      <c r="BC54" s="26">
        <v>0.31</v>
      </c>
      <c r="BP54" t="s">
        <v>55</v>
      </c>
      <c r="BQ54">
        <v>2000</v>
      </c>
      <c r="BR54" s="12">
        <v>806793</v>
      </c>
      <c r="BS54" s="5">
        <v>59602</v>
      </c>
      <c r="BT54">
        <v>17</v>
      </c>
      <c r="BU54">
        <v>4</v>
      </c>
      <c r="BV54">
        <v>243</v>
      </c>
      <c r="BW54">
        <v>0</v>
      </c>
      <c r="BX54" s="5">
        <v>24188</v>
      </c>
      <c r="BY54" s="14">
        <v>722739</v>
      </c>
      <c r="BZ54" s="5">
        <f t="shared" si="30"/>
        <v>806793</v>
      </c>
      <c r="CA54" s="5"/>
      <c r="CB54" s="41">
        <v>0.104</v>
      </c>
      <c r="CH54">
        <v>2000</v>
      </c>
      <c r="CI54" s="5">
        <v>699976</v>
      </c>
      <c r="CJ54" s="5">
        <v>2988615</v>
      </c>
      <c r="CK54" s="6">
        <f t="shared" si="64"/>
        <v>0</v>
      </c>
      <c r="CL54" s="6">
        <f t="shared" si="65"/>
        <v>-4.8231284049618101E-3</v>
      </c>
      <c r="CT54">
        <v>2000</v>
      </c>
      <c r="CU54" s="5">
        <v>813977.815497573</v>
      </c>
      <c r="CV54" s="29">
        <v>697074.96151265095</v>
      </c>
      <c r="CW54" s="5">
        <f t="shared" si="74"/>
        <v>116902.85398492205</v>
      </c>
      <c r="CX54" s="6">
        <f t="shared" si="75"/>
        <v>0.14361921388909232</v>
      </c>
      <c r="CZ54" s="34">
        <f t="shared" si="76"/>
        <v>3.5640264785050577E-3</v>
      </c>
      <c r="DA54" s="6">
        <f t="shared" si="77"/>
        <v>2.8739090170804085E-2</v>
      </c>
    </row>
    <row r="55" spans="1:105" x14ac:dyDescent="0.35">
      <c r="A55" t="s">
        <v>73</v>
      </c>
      <c r="B55">
        <f t="shared" si="1"/>
        <v>2001</v>
      </c>
      <c r="C55" s="43">
        <f t="shared" si="66"/>
        <v>3151893</v>
      </c>
      <c r="D55" s="31">
        <f t="shared" si="57"/>
        <v>2160110</v>
      </c>
      <c r="E55" s="26">
        <f t="shared" si="4"/>
        <v>-0.37784407839360423</v>
      </c>
      <c r="F55" s="26" t="s">
        <v>96</v>
      </c>
      <c r="G55" s="5">
        <f t="shared" si="67"/>
        <v>3151893</v>
      </c>
      <c r="H55" s="5">
        <f t="shared" si="6"/>
        <v>1868662.078775011</v>
      </c>
      <c r="I55" s="26">
        <f t="shared" si="7"/>
        <v>-0.52278051581601337</v>
      </c>
      <c r="J55">
        <v>2001</v>
      </c>
      <c r="K55" s="43">
        <v>3151893</v>
      </c>
      <c r="L55" s="31">
        <v>2160110</v>
      </c>
      <c r="N55" t="str">
        <f t="shared" si="61"/>
        <v>Brittany</v>
      </c>
      <c r="O55">
        <f t="shared" si="59"/>
        <v>2001</v>
      </c>
      <c r="P55" s="5">
        <f t="shared" si="62"/>
        <v>3151893</v>
      </c>
      <c r="Q55" s="5">
        <f t="shared" si="68"/>
        <v>3396137.3550203633</v>
      </c>
      <c r="R55" s="29">
        <f t="shared" si="69"/>
        <v>3396137.3550203633</v>
      </c>
      <c r="S55" s="31">
        <f t="shared" ref="S55:S76" si="81">$Q58*CN58</f>
        <v>469400.5544329721</v>
      </c>
      <c r="T55" s="31">
        <f t="shared" si="80"/>
        <v>1332433.5740673039</v>
      </c>
      <c r="U55" s="31">
        <f t="shared" si="79"/>
        <v>66827.950274735049</v>
      </c>
      <c r="V55" s="31">
        <f t="shared" si="78"/>
        <v>0</v>
      </c>
      <c r="W55" s="22">
        <f t="shared" si="63"/>
        <v>1868662.078775011</v>
      </c>
      <c r="X55" s="32">
        <f t="shared" si="58"/>
        <v>360148.12976813741</v>
      </c>
      <c r="Y55" s="32">
        <f t="shared" si="53"/>
        <v>1370037.4029134733</v>
      </c>
      <c r="Z55" s="32">
        <f t="shared" si="51"/>
        <v>353804.40521358146</v>
      </c>
      <c r="AA55" s="32">
        <f t="shared" si="49"/>
        <v>1999.9166427457867</v>
      </c>
      <c r="AB55" s="12">
        <f t="shared" si="50"/>
        <v>2085989.8545379378</v>
      </c>
      <c r="AC55" s="1">
        <f t="shared" si="70"/>
        <v>-3.4313134730204579E-2</v>
      </c>
      <c r="AD55" t="s">
        <v>53</v>
      </c>
      <c r="AE55" s="19">
        <v>2001</v>
      </c>
      <c r="AF55" s="14">
        <v>3151893</v>
      </c>
      <c r="AG55" s="5">
        <f t="shared" si="71"/>
        <v>244244.35502036335</v>
      </c>
      <c r="AH55" s="41">
        <f t="shared" si="72"/>
        <v>7.1918279353250375E-2</v>
      </c>
      <c r="AI55" s="12">
        <v>3396137.3550203633</v>
      </c>
      <c r="AJ55" s="6">
        <f t="shared" si="73"/>
        <v>-1.1710310667469729E-3</v>
      </c>
      <c r="AK55" s="6"/>
      <c r="AL55">
        <v>2001</v>
      </c>
      <c r="AT55" s="27">
        <f t="shared" si="52"/>
        <v>0.32</v>
      </c>
      <c r="AW55" s="6"/>
      <c r="BA55" s="5"/>
      <c r="BC55" s="26">
        <v>0.32</v>
      </c>
      <c r="BP55" t="s">
        <v>55</v>
      </c>
      <c r="BQ55">
        <v>2001</v>
      </c>
      <c r="BR55" s="12">
        <v>3400119</v>
      </c>
      <c r="BS55" s="5">
        <v>79639</v>
      </c>
      <c r="BT55" s="5">
        <v>6221</v>
      </c>
      <c r="BU55">
        <v>541</v>
      </c>
      <c r="BV55" s="5">
        <v>2163</v>
      </c>
      <c r="BW55">
        <v>0</v>
      </c>
      <c r="BX55" s="5">
        <v>103574</v>
      </c>
      <c r="BY55" s="14">
        <v>3207981</v>
      </c>
      <c r="BZ55" s="5">
        <f t="shared" si="30"/>
        <v>3400119</v>
      </c>
      <c r="CA55" s="5"/>
      <c r="CB55" s="41">
        <v>5.7000000000000002E-2</v>
      </c>
      <c r="CH55">
        <v>2001</v>
      </c>
      <c r="CI55" s="5">
        <v>3151893</v>
      </c>
      <c r="CJ55" s="5">
        <v>2160110</v>
      </c>
      <c r="CK55" s="6">
        <f t="shared" si="64"/>
        <v>0</v>
      </c>
      <c r="CL55" s="6">
        <f t="shared" si="65"/>
        <v>3.5532361435420483E-2</v>
      </c>
      <c r="CT55">
        <v>2001</v>
      </c>
      <c r="CU55" s="5">
        <v>3398886.8274582499</v>
      </c>
      <c r="CV55" s="29">
        <v>3035230.7267200798</v>
      </c>
      <c r="CW55" s="5">
        <f t="shared" si="74"/>
        <v>363656.10073817009</v>
      </c>
      <c r="CX55" s="6">
        <f t="shared" si="75"/>
        <v>0.10699270649447272</v>
      </c>
      <c r="CZ55" s="34">
        <f t="shared" si="76"/>
        <v>3.4323671014125062E-2</v>
      </c>
      <c r="DA55" s="6">
        <f t="shared" si="77"/>
        <v>-0.32782072993951511</v>
      </c>
    </row>
    <row r="56" spans="1:105" ht="15" thickBot="1" x14ac:dyDescent="0.4">
      <c r="A56" t="s">
        <v>73</v>
      </c>
      <c r="B56">
        <f t="shared" si="1"/>
        <v>2002</v>
      </c>
      <c r="C56" s="43">
        <f t="shared" si="66"/>
        <v>2302250</v>
      </c>
      <c r="D56" s="31">
        <f t="shared" si="57"/>
        <v>2425524</v>
      </c>
      <c r="E56" s="26">
        <f t="shared" si="4"/>
        <v>5.2160677901878581E-2</v>
      </c>
      <c r="F56" s="26" t="s">
        <v>96</v>
      </c>
      <c r="G56" s="5">
        <f t="shared" si="67"/>
        <v>2302250</v>
      </c>
      <c r="H56" s="5">
        <f t="shared" si="6"/>
        <v>2826467.1680969703</v>
      </c>
      <c r="I56" s="26">
        <f t="shared" si="7"/>
        <v>0.20514067570148103</v>
      </c>
      <c r="J56">
        <v>2002</v>
      </c>
      <c r="K56" s="43">
        <v>2302250</v>
      </c>
      <c r="L56" s="31">
        <v>2425524</v>
      </c>
      <c r="N56" t="str">
        <f t="shared" si="61"/>
        <v>Brittany</v>
      </c>
      <c r="O56">
        <f t="shared" si="59"/>
        <v>2002</v>
      </c>
      <c r="P56" s="5">
        <f t="shared" si="62"/>
        <v>2302250</v>
      </c>
      <c r="Q56" s="5">
        <f t="shared" si="68"/>
        <v>2701922.5280034388</v>
      </c>
      <c r="R56" s="29">
        <f t="shared" si="69"/>
        <v>2701922.5280034388</v>
      </c>
      <c r="S56" s="31">
        <f t="shared" si="81"/>
        <v>161507.09988694591</v>
      </c>
      <c r="T56" s="31">
        <f t="shared" si="80"/>
        <v>2500772.2444914007</v>
      </c>
      <c r="U56" s="31">
        <f t="shared" si="79"/>
        <v>164187.82371862367</v>
      </c>
      <c r="V56" s="31">
        <f t="shared" si="78"/>
        <v>0</v>
      </c>
      <c r="W56" s="22">
        <f t="shared" si="63"/>
        <v>2826467.1680969703</v>
      </c>
      <c r="X56" s="32">
        <f t="shared" si="58"/>
        <v>193813.17132384368</v>
      </c>
      <c r="Y56" s="32">
        <f t="shared" si="53"/>
        <v>2037716.7485267695</v>
      </c>
      <c r="Z56" s="32">
        <f t="shared" si="51"/>
        <v>182281.0351909851</v>
      </c>
      <c r="AA56" s="32">
        <f t="shared" si="49"/>
        <v>1781.9443155797337</v>
      </c>
      <c r="AB56" s="12">
        <f t="shared" si="50"/>
        <v>2415592.8993571778</v>
      </c>
      <c r="AC56" s="1">
        <f t="shared" si="70"/>
        <v>-4.0944145029371869E-3</v>
      </c>
      <c r="AD56" t="s">
        <v>53</v>
      </c>
      <c r="AE56" s="19">
        <v>2002</v>
      </c>
      <c r="AF56" s="14">
        <v>2302250</v>
      </c>
      <c r="AG56" s="5">
        <f t="shared" si="71"/>
        <v>399672.52800343884</v>
      </c>
      <c r="AH56" s="41">
        <f t="shared" si="72"/>
        <v>0.14792153507775563</v>
      </c>
      <c r="AI56" s="12">
        <v>2701922.5280034388</v>
      </c>
      <c r="AJ56" s="6">
        <f t="shared" si="73"/>
        <v>-1.1577702571676814E-2</v>
      </c>
      <c r="AK56" s="6"/>
      <c r="AL56">
        <v>2002</v>
      </c>
      <c r="AT56" s="27">
        <f t="shared" si="52"/>
        <v>0.4</v>
      </c>
      <c r="AW56" s="6"/>
      <c r="BA56" s="5"/>
      <c r="BC56" s="26">
        <v>0.4</v>
      </c>
      <c r="BP56" t="s">
        <v>55</v>
      </c>
      <c r="BQ56">
        <v>2002</v>
      </c>
      <c r="BR56" s="12">
        <v>2733571</v>
      </c>
      <c r="BS56" s="5">
        <v>195862</v>
      </c>
      <c r="BT56" s="5">
        <v>25755</v>
      </c>
      <c r="BU56">
        <v>140</v>
      </c>
      <c r="BV56" s="5">
        <v>77263</v>
      </c>
      <c r="BW56">
        <v>0</v>
      </c>
      <c r="BX56" s="5">
        <v>76370</v>
      </c>
      <c r="BY56" s="14">
        <v>2358181</v>
      </c>
      <c r="BZ56" s="5">
        <f t="shared" si="30"/>
        <v>2733571</v>
      </c>
      <c r="CA56" s="5"/>
      <c r="CB56" s="41">
        <v>0.13700000000000001</v>
      </c>
      <c r="CH56">
        <v>2002</v>
      </c>
      <c r="CI56" s="5">
        <v>2302250</v>
      </c>
      <c r="CJ56" s="5">
        <v>2425524</v>
      </c>
      <c r="CK56" s="6">
        <f t="shared" si="64"/>
        <v>0</v>
      </c>
      <c r="CL56" s="6">
        <f t="shared" si="65"/>
        <v>4.1112476549608253E-3</v>
      </c>
      <c r="CN56" s="23" t="s">
        <v>58</v>
      </c>
      <c r="CO56" s="23" t="s">
        <v>59</v>
      </c>
      <c r="CP56" s="23" t="s">
        <v>60</v>
      </c>
      <c r="CQ56" s="24" t="s">
        <v>61</v>
      </c>
      <c r="CT56">
        <v>2002</v>
      </c>
      <c r="CU56" s="5">
        <v>2711068.5666916599</v>
      </c>
      <c r="CV56" s="29">
        <v>2217562.0731851701</v>
      </c>
      <c r="CW56" s="5">
        <f t="shared" si="74"/>
        <v>493506.49350648979</v>
      </c>
      <c r="CX56" s="6">
        <f t="shared" si="75"/>
        <v>0.18203394025873715</v>
      </c>
      <c r="CZ56" s="34">
        <f t="shared" si="76"/>
        <v>3.1237840258011376E-2</v>
      </c>
      <c r="DA56" s="6">
        <f t="shared" si="77"/>
        <v>-0.18739585119398752</v>
      </c>
    </row>
    <row r="57" spans="1:105" x14ac:dyDescent="0.35">
      <c r="A57" t="s">
        <v>73</v>
      </c>
      <c r="B57">
        <f t="shared" si="1"/>
        <v>2003</v>
      </c>
      <c r="C57" s="43">
        <f t="shared" si="66"/>
        <v>1494491</v>
      </c>
      <c r="D57" s="31">
        <f t="shared" si="57"/>
        <v>1619282</v>
      </c>
      <c r="E57" s="26">
        <f t="shared" si="4"/>
        <v>8.0197160478462634E-2</v>
      </c>
      <c r="F57" s="26" t="s">
        <v>96</v>
      </c>
      <c r="G57" s="5">
        <f t="shared" si="67"/>
        <v>1494491</v>
      </c>
      <c r="H57" s="5">
        <f t="shared" si="6"/>
        <v>1321874.9421960777</v>
      </c>
      <c r="I57" s="26">
        <f t="shared" si="7"/>
        <v>-0.12273454111898989</v>
      </c>
      <c r="J57">
        <v>2003</v>
      </c>
      <c r="K57" s="43">
        <v>1494491</v>
      </c>
      <c r="L57" s="31">
        <v>1619282</v>
      </c>
      <c r="N57" s="25" t="str">
        <f t="shared" si="61"/>
        <v>Brittany</v>
      </c>
      <c r="O57" s="25">
        <f t="shared" si="59"/>
        <v>2003</v>
      </c>
      <c r="P57" s="5">
        <f t="shared" si="62"/>
        <v>1494491</v>
      </c>
      <c r="Q57" s="5">
        <f>AI57</f>
        <v>2006286.4153176486</v>
      </c>
      <c r="R57" s="29">
        <f t="shared" si="69"/>
        <v>2006286.4153176486</v>
      </c>
      <c r="S57" s="31">
        <f t="shared" si="81"/>
        <v>116069.59784559246</v>
      </c>
      <c r="T57" s="31">
        <f t="shared" si="80"/>
        <v>1114748.9084053922</v>
      </c>
      <c r="U57" s="31">
        <f t="shared" si="79"/>
        <v>91056.435945092977</v>
      </c>
      <c r="V57" s="31">
        <f t="shared" si="78"/>
        <v>0</v>
      </c>
      <c r="W57" s="22">
        <f t="shared" si="63"/>
        <v>1321874.9421960777</v>
      </c>
      <c r="X57" s="32">
        <f t="shared" si="58"/>
        <v>288266.83450526732</v>
      </c>
      <c r="Y57" s="32">
        <f t="shared" si="53"/>
        <v>1049837.4606818194</v>
      </c>
      <c r="Z57" s="32">
        <f t="shared" si="51"/>
        <v>162414.09644484526</v>
      </c>
      <c r="AA57" s="32">
        <f t="shared" si="49"/>
        <v>1181.6393482166609</v>
      </c>
      <c r="AB57" s="12">
        <f t="shared" si="50"/>
        <v>1501700.0309801486</v>
      </c>
      <c r="AC57" s="1">
        <f t="shared" si="70"/>
        <v>-7.261364544276501E-2</v>
      </c>
      <c r="AD57" t="s">
        <v>53</v>
      </c>
      <c r="AE57" s="19">
        <v>2003</v>
      </c>
      <c r="AF57" s="14">
        <v>1494491</v>
      </c>
      <c r="AG57" s="5">
        <f t="shared" si="71"/>
        <v>511795.41531764856</v>
      </c>
      <c r="AH57" s="41">
        <f t="shared" si="72"/>
        <v>0.25509588830895696</v>
      </c>
      <c r="AI57" s="12">
        <v>2006286.4153176486</v>
      </c>
      <c r="AJ57" s="6">
        <f t="shared" si="73"/>
        <v>-5.8957592383406171E-2</v>
      </c>
      <c r="AK57" s="6"/>
      <c r="AL57">
        <v>2003</v>
      </c>
      <c r="AT57" s="27">
        <f t="shared" si="52"/>
        <v>0.45</v>
      </c>
      <c r="AW57" s="6"/>
      <c r="BA57" s="5"/>
      <c r="BC57" s="26">
        <v>0.45</v>
      </c>
      <c r="BP57" t="s">
        <v>55</v>
      </c>
      <c r="BQ57">
        <v>2003</v>
      </c>
      <c r="BR57" s="12">
        <v>2131983</v>
      </c>
      <c r="BS57" s="5">
        <v>429450</v>
      </c>
      <c r="BT57" s="5">
        <v>5941</v>
      </c>
      <c r="BU57">
        <v>60</v>
      </c>
      <c r="BV57" s="5">
        <v>59987</v>
      </c>
      <c r="BW57">
        <v>0</v>
      </c>
      <c r="BX57" s="5">
        <v>113264</v>
      </c>
      <c r="BY57" s="14">
        <v>1523281</v>
      </c>
      <c r="BZ57" s="5">
        <f t="shared" si="30"/>
        <v>2131983</v>
      </c>
      <c r="CA57" s="5"/>
      <c r="CB57" s="41">
        <v>0.28599999999999998</v>
      </c>
      <c r="CH57">
        <v>2003</v>
      </c>
      <c r="CI57" s="5">
        <v>1494491</v>
      </c>
      <c r="CJ57" s="5">
        <v>1619282</v>
      </c>
      <c r="CK57" s="6">
        <f t="shared" si="64"/>
        <v>0</v>
      </c>
      <c r="CL57" s="6">
        <f t="shared" si="65"/>
        <v>7.8299238592348247E-2</v>
      </c>
      <c r="CM57">
        <v>2003</v>
      </c>
      <c r="CN57" s="20">
        <v>2.7616279069767442E-2</v>
      </c>
      <c r="CO57" s="20">
        <v>0.90988372093023251</v>
      </c>
      <c r="CP57" s="20">
        <v>6.1046511627906974E-2</v>
      </c>
      <c r="CQ57" s="20">
        <v>1.4534883720930232E-3</v>
      </c>
      <c r="CT57">
        <v>2003</v>
      </c>
      <c r="CU57" s="5">
        <v>2010283.0300398599</v>
      </c>
      <c r="CV57" s="29">
        <v>1451821.7344965001</v>
      </c>
      <c r="CW57" s="5">
        <f t="shared" si="74"/>
        <v>558461.29554335983</v>
      </c>
      <c r="CX57" s="6">
        <f t="shared" si="75"/>
        <v>0.27780232295563212</v>
      </c>
      <c r="CZ57" s="34">
        <f t="shared" si="76"/>
        <v>2.1225501516895281E-2</v>
      </c>
      <c r="DA57" s="6">
        <f t="shared" si="77"/>
        <v>-8.1735942324361363E-2</v>
      </c>
    </row>
    <row r="58" spans="1:105" x14ac:dyDescent="0.35">
      <c r="A58" t="s">
        <v>73</v>
      </c>
      <c r="B58">
        <f t="shared" si="1"/>
        <v>2004</v>
      </c>
      <c r="C58" s="43">
        <f t="shared" si="66"/>
        <v>2716634</v>
      </c>
      <c r="D58" s="31">
        <f t="shared" si="57"/>
        <v>1231521</v>
      </c>
      <c r="E58" s="26">
        <f t="shared" si="4"/>
        <v>-0.79114362316427123</v>
      </c>
      <c r="F58" s="26" t="s">
        <v>96</v>
      </c>
      <c r="G58" s="5">
        <f t="shared" si="67"/>
        <v>2716634</v>
      </c>
      <c r="H58" s="5">
        <f>W58</f>
        <v>1274857.4320357505</v>
      </c>
      <c r="I58" s="26">
        <f t="shared" si="7"/>
        <v>-0.75655925962537551</v>
      </c>
      <c r="J58">
        <v>2004</v>
      </c>
      <c r="K58" s="43">
        <v>2716634</v>
      </c>
      <c r="L58" s="31">
        <v>1231521</v>
      </c>
      <c r="N58" s="25" t="str">
        <f t="shared" si="61"/>
        <v>Brittany</v>
      </c>
      <c r="O58" s="25">
        <f t="shared" si="59"/>
        <v>2004</v>
      </c>
      <c r="P58" s="5">
        <f t="shared" si="62"/>
        <v>2716634</v>
      </c>
      <c r="Q58" s="5">
        <f t="shared" si="68"/>
        <v>3352861.1030926574</v>
      </c>
      <c r="R58" s="29">
        <f t="shared" si="69"/>
        <v>3352861.1030926574</v>
      </c>
      <c r="S58" s="31">
        <f t="shared" si="81"/>
        <v>103697.57287492021</v>
      </c>
      <c r="T58" s="31">
        <f t="shared" si="80"/>
        <v>1003406.2157086715</v>
      </c>
      <c r="U58" s="31">
        <f t="shared" si="79"/>
        <v>165625.8726965368</v>
      </c>
      <c r="V58" s="31">
        <f t="shared" si="78"/>
        <v>2127.7707556219716</v>
      </c>
      <c r="W58" s="22">
        <f>SUM(S58:V58)</f>
        <v>1274857.4320357505</v>
      </c>
      <c r="X58" s="32">
        <f t="shared" si="58"/>
        <v>148515.89248338577</v>
      </c>
      <c r="Y58" s="32">
        <f t="shared" si="53"/>
        <v>935414.93448255956</v>
      </c>
      <c r="Z58" s="32">
        <f t="shared" si="51"/>
        <v>107699.71058374384</v>
      </c>
      <c r="AA58" s="32">
        <f t="shared" si="49"/>
        <v>957.17157071633892</v>
      </c>
      <c r="AB58" s="12">
        <f t="shared" si="50"/>
        <v>1192587.7091204056</v>
      </c>
      <c r="AC58" s="1">
        <f t="shared" si="70"/>
        <v>-3.1613988620246343E-2</v>
      </c>
      <c r="AD58" t="s">
        <v>53</v>
      </c>
      <c r="AE58" s="19">
        <v>2004</v>
      </c>
      <c r="AF58" s="14">
        <v>2716634</v>
      </c>
      <c r="AG58" s="5">
        <f t="shared" si="71"/>
        <v>636227.1030926574</v>
      </c>
      <c r="AH58" s="41">
        <f t="shared" si="72"/>
        <v>0.18975647470329315</v>
      </c>
      <c r="AI58" s="12">
        <v>3352861.1030926574</v>
      </c>
      <c r="AJ58" s="6">
        <f t="shared" si="73"/>
        <v>-3.3266123434901118E-3</v>
      </c>
      <c r="AK58" s="6"/>
      <c r="AL58">
        <v>2004</v>
      </c>
      <c r="AT58" s="27">
        <f t="shared" si="52"/>
        <v>0.44</v>
      </c>
      <c r="AW58" s="6"/>
      <c r="BA58" s="5"/>
      <c r="BC58" s="26">
        <v>0.44</v>
      </c>
      <c r="BP58" t="s">
        <v>55</v>
      </c>
      <c r="BQ58">
        <v>2004</v>
      </c>
      <c r="BR58" s="12">
        <v>3364052</v>
      </c>
      <c r="BS58" s="5">
        <v>351817</v>
      </c>
      <c r="BT58" s="5">
        <v>14175</v>
      </c>
      <c r="BU58">
        <v>124</v>
      </c>
      <c r="BV58" s="5">
        <v>123455</v>
      </c>
      <c r="BW58">
        <v>0</v>
      </c>
      <c r="BX58" s="5">
        <v>106393</v>
      </c>
      <c r="BY58" s="14">
        <v>2768088</v>
      </c>
      <c r="BZ58" s="5">
        <f t="shared" si="30"/>
        <v>3364052</v>
      </c>
      <c r="CA58" s="5"/>
      <c r="CB58" s="41">
        <v>0.17699999999999999</v>
      </c>
      <c r="CH58">
        <v>2004</v>
      </c>
      <c r="CI58" s="5">
        <v>2716634</v>
      </c>
      <c r="CJ58" s="5">
        <v>1231521</v>
      </c>
      <c r="CK58" s="6">
        <f t="shared" si="64"/>
        <v>0</v>
      </c>
      <c r="CL58" s="6">
        <f t="shared" si="65"/>
        <v>3.2646060815358972E-2</v>
      </c>
      <c r="CM58">
        <v>2004</v>
      </c>
      <c r="CN58" s="20">
        <v>0.14000000000000001</v>
      </c>
      <c r="CO58" s="20">
        <v>0.57466666666666666</v>
      </c>
      <c r="CP58" s="20">
        <v>0.28399999999999997</v>
      </c>
      <c r="CQ58" s="20">
        <v>1.3333333333333333E-3</v>
      </c>
      <c r="CT58">
        <v>2004</v>
      </c>
      <c r="CU58" s="5">
        <v>3361406.07113251</v>
      </c>
      <c r="CV58" s="29">
        <v>2608159.3178857602</v>
      </c>
      <c r="CW58" s="5">
        <f t="shared" si="74"/>
        <v>753246.75324674975</v>
      </c>
      <c r="CX58" s="6">
        <f t="shared" si="75"/>
        <v>0.22408680692153601</v>
      </c>
      <c r="CZ58" s="34">
        <f t="shared" si="76"/>
        <v>3.2270627177659904E-2</v>
      </c>
      <c r="DA58" s="6">
        <f t="shared" si="77"/>
        <v>-0.15320104155111472</v>
      </c>
    </row>
    <row r="59" spans="1:105" x14ac:dyDescent="0.35">
      <c r="A59" t="s">
        <v>73</v>
      </c>
      <c r="B59">
        <f t="shared" si="1"/>
        <v>2005</v>
      </c>
      <c r="C59" s="43">
        <f t="shared" si="66"/>
        <v>1331383</v>
      </c>
      <c r="D59" s="31">
        <f t="shared" si="57"/>
        <v>884912</v>
      </c>
      <c r="E59" s="26">
        <f t="shared" si="4"/>
        <v>-0.40848532553504846</v>
      </c>
      <c r="F59" s="26" t="s">
        <v>96</v>
      </c>
      <c r="G59" s="5">
        <f t="shared" si="67"/>
        <v>1331383</v>
      </c>
      <c r="H59" s="5">
        <f t="shared" si="6"/>
        <v>826792.95575855998</v>
      </c>
      <c r="I59" s="26">
        <f t="shared" si="7"/>
        <v>-0.47641922268505188</v>
      </c>
      <c r="J59">
        <v>2005</v>
      </c>
      <c r="K59" s="43">
        <v>1331383</v>
      </c>
      <c r="L59" s="31">
        <v>884912</v>
      </c>
      <c r="N59" s="25" t="str">
        <f t="shared" si="61"/>
        <v>Brittany</v>
      </c>
      <c r="O59" s="25">
        <f t="shared" si="59"/>
        <v>2005</v>
      </c>
      <c r="P59" s="5">
        <f t="shared" si="62"/>
        <v>1331383</v>
      </c>
      <c r="Q59" s="5">
        <f t="shared" si="68"/>
        <v>1804337.1315494739</v>
      </c>
      <c r="R59" s="29">
        <f t="shared" si="69"/>
        <v>1804337.1315494739</v>
      </c>
      <c r="S59" s="31">
        <f t="shared" si="81"/>
        <v>137477.36407396389</v>
      </c>
      <c r="T59" s="31">
        <f t="shared" si="80"/>
        <v>620163.04212688212</v>
      </c>
      <c r="U59" s="31">
        <f t="shared" si="79"/>
        <v>69152.549557714068</v>
      </c>
      <c r="V59" s="31">
        <f t="shared" si="78"/>
        <v>0</v>
      </c>
      <c r="W59" s="22">
        <f t="shared" si="63"/>
        <v>826792.95575855998</v>
      </c>
      <c r="X59" s="32">
        <f t="shared" si="58"/>
        <v>132329.04048474383</v>
      </c>
      <c r="Y59" s="32">
        <f t="shared" si="53"/>
        <v>620290.47924233193</v>
      </c>
      <c r="Z59" s="32">
        <f t="shared" si="51"/>
        <v>87240.748457401205</v>
      </c>
      <c r="AA59" s="32">
        <f t="shared" si="49"/>
        <v>2055.3018161301857</v>
      </c>
      <c r="AB59" s="12">
        <f t="shared" si="50"/>
        <v>841915.57000060705</v>
      </c>
      <c r="AC59" s="1">
        <f t="shared" si="70"/>
        <v>-4.8588368108233297E-2</v>
      </c>
      <c r="AD59" t="s">
        <v>53</v>
      </c>
      <c r="AE59" s="19">
        <v>2005</v>
      </c>
      <c r="AF59" s="14">
        <v>1331383</v>
      </c>
      <c r="AG59" s="5">
        <f t="shared" si="71"/>
        <v>472954.13154947385</v>
      </c>
      <c r="AH59" s="41">
        <f t="shared" si="72"/>
        <v>0.2621207108581336</v>
      </c>
      <c r="AI59" s="12">
        <v>1804337.1315494739</v>
      </c>
      <c r="AJ59" s="6">
        <f t="shared" si="73"/>
        <v>3.9479672607496824E-2</v>
      </c>
      <c r="AK59" s="6"/>
      <c r="AL59">
        <v>2005</v>
      </c>
      <c r="AT59" s="27">
        <f t="shared" si="52"/>
        <v>0.46</v>
      </c>
      <c r="AW59" s="6"/>
      <c r="BA59" s="5"/>
      <c r="BC59" s="26">
        <v>0.46</v>
      </c>
      <c r="BP59" t="s">
        <v>55</v>
      </c>
      <c r="BQ59">
        <v>2005</v>
      </c>
      <c r="BR59" s="12">
        <v>1735808</v>
      </c>
      <c r="BS59" s="5">
        <v>176446</v>
      </c>
      <c r="BT59" s="5">
        <v>3361</v>
      </c>
      <c r="BU59">
        <v>234</v>
      </c>
      <c r="BV59" s="5">
        <v>50487</v>
      </c>
      <c r="BW59">
        <v>0</v>
      </c>
      <c r="BX59" s="5">
        <v>77503</v>
      </c>
      <c r="BY59" s="14">
        <v>1427778</v>
      </c>
      <c r="BZ59" s="5">
        <f t="shared" si="30"/>
        <v>1735809</v>
      </c>
      <c r="CA59" s="5"/>
      <c r="CB59" s="41">
        <v>0.17699999999999999</v>
      </c>
      <c r="CH59">
        <v>2005</v>
      </c>
      <c r="CI59" s="5">
        <v>1331383</v>
      </c>
      <c r="CJ59" s="5">
        <v>884912</v>
      </c>
      <c r="CK59" s="6">
        <f t="shared" si="64"/>
        <v>0</v>
      </c>
      <c r="CL59" s="6">
        <f t="shared" si="65"/>
        <v>5.1069764631341767E-2</v>
      </c>
      <c r="CM59">
        <v>2005</v>
      </c>
      <c r="CN59" s="20">
        <v>8.951048951048951E-2</v>
      </c>
      <c r="CO59" s="20">
        <v>0.7384615384615385</v>
      </c>
      <c r="CP59" s="20">
        <v>0.16643356643356644</v>
      </c>
      <c r="CQ59" s="20">
        <v>5.5944055944055944E-3</v>
      </c>
      <c r="CT59">
        <v>2005</v>
      </c>
      <c r="CU59" s="5">
        <v>1803477.67733786</v>
      </c>
      <c r="CV59" s="29">
        <v>1309971.18383136</v>
      </c>
      <c r="CW59" s="5">
        <f t="shared" si="74"/>
        <v>493506.49350650003</v>
      </c>
      <c r="CX59" s="6">
        <f t="shared" si="75"/>
        <v>0.27364158686730866</v>
      </c>
      <c r="CZ59" s="34">
        <f t="shared" si="76"/>
        <v>1.1872515217513721E-2</v>
      </c>
      <c r="DA59" s="6">
        <f t="shared" si="77"/>
        <v>-4.2102065483057012E-2</v>
      </c>
    </row>
    <row r="60" spans="1:105" x14ac:dyDescent="0.35">
      <c r="A60" t="s">
        <v>73</v>
      </c>
      <c r="B60">
        <f t="shared" si="1"/>
        <v>2006</v>
      </c>
      <c r="C60" s="43">
        <f t="shared" si="66"/>
        <v>1970621</v>
      </c>
      <c r="D60" s="31">
        <f t="shared" si="57"/>
        <v>744365</v>
      </c>
      <c r="E60" s="26">
        <f t="shared" si="4"/>
        <v>-0.97357249455406303</v>
      </c>
      <c r="F60" s="26" t="s">
        <v>96</v>
      </c>
      <c r="G60" s="5">
        <f t="shared" si="67"/>
        <v>1970621</v>
      </c>
      <c r="H60" s="5">
        <f t="shared" si="6"/>
        <v>653276.45190826431</v>
      </c>
      <c r="I60" s="26">
        <f t="shared" si="7"/>
        <v>-1.1041036041238916</v>
      </c>
      <c r="J60">
        <v>2006</v>
      </c>
      <c r="K60" s="43">
        <v>1970621</v>
      </c>
      <c r="L60" s="31">
        <v>744365</v>
      </c>
      <c r="N60" s="25" t="str">
        <f t="shared" si="61"/>
        <v>Brittany</v>
      </c>
      <c r="O60" s="25">
        <f t="shared" si="59"/>
        <v>2006</v>
      </c>
      <c r="P60" s="5">
        <f t="shared" si="62"/>
        <v>1970621</v>
      </c>
      <c r="Q60" s="5">
        <f t="shared" si="68"/>
        <v>2683669.7926117284</v>
      </c>
      <c r="R60" s="29">
        <f t="shared" si="69"/>
        <v>2683669.7926117284</v>
      </c>
      <c r="S60" s="31">
        <f t="shared" si="81"/>
        <v>31132.682837694883</v>
      </c>
      <c r="T60" s="31">
        <f t="shared" si="80"/>
        <v>555348.16721733462</v>
      </c>
      <c r="U60" s="31">
        <f t="shared" si="79"/>
        <v>66795.60185323481</v>
      </c>
      <c r="V60" s="31">
        <f t="shared" si="78"/>
        <v>0</v>
      </c>
      <c r="W60" s="22">
        <f t="shared" si="63"/>
        <v>653276.45190826431</v>
      </c>
      <c r="X60" s="32">
        <f t="shared" si="58"/>
        <v>87749.768486821282</v>
      </c>
      <c r="Y60" s="32">
        <f t="shared" si="53"/>
        <v>502458.22738793091</v>
      </c>
      <c r="Z60" s="32">
        <f t="shared" si="51"/>
        <v>187329.07895588901</v>
      </c>
      <c r="AA60" s="32">
        <f t="shared" si="49"/>
        <v>2461.8931638894446</v>
      </c>
      <c r="AB60" s="12">
        <f t="shared" si="50"/>
        <v>779998.96799453057</v>
      </c>
      <c r="AC60" s="1">
        <f t="shared" si="70"/>
        <v>4.7871632860935924E-2</v>
      </c>
      <c r="AD60" t="s">
        <v>53</v>
      </c>
      <c r="AE60" s="19">
        <v>2006</v>
      </c>
      <c r="AF60" s="14">
        <v>1970621</v>
      </c>
      <c r="AG60" s="5">
        <f t="shared" si="71"/>
        <v>713048.79261172842</v>
      </c>
      <c r="AH60" s="41">
        <f t="shared" si="72"/>
        <v>0.26569915366442842</v>
      </c>
      <c r="AI60" s="12">
        <v>2683669.7926117284</v>
      </c>
      <c r="AJ60" s="6">
        <f t="shared" si="73"/>
        <v>-5.0342367298129249E-2</v>
      </c>
      <c r="AK60" s="6"/>
      <c r="AL60">
        <v>2006</v>
      </c>
      <c r="AT60" s="27">
        <f t="shared" si="52"/>
        <v>0.44</v>
      </c>
      <c r="AW60" s="6"/>
      <c r="BA60" s="5"/>
      <c r="BC60" s="26">
        <v>0.44</v>
      </c>
      <c r="BP60" t="s">
        <v>55</v>
      </c>
      <c r="BQ60">
        <v>2006</v>
      </c>
      <c r="BR60" s="12">
        <v>2825934</v>
      </c>
      <c r="BS60" s="5">
        <v>455783</v>
      </c>
      <c r="BT60" s="5">
        <v>9497</v>
      </c>
      <c r="BU60">
        <v>122</v>
      </c>
      <c r="BV60" s="5">
        <v>75541</v>
      </c>
      <c r="BW60">
        <v>0</v>
      </c>
      <c r="BX60" s="5">
        <v>197432</v>
      </c>
      <c r="BY60" s="14">
        <v>2087558</v>
      </c>
      <c r="BZ60" s="5">
        <f t="shared" si="30"/>
        <v>2825933</v>
      </c>
      <c r="CA60" s="5"/>
      <c r="CB60" s="41">
        <v>0.26100000000000001</v>
      </c>
      <c r="CH60">
        <v>2006</v>
      </c>
      <c r="CI60" s="5">
        <v>1970621</v>
      </c>
      <c r="CJ60" s="5">
        <v>744365</v>
      </c>
      <c r="CK60" s="6">
        <f t="shared" si="64"/>
        <v>0</v>
      </c>
      <c r="CL60" s="6">
        <f t="shared" si="65"/>
        <v>-4.5684634796568653E-2</v>
      </c>
      <c r="CM60">
        <v>2006</v>
      </c>
      <c r="CN60" s="20">
        <v>4.3250327653997382E-2</v>
      </c>
      <c r="CO60" s="20">
        <v>0.93184796854521623</v>
      </c>
      <c r="CP60" s="20">
        <v>2.4901703800786368E-2</v>
      </c>
      <c r="CQ60" s="20">
        <v>0</v>
      </c>
      <c r="CT60">
        <v>2006</v>
      </c>
      <c r="CU60" s="5">
        <v>2687087.9879998402</v>
      </c>
      <c r="CV60" s="29">
        <v>1868906.16981802</v>
      </c>
      <c r="CW60" s="5">
        <f t="shared" si="74"/>
        <v>818181.81818182021</v>
      </c>
      <c r="CX60" s="6">
        <f t="shared" si="75"/>
        <v>0.30448642613703236</v>
      </c>
      <c r="CZ60" s="34">
        <f t="shared" si="76"/>
        <v>3.7853181822189774E-2</v>
      </c>
      <c r="DA60" s="6">
        <f t="shared" si="77"/>
        <v>-0.12738588371472412</v>
      </c>
    </row>
    <row r="61" spans="1:105" x14ac:dyDescent="0.35">
      <c r="A61" t="s">
        <v>73</v>
      </c>
      <c r="B61">
        <f t="shared" si="1"/>
        <v>2007</v>
      </c>
      <c r="C61" s="43">
        <f t="shared" si="66"/>
        <v>1057248</v>
      </c>
      <c r="D61" s="31">
        <f t="shared" si="57"/>
        <v>1296356</v>
      </c>
      <c r="E61" s="26">
        <f t="shared" si="4"/>
        <v>0.20388794589883796</v>
      </c>
      <c r="F61" s="26" t="s">
        <v>96</v>
      </c>
      <c r="G61" s="5">
        <f t="shared" si="67"/>
        <v>1057248</v>
      </c>
      <c r="H61" s="5">
        <f t="shared" si="6"/>
        <v>1919087.3845169125</v>
      </c>
      <c r="I61" s="26">
        <f t="shared" si="7"/>
        <v>0.59618044680644766</v>
      </c>
      <c r="J61">
        <v>2007</v>
      </c>
      <c r="K61" s="43">
        <v>1057248</v>
      </c>
      <c r="L61" s="31">
        <v>1296356</v>
      </c>
      <c r="N61" s="25" t="str">
        <f t="shared" si="61"/>
        <v>Brittany</v>
      </c>
      <c r="O61" s="25">
        <f t="shared" si="59"/>
        <v>2007</v>
      </c>
      <c r="P61" s="5">
        <f t="shared" si="62"/>
        <v>1057248</v>
      </c>
      <c r="Q61" s="5">
        <f t="shared" si="68"/>
        <v>1382634.3049989361</v>
      </c>
      <c r="R61" s="29">
        <f t="shared" si="69"/>
        <v>1382634.3049989361</v>
      </c>
      <c r="S61" s="31">
        <f t="shared" si="81"/>
        <v>35108.21746776253</v>
      </c>
      <c r="T61" s="31">
        <f t="shared" si="80"/>
        <v>1326803.5459028916</v>
      </c>
      <c r="U61" s="31">
        <f t="shared" si="79"/>
        <v>544300.78329583409</v>
      </c>
      <c r="V61" s="31">
        <f t="shared" si="78"/>
        <v>12874.837850424572</v>
      </c>
      <c r="W61" s="22">
        <f t="shared" si="63"/>
        <v>1919087.3845169125</v>
      </c>
      <c r="X61" s="32">
        <f t="shared" si="58"/>
        <v>71080.557582384645</v>
      </c>
      <c r="Y61" s="32">
        <f t="shared" si="53"/>
        <v>1078911.3873358169</v>
      </c>
      <c r="Z61" s="32">
        <f t="shared" si="51"/>
        <v>224387.56938752061</v>
      </c>
      <c r="AA61" s="32">
        <f t="shared" si="49"/>
        <v>2316.2179783041593</v>
      </c>
      <c r="AB61" s="12">
        <f t="shared" si="50"/>
        <v>1376695.7322840265</v>
      </c>
      <c r="AC61" s="1">
        <f t="shared" si="70"/>
        <v>6.1973510581990174E-2</v>
      </c>
      <c r="AD61" t="s">
        <v>53</v>
      </c>
      <c r="AE61" s="19">
        <v>2007</v>
      </c>
      <c r="AF61" s="14">
        <v>1057248</v>
      </c>
      <c r="AG61" s="5">
        <f t="shared" si="71"/>
        <v>325386.30499893613</v>
      </c>
      <c r="AH61" s="41">
        <f t="shared" si="72"/>
        <v>0.23533793702535574</v>
      </c>
      <c r="AI61" s="12">
        <v>1382634.3049989361</v>
      </c>
      <c r="AJ61" s="6" t="s">
        <v>12</v>
      </c>
      <c r="AK61" s="6"/>
      <c r="AL61">
        <v>2007</v>
      </c>
      <c r="AT61" s="27">
        <f t="shared" si="52"/>
        <v>0.44</v>
      </c>
      <c r="AW61" s="6"/>
      <c r="BA61" s="5"/>
      <c r="BC61" s="26">
        <v>0.44</v>
      </c>
      <c r="CH61">
        <v>2007</v>
      </c>
      <c r="CI61" s="5">
        <v>1057248</v>
      </c>
      <c r="CJ61" s="5">
        <v>1296356</v>
      </c>
      <c r="CK61" s="6">
        <f t="shared" si="64"/>
        <v>0</v>
      </c>
      <c r="CL61" s="6">
        <f t="shared" si="65"/>
        <v>-5.8356926951998095E-2</v>
      </c>
      <c r="CM61">
        <v>2007</v>
      </c>
      <c r="CN61" s="20">
        <v>7.4999999999999997E-2</v>
      </c>
      <c r="CO61" s="20">
        <v>0.80625000000000002</v>
      </c>
      <c r="CP61" s="20">
        <v>0.11874999999999999</v>
      </c>
      <c r="CQ61" s="20">
        <v>0</v>
      </c>
      <c r="CT61">
        <v>2007</v>
      </c>
      <c r="CU61" s="5">
        <v>1388880.1168436401</v>
      </c>
      <c r="CV61" s="29">
        <v>1012256.74022026</v>
      </c>
      <c r="CW61" s="5">
        <f t="shared" si="74"/>
        <v>376623.37662338011</v>
      </c>
      <c r="CX61" s="6">
        <f t="shared" si="75"/>
        <v>0.27117054384743583</v>
      </c>
      <c r="CZ61" s="34">
        <f t="shared" si="76"/>
        <v>3.2393911637231043E-2</v>
      </c>
      <c r="DA61" s="6">
        <f t="shared" si="77"/>
        <v>-0.13214048367377243</v>
      </c>
    </row>
    <row r="62" spans="1:105" x14ac:dyDescent="0.35">
      <c r="A62" t="s">
        <v>73</v>
      </c>
      <c r="B62">
        <f t="shared" si="1"/>
        <v>2008</v>
      </c>
      <c r="C62" s="43">
        <f t="shared" si="66"/>
        <v>982016</v>
      </c>
      <c r="D62" s="31">
        <f t="shared" si="57"/>
        <v>1641562</v>
      </c>
      <c r="E62" s="26">
        <f t="shared" si="4"/>
        <v>0.51379590505962547</v>
      </c>
      <c r="F62" s="26" t="s">
        <v>96</v>
      </c>
      <c r="G62" s="5">
        <f t="shared" si="67"/>
        <v>982016</v>
      </c>
      <c r="H62" s="5">
        <f t="shared" si="6"/>
        <v>1341575.4990023808</v>
      </c>
      <c r="I62" s="26">
        <f t="shared" si="7"/>
        <v>0.31199234632089623</v>
      </c>
      <c r="J62">
        <v>2008</v>
      </c>
      <c r="K62" s="43">
        <v>982016</v>
      </c>
      <c r="L62" s="31">
        <v>1641562</v>
      </c>
      <c r="N62" s="25" t="str">
        <f t="shared" si="61"/>
        <v>Brittany</v>
      </c>
      <c r="O62" s="25">
        <f t="shared" si="59"/>
        <v>2008</v>
      </c>
      <c r="P62" s="5">
        <f t="shared" si="62"/>
        <v>982016</v>
      </c>
      <c r="Q62" s="5">
        <f t="shared" si="68"/>
        <v>1231940.0157277284</v>
      </c>
      <c r="R62" s="29">
        <f t="shared" si="69"/>
        <v>1231940.0157277284</v>
      </c>
      <c r="S62" s="31">
        <f t="shared" si="81"/>
        <v>27325.473485414244</v>
      </c>
      <c r="T62" s="31">
        <f t="shared" si="80"/>
        <v>976285.53194332158</v>
      </c>
      <c r="U62" s="31">
        <f t="shared" si="79"/>
        <v>337964.49357364496</v>
      </c>
      <c r="V62" s="31">
        <f t="shared" si="78"/>
        <v>0</v>
      </c>
      <c r="W62" s="22">
        <f t="shared" si="63"/>
        <v>1341575.4990023808</v>
      </c>
      <c r="X62" s="32">
        <f t="shared" si="58"/>
        <v>152628.85313370454</v>
      </c>
      <c r="Y62" s="32">
        <f t="shared" si="53"/>
        <v>1292347.6971015721</v>
      </c>
      <c r="Z62" s="32">
        <f t="shared" si="51"/>
        <v>211110.10418593726</v>
      </c>
      <c r="AA62" s="32">
        <f t="shared" si="49"/>
        <v>2181.0587133018798</v>
      </c>
      <c r="AB62" s="12">
        <f t="shared" si="50"/>
        <v>1658267.7131345156</v>
      </c>
      <c r="AC62" s="1">
        <f t="shared" si="70"/>
        <v>1.0176717744755035E-2</v>
      </c>
      <c r="AD62" t="s">
        <v>53</v>
      </c>
      <c r="AE62" s="19">
        <v>2008</v>
      </c>
      <c r="AF62" s="14">
        <v>982016</v>
      </c>
      <c r="AG62" s="5">
        <f t="shared" si="71"/>
        <v>249924.01572772837</v>
      </c>
      <c r="AH62" s="41">
        <f t="shared" si="72"/>
        <v>0.20287027983265396</v>
      </c>
      <c r="AI62" s="12">
        <v>1231940.0157277284</v>
      </c>
      <c r="AJ62" s="6" t="s">
        <v>12</v>
      </c>
      <c r="AK62" s="6"/>
      <c r="AL62">
        <v>2008</v>
      </c>
      <c r="AT62" s="27">
        <f t="shared" si="52"/>
        <v>0.43</v>
      </c>
      <c r="AW62" s="6"/>
      <c r="BA62" s="5"/>
      <c r="BC62" s="26">
        <v>0.43</v>
      </c>
      <c r="CH62">
        <v>2008</v>
      </c>
      <c r="CI62" s="5">
        <v>982016</v>
      </c>
      <c r="CJ62" s="5">
        <v>1641562</v>
      </c>
      <c r="CK62" s="6">
        <f t="shared" si="64"/>
        <v>0</v>
      </c>
      <c r="CL62" s="6">
        <f t="shared" si="65"/>
        <v>-1.0074195500639545E-2</v>
      </c>
      <c r="CM62">
        <v>2008</v>
      </c>
      <c r="CN62" s="20">
        <v>0.11159420289855072</v>
      </c>
      <c r="CO62" s="20">
        <v>0.8144927536231884</v>
      </c>
      <c r="CP62" s="20">
        <v>7.3913043478260873E-2</v>
      </c>
      <c r="CQ62" s="20">
        <v>0</v>
      </c>
      <c r="CT62">
        <v>2008</v>
      </c>
      <c r="CU62" s="5">
        <v>1220522.63845577</v>
      </c>
      <c r="CV62" s="29">
        <v>934828.08984328795</v>
      </c>
      <c r="CW62" s="5">
        <f t="shared" si="74"/>
        <v>285694.54861248203</v>
      </c>
      <c r="CX62" s="6">
        <f t="shared" si="75"/>
        <v>0.2340755833697182</v>
      </c>
      <c r="CZ62" s="34">
        <f t="shared" si="76"/>
        <v>3.86620523617777E-2</v>
      </c>
      <c r="DA62" s="6">
        <f t="shared" si="77"/>
        <v>-0.13331293716259174</v>
      </c>
    </row>
    <row r="63" spans="1:105" x14ac:dyDescent="0.35">
      <c r="A63" t="s">
        <v>73</v>
      </c>
      <c r="B63">
        <f t="shared" si="1"/>
        <v>2009</v>
      </c>
      <c r="C63" s="43">
        <f t="shared" si="66"/>
        <v>474550</v>
      </c>
      <c r="D63" s="31">
        <f t="shared" si="57"/>
        <v>1613902</v>
      </c>
      <c r="E63" s="26">
        <f t="shared" si="4"/>
        <v>1.224043141698661</v>
      </c>
      <c r="F63" s="26" t="s">
        <v>96</v>
      </c>
      <c r="G63" s="5">
        <f t="shared" si="67"/>
        <v>474550</v>
      </c>
      <c r="H63" s="5">
        <f t="shared" si="6"/>
        <v>1605367.0756795239</v>
      </c>
      <c r="I63" s="26">
        <f t="shared" si="7"/>
        <v>1.2187407304265099</v>
      </c>
      <c r="J63">
        <v>2009</v>
      </c>
      <c r="K63" s="43">
        <v>474550</v>
      </c>
      <c r="L63" s="31">
        <v>1613902</v>
      </c>
      <c r="N63" s="25" t="str">
        <f t="shared" si="61"/>
        <v>Brittany</v>
      </c>
      <c r="O63" s="25">
        <f t="shared" si="59"/>
        <v>2009</v>
      </c>
      <c r="P63" s="5">
        <f t="shared" si="62"/>
        <v>474550</v>
      </c>
      <c r="Q63" s="5">
        <f t="shared" si="68"/>
        <v>816921.59766111372</v>
      </c>
      <c r="R63" s="29">
        <f t="shared" si="69"/>
        <v>816921.59766111372</v>
      </c>
      <c r="S63" s="31">
        <f t="shared" si="81"/>
        <v>181433.59443194472</v>
      </c>
      <c r="T63" s="31">
        <f t="shared" si="80"/>
        <v>1200578.6295520912</v>
      </c>
      <c r="U63" s="31">
        <f t="shared" si="79"/>
        <v>220586.4788784436</v>
      </c>
      <c r="V63" s="31">
        <f t="shared" si="78"/>
        <v>2768.3728170443637</v>
      </c>
      <c r="W63" s="22">
        <f t="shared" si="63"/>
        <v>1605367.0756795239</v>
      </c>
      <c r="X63" s="32">
        <f t="shared" si="58"/>
        <v>182822.75001811818</v>
      </c>
      <c r="Y63" s="32">
        <f t="shared" si="53"/>
        <v>1215876.8764431491</v>
      </c>
      <c r="Z63" s="32">
        <f t="shared" si="51"/>
        <v>198791.10537684546</v>
      </c>
      <c r="AA63" s="32">
        <f t="shared" si="49"/>
        <v>2101.2686923777969</v>
      </c>
      <c r="AB63" s="12">
        <f t="shared" si="50"/>
        <v>1599592.0005304904</v>
      </c>
      <c r="AC63" s="1">
        <f t="shared" si="70"/>
        <v>-8.8667090501837048E-3</v>
      </c>
      <c r="AD63" t="s">
        <v>53</v>
      </c>
      <c r="AE63" s="19">
        <v>2009</v>
      </c>
      <c r="AF63" s="14">
        <v>474550</v>
      </c>
      <c r="AG63" s="5">
        <f t="shared" si="71"/>
        <v>342371.59766111372</v>
      </c>
      <c r="AH63" s="41">
        <f t="shared" si="72"/>
        <v>0.41909970141729669</v>
      </c>
      <c r="AI63" s="12">
        <v>816921.59766111372</v>
      </c>
      <c r="AJ63" s="6"/>
      <c r="AK63" s="6"/>
      <c r="AL63">
        <v>2009</v>
      </c>
      <c r="AT63" s="27">
        <f t="shared" si="52"/>
        <v>0.42</v>
      </c>
      <c r="AW63" s="6"/>
      <c r="BA63" s="5"/>
      <c r="BC63" s="26">
        <v>0.42</v>
      </c>
      <c r="CH63">
        <v>2009</v>
      </c>
      <c r="CI63" s="5">
        <v>474550</v>
      </c>
      <c r="CJ63" s="5">
        <v>1613902</v>
      </c>
      <c r="CK63" s="6">
        <f t="shared" si="64"/>
        <v>0</v>
      </c>
      <c r="CL63" s="6">
        <f t="shared" si="65"/>
        <v>8.9460309033577295E-3</v>
      </c>
      <c r="CM63">
        <v>2009</v>
      </c>
      <c r="CN63" s="20">
        <v>3.8109756097560975E-2</v>
      </c>
      <c r="CO63" s="20">
        <v>0.75914634146341464</v>
      </c>
      <c r="CP63" s="20">
        <v>0.2027439024390244</v>
      </c>
      <c r="CQ63" s="20">
        <v>0</v>
      </c>
      <c r="CT63">
        <v>2009</v>
      </c>
      <c r="CU63" s="5">
        <v>792484.111633047</v>
      </c>
      <c r="CV63" s="29">
        <v>454821.77397071</v>
      </c>
      <c r="CW63" s="5">
        <f t="shared" si="74"/>
        <v>337662.337662337</v>
      </c>
      <c r="CX63" s="6">
        <f t="shared" si="75"/>
        <v>0.42608089260808885</v>
      </c>
      <c r="CZ63" s="34">
        <f t="shared" si="76"/>
        <v>2.4894159693166176E-2</v>
      </c>
      <c r="DA63" s="6">
        <f>(AH63-CX63)/CX63</f>
        <v>-1.638466148542711E-2</v>
      </c>
    </row>
    <row r="64" spans="1:105" x14ac:dyDescent="0.35">
      <c r="A64" t="s">
        <v>73</v>
      </c>
      <c r="B64">
        <f t="shared" si="1"/>
        <v>2010</v>
      </c>
      <c r="C64" s="43">
        <f t="shared" si="66"/>
        <v>608718</v>
      </c>
      <c r="D64" s="31">
        <f t="shared" si="57"/>
        <v>1521759</v>
      </c>
      <c r="E64" s="26">
        <f t="shared" si="4"/>
        <v>0.91626707532000706</v>
      </c>
      <c r="F64" s="26" t="s">
        <v>96</v>
      </c>
      <c r="G64" s="5">
        <f t="shared" si="67"/>
        <v>608718</v>
      </c>
      <c r="H64" s="5">
        <f t="shared" si="6"/>
        <v>1596985.3916231559</v>
      </c>
      <c r="I64" s="26">
        <f t="shared" si="7"/>
        <v>0.96451789450628955</v>
      </c>
      <c r="J64">
        <v>2010</v>
      </c>
      <c r="K64" s="43">
        <v>608718</v>
      </c>
      <c r="L64" s="31">
        <v>1521759</v>
      </c>
      <c r="N64" s="25" t="str">
        <f t="shared" si="61"/>
        <v>Brittany</v>
      </c>
      <c r="O64" s="25">
        <f t="shared" si="59"/>
        <v>2010</v>
      </c>
      <c r="P64" s="5">
        <f t="shared" si="62"/>
        <v>608718</v>
      </c>
      <c r="Q64" s="5">
        <f t="shared" si="68"/>
        <v>661736.70499843312</v>
      </c>
      <c r="R64" s="29">
        <f t="shared" si="69"/>
        <v>661736.70499843312</v>
      </c>
      <c r="S64" s="31">
        <f t="shared" si="81"/>
        <v>49889.996670395216</v>
      </c>
      <c r="T64" s="31">
        <f t="shared" si="80"/>
        <v>1222679.3400690875</v>
      </c>
      <c r="U64" s="31">
        <f t="shared" si="79"/>
        <v>318362.8739601018</v>
      </c>
      <c r="V64" s="31">
        <f t="shared" si="78"/>
        <v>6053.1809235716164</v>
      </c>
      <c r="W64" s="22">
        <f t="shared" si="63"/>
        <v>1596985.3916231559</v>
      </c>
      <c r="X64" s="32">
        <f t="shared" si="58"/>
        <v>172004.75903916542</v>
      </c>
      <c r="Y64" s="32">
        <f t="shared" si="53"/>
        <v>1144926.2895412873</v>
      </c>
      <c r="Z64" s="32">
        <f t="shared" si="51"/>
        <v>191518.69846693357</v>
      </c>
      <c r="AA64" s="32">
        <f t="shared" si="49"/>
        <v>4259.6220423971727</v>
      </c>
      <c r="AB64" s="12">
        <f t="shared" si="50"/>
        <v>1512709.3690897836</v>
      </c>
      <c r="AC64" s="1">
        <f t="shared" si="70"/>
        <v>-5.9468226639148285E-3</v>
      </c>
      <c r="AD64" t="s">
        <v>53</v>
      </c>
      <c r="AE64" s="19">
        <v>2010</v>
      </c>
      <c r="AF64" s="14">
        <v>608718</v>
      </c>
      <c r="AG64" s="5">
        <f t="shared" si="71"/>
        <v>53018.704998433124</v>
      </c>
      <c r="AH64" s="41">
        <f t="shared" si="72"/>
        <v>8.0120544316124434E-2</v>
      </c>
      <c r="AI64" s="12">
        <v>661736.70499843312</v>
      </c>
      <c r="AJ64" s="6"/>
      <c r="AK64" s="6"/>
      <c r="AL64">
        <v>2010</v>
      </c>
      <c r="AT64" s="27">
        <f t="shared" si="52"/>
        <v>0.38</v>
      </c>
      <c r="AW64" s="6"/>
      <c r="BA64" s="5"/>
      <c r="BC64" s="26">
        <v>0.38</v>
      </c>
      <c r="CH64">
        <v>2010</v>
      </c>
      <c r="CI64" s="5">
        <v>608718</v>
      </c>
      <c r="CJ64" s="5">
        <v>1521759</v>
      </c>
      <c r="CK64" s="6">
        <f t="shared" si="64"/>
        <v>0</v>
      </c>
      <c r="CL64" s="6">
        <f t="shared" si="65"/>
        <v>5.9823989294530795E-3</v>
      </c>
      <c r="CM64">
        <v>2010</v>
      </c>
      <c r="CN64" s="20">
        <v>5.3054662379421219E-2</v>
      </c>
      <c r="CO64" s="20">
        <v>0.83922829581993574</v>
      </c>
      <c r="CP64" s="20">
        <v>0.1045016077170418</v>
      </c>
      <c r="CQ64" s="20">
        <v>3.2154340836012861E-3</v>
      </c>
      <c r="CT64">
        <v>2010</v>
      </c>
      <c r="CU64" s="5">
        <v>663107.409308017</v>
      </c>
      <c r="CV64" s="29">
        <v>585185.33138593903</v>
      </c>
      <c r="CW64" s="5">
        <f t="shared" si="74"/>
        <v>77922.077922077966</v>
      </c>
      <c r="CX64" s="6">
        <f t="shared" si="75"/>
        <v>0.11751049200821512</v>
      </c>
      <c r="CZ64" s="34">
        <f t="shared" si="76"/>
        <v>3.548847182784217E-2</v>
      </c>
      <c r="DA64" s="6">
        <f t="shared" si="77"/>
        <v>-0.31818390896939452</v>
      </c>
    </row>
    <row r="65" spans="1:105" x14ac:dyDescent="0.35">
      <c r="A65" t="s">
        <v>73</v>
      </c>
      <c r="B65">
        <f t="shared" si="1"/>
        <v>2011</v>
      </c>
      <c r="C65" s="43">
        <f t="shared" si="66"/>
        <v>1079068</v>
      </c>
      <c r="D65" s="31">
        <f t="shared" si="57"/>
        <v>1567636</v>
      </c>
      <c r="E65" s="26">
        <f t="shared" si="4"/>
        <v>0.37347104651547813</v>
      </c>
      <c r="F65" s="26" t="s">
        <v>96</v>
      </c>
      <c r="G65" s="5">
        <f t="shared" si="67"/>
        <v>1079068</v>
      </c>
      <c r="H65" s="5">
        <f t="shared" si="6"/>
        <v>1137157.6669372031</v>
      </c>
      <c r="I65" s="26">
        <f t="shared" si="7"/>
        <v>5.2434168798394749E-2</v>
      </c>
      <c r="J65">
        <v>2011</v>
      </c>
      <c r="K65" s="43">
        <v>1079068</v>
      </c>
      <c r="L65" s="31">
        <v>1567636</v>
      </c>
      <c r="N65" s="25" t="str">
        <f t="shared" si="61"/>
        <v>Brittany</v>
      </c>
      <c r="O65" s="25">
        <f t="shared" si="59"/>
        <v>2011</v>
      </c>
      <c r="P65" s="5">
        <f t="shared" si="62"/>
        <v>1079068</v>
      </c>
      <c r="Q65" s="5">
        <f t="shared" si="68"/>
        <v>1420924.6212415406</v>
      </c>
      <c r="R65" s="29">
        <f t="shared" si="69"/>
        <v>1420924.6212415406</v>
      </c>
      <c r="S65" s="31">
        <f t="shared" si="81"/>
        <v>64600.325957258479</v>
      </c>
      <c r="T65" s="31">
        <f t="shared" si="80"/>
        <v>879650.46261584666</v>
      </c>
      <c r="U65" s="31">
        <f t="shared" si="79"/>
        <v>190675.19909250591</v>
      </c>
      <c r="V65" s="31">
        <f t="shared" si="78"/>
        <v>2231.6792715920915</v>
      </c>
      <c r="W65" s="22">
        <f t="shared" si="63"/>
        <v>1137157.6669372031</v>
      </c>
      <c r="X65" s="32">
        <f t="shared" si="58"/>
        <v>161967.69127335475</v>
      </c>
      <c r="Y65" s="32">
        <f t="shared" si="53"/>
        <v>1103041.2673537219</v>
      </c>
      <c r="Z65" s="32">
        <f t="shared" si="51"/>
        <v>388240.33902956563</v>
      </c>
      <c r="AA65" s="32">
        <f t="shared" si="49"/>
        <v>1551.0640712717357</v>
      </c>
      <c r="AB65" s="12">
        <f t="shared" si="50"/>
        <v>1654800.3617279141</v>
      </c>
      <c r="AC65" s="1">
        <f t="shared" si="70"/>
        <v>5.5602424113706292E-2</v>
      </c>
      <c r="AD65" t="s">
        <v>53</v>
      </c>
      <c r="AE65" s="19">
        <v>2011</v>
      </c>
      <c r="AF65" s="14">
        <v>1079068</v>
      </c>
      <c r="AG65" s="5">
        <f t="shared" si="71"/>
        <v>341856.62124154065</v>
      </c>
      <c r="AH65" s="41">
        <f t="shared" si="72"/>
        <v>0.24058744294460993</v>
      </c>
      <c r="AI65" s="12">
        <v>1420924.6212415406</v>
      </c>
      <c r="AJ65" s="6"/>
      <c r="AK65" s="6"/>
      <c r="AL65">
        <v>2011</v>
      </c>
      <c r="AT65" s="27">
        <f t="shared" si="52"/>
        <v>0.46</v>
      </c>
      <c r="AW65" s="6"/>
      <c r="BA65" s="5"/>
      <c r="BC65" s="26">
        <v>0.46</v>
      </c>
      <c r="CH65">
        <v>2011</v>
      </c>
      <c r="CI65" s="5">
        <v>1079068</v>
      </c>
      <c r="CJ65" s="5">
        <v>1567636</v>
      </c>
      <c r="CK65" s="6">
        <f t="shared" si="64"/>
        <v>0</v>
      </c>
      <c r="CL65" s="6">
        <f t="shared" si="65"/>
        <v>-5.2673641935211173E-2</v>
      </c>
      <c r="CM65">
        <v>2011</v>
      </c>
      <c r="CN65" s="20">
        <v>1.9230769230769232E-2</v>
      </c>
      <c r="CO65" s="20">
        <v>0.93376068376068377</v>
      </c>
      <c r="CP65" s="20">
        <v>4.7008547008547008E-2</v>
      </c>
      <c r="CQ65" s="20">
        <v>0</v>
      </c>
      <c r="CT65">
        <v>2011</v>
      </c>
      <c r="CU65" s="5">
        <v>1416827.8529980599</v>
      </c>
      <c r="CV65" s="29">
        <v>1027237.20048948</v>
      </c>
      <c r="CW65" s="5">
        <f t="shared" si="74"/>
        <v>389590.65250857989</v>
      </c>
      <c r="CX65" s="6">
        <f t="shared" si="75"/>
        <v>0.27497388033711484</v>
      </c>
      <c r="CZ65" s="34">
        <f t="shared" si="76"/>
        <v>3.6582284432681127E-2</v>
      </c>
      <c r="DA65" s="6">
        <f t="shared" si="77"/>
        <v>-0.12505346817067689</v>
      </c>
    </row>
    <row r="66" spans="1:105" x14ac:dyDescent="0.35">
      <c r="A66" t="s">
        <v>73</v>
      </c>
      <c r="B66">
        <f t="shared" si="1"/>
        <v>2012</v>
      </c>
      <c r="C66" s="43">
        <f t="shared" si="66"/>
        <v>1381072</v>
      </c>
      <c r="D66" s="31">
        <f t="shared" si="57"/>
        <v>2530282</v>
      </c>
      <c r="E66" s="26">
        <f t="shared" si="4"/>
        <v>0.60547074977719351</v>
      </c>
      <c r="F66" s="26" t="s">
        <v>96</v>
      </c>
      <c r="G66" s="5">
        <f t="shared" si="67"/>
        <v>1381072</v>
      </c>
      <c r="H66" s="5">
        <f t="shared" si="6"/>
        <v>3027578.7899983842</v>
      </c>
      <c r="I66" s="26">
        <f t="shared" si="7"/>
        <v>0.7849032116775021</v>
      </c>
      <c r="J66">
        <v>2012</v>
      </c>
      <c r="K66" s="43">
        <v>1381072</v>
      </c>
      <c r="L66" s="31">
        <v>2530282</v>
      </c>
      <c r="N66" s="25" t="str">
        <f t="shared" si="61"/>
        <v>Brittany</v>
      </c>
      <c r="O66" s="25">
        <f t="shared" si="59"/>
        <v>2012</v>
      </c>
      <c r="P66" s="5">
        <f t="shared" si="62"/>
        <v>1381072</v>
      </c>
      <c r="Q66" s="5">
        <f t="shared" si="68"/>
        <v>1702019.9096711003</v>
      </c>
      <c r="R66" s="29">
        <f t="shared" si="69"/>
        <v>1702019.9096711003</v>
      </c>
      <c r="S66" s="31">
        <f t="shared" si="81"/>
        <v>251921.92635103708</v>
      </c>
      <c r="T66" s="31">
        <f t="shared" si="80"/>
        <v>2596814.6162122232</v>
      </c>
      <c r="U66" s="31">
        <f t="shared" si="79"/>
        <v>177418.50209157128</v>
      </c>
      <c r="V66" s="31">
        <f t="shared" si="78"/>
        <v>1423.74534355275</v>
      </c>
      <c r="W66" s="22">
        <f>SUM(S66:V66)</f>
        <v>3027578.7899983842</v>
      </c>
      <c r="X66" s="32">
        <f t="shared" si="58"/>
        <v>156042.40123099647</v>
      </c>
      <c r="Y66" s="32">
        <f t="shared" si="53"/>
        <v>2236048.5896626376</v>
      </c>
      <c r="Z66" s="32">
        <f t="shared" si="51"/>
        <v>141370.67441510069</v>
      </c>
      <c r="AA66" s="32">
        <f t="shared" si="49"/>
        <v>1141.9272417206932</v>
      </c>
      <c r="AB66" s="12">
        <f t="shared" si="50"/>
        <v>2534603.5925504556</v>
      </c>
      <c r="AC66" s="1">
        <f t="shared" si="70"/>
        <v>1.7079489758278297E-3</v>
      </c>
      <c r="AD66" t="s">
        <v>53</v>
      </c>
      <c r="AE66" s="19">
        <v>2012</v>
      </c>
      <c r="AF66" s="14">
        <v>1381072</v>
      </c>
      <c r="AG66" s="5">
        <f t="shared" si="71"/>
        <v>320947.90967110032</v>
      </c>
      <c r="AH66" s="41">
        <f t="shared" si="72"/>
        <v>0.18856883391753071</v>
      </c>
      <c r="AI66" s="12">
        <v>1702019.9096711003</v>
      </c>
      <c r="AJ66" s="6"/>
      <c r="AK66" s="6"/>
      <c r="AL66">
        <v>2012</v>
      </c>
      <c r="AT66" s="27">
        <f t="shared" si="52"/>
        <v>0.38</v>
      </c>
      <c r="AW66" s="6"/>
      <c r="BA66" s="5"/>
      <c r="BC66" s="26">
        <v>0.38</v>
      </c>
      <c r="CH66">
        <v>2012</v>
      </c>
      <c r="CI66" s="5">
        <v>1381072</v>
      </c>
      <c r="CJ66" s="5">
        <v>2530282</v>
      </c>
      <c r="CK66" s="6">
        <f t="shared" si="64"/>
        <v>0</v>
      </c>
      <c r="CL66" s="6">
        <f t="shared" si="65"/>
        <v>-1.7050368598692672E-3</v>
      </c>
      <c r="CM66">
        <v>2012</v>
      </c>
      <c r="CN66" s="20">
        <v>0.1065989847715736</v>
      </c>
      <c r="CO66" s="20">
        <v>0.57360406091370564</v>
      </c>
      <c r="CP66" s="20">
        <v>0.31979695431472083</v>
      </c>
      <c r="CQ66" s="20">
        <v>0</v>
      </c>
      <c r="CT66">
        <v>2012</v>
      </c>
      <c r="CU66" s="5">
        <v>1703055.3033592501</v>
      </c>
      <c r="CV66" s="29">
        <v>1339438.6768246901</v>
      </c>
      <c r="CW66" s="5">
        <f t="shared" si="74"/>
        <v>363616.62653456</v>
      </c>
      <c r="CX66" s="6">
        <f t="shared" si="75"/>
        <v>0.21350840798729898</v>
      </c>
      <c r="CZ66" s="34">
        <f t="shared" si="76"/>
        <v>2.4446254383629729E-2</v>
      </c>
      <c r="DA66" s="6">
        <f t="shared" si="77"/>
        <v>-0.11680839319101594</v>
      </c>
    </row>
    <row r="67" spans="1:105" x14ac:dyDescent="0.35">
      <c r="A67" t="s">
        <v>73</v>
      </c>
      <c r="B67">
        <f t="shared" si="1"/>
        <v>2013</v>
      </c>
      <c r="C67" s="43">
        <f t="shared" si="66"/>
        <v>1167839</v>
      </c>
      <c r="D67" s="31">
        <f t="shared" si="57"/>
        <v>1408307</v>
      </c>
      <c r="E67" s="26">
        <f t="shared" si="4"/>
        <v>0.18723324130222524</v>
      </c>
      <c r="F67" s="26" t="s">
        <v>96</v>
      </c>
      <c r="G67" s="5">
        <f t="shared" si="67"/>
        <v>1167839</v>
      </c>
      <c r="H67" s="5">
        <f t="shared" si="6"/>
        <v>805154.93228744587</v>
      </c>
      <c r="I67" s="26">
        <f t="shared" si="7"/>
        <v>-0.37187559005235787</v>
      </c>
      <c r="J67">
        <v>2013</v>
      </c>
      <c r="K67" s="43">
        <v>1167839</v>
      </c>
      <c r="L67" s="31">
        <v>1408307</v>
      </c>
      <c r="N67" s="25" t="str">
        <f t="shared" si="61"/>
        <v>Brittany</v>
      </c>
      <c r="O67" s="25">
        <f t="shared" si="59"/>
        <v>2013</v>
      </c>
      <c r="P67" s="5">
        <f t="shared" si="62"/>
        <v>1167839</v>
      </c>
      <c r="Q67" s="5">
        <f t="shared" si="68"/>
        <v>1601307.957646556</v>
      </c>
      <c r="R67" s="29">
        <f t="shared" si="69"/>
        <v>1601307.957646556</v>
      </c>
      <c r="S67" s="31">
        <f t="shared" si="81"/>
        <v>151329.52308929039</v>
      </c>
      <c r="T67" s="31">
        <f t="shared" si="80"/>
        <v>636028.59240374609</v>
      </c>
      <c r="U67" s="31">
        <f t="shared" si="79"/>
        <v>17796.816794409377</v>
      </c>
      <c r="V67" s="31">
        <f t="shared" si="78"/>
        <v>0</v>
      </c>
      <c r="W67" s="22">
        <f t="shared" si="63"/>
        <v>805154.93228744587</v>
      </c>
      <c r="X67" s="32">
        <f t="shared" si="58"/>
        <v>316323.96858299075</v>
      </c>
      <c r="Y67" s="32">
        <f t="shared" si="53"/>
        <v>814216.51839601609</v>
      </c>
      <c r="Z67" s="32">
        <f t="shared" si="51"/>
        <v>104080.17778573625</v>
      </c>
      <c r="AA67" s="32">
        <f t="shared" si="49"/>
        <v>471.74881410808541</v>
      </c>
      <c r="AB67" s="12">
        <f t="shared" si="50"/>
        <v>1235092.4135788511</v>
      </c>
      <c r="AC67" s="1">
        <f t="shared" si="70"/>
        <v>-0.12299490552922683</v>
      </c>
      <c r="AD67" t="s">
        <v>53</v>
      </c>
      <c r="AE67" s="19">
        <v>2013</v>
      </c>
      <c r="AF67" s="14">
        <v>1167839</v>
      </c>
      <c r="AG67" s="5">
        <f t="shared" si="71"/>
        <v>433468.95764655597</v>
      </c>
      <c r="AH67" s="41">
        <f t="shared" si="72"/>
        <v>0.27069681105165166</v>
      </c>
      <c r="AI67" s="12">
        <v>1601307.957646556</v>
      </c>
      <c r="AJ67" s="6"/>
      <c r="AK67" s="6"/>
      <c r="AL67">
        <v>2013</v>
      </c>
      <c r="AT67" s="27">
        <f t="shared" si="52"/>
        <v>0.5</v>
      </c>
      <c r="AW67" s="6"/>
      <c r="BA67" s="5"/>
      <c r="BC67" s="26">
        <v>0.5</v>
      </c>
      <c r="CH67">
        <v>2013</v>
      </c>
      <c r="CI67" s="5">
        <v>1167839</v>
      </c>
      <c r="CJ67" s="5">
        <v>1408307</v>
      </c>
      <c r="CK67" s="6">
        <f t="shared" si="64"/>
        <v>0</v>
      </c>
      <c r="CL67" s="6">
        <f t="shared" si="65"/>
        <v>0.14024423153829893</v>
      </c>
      <c r="CM67">
        <v>2013</v>
      </c>
      <c r="CN67" s="20">
        <v>3.1155778894472363E-2</v>
      </c>
      <c r="CO67" s="20">
        <v>0.74974874371859301</v>
      </c>
      <c r="CP67" s="20">
        <v>0.21105527638190955</v>
      </c>
      <c r="CQ67" s="20">
        <v>8.0402010050251264E-3</v>
      </c>
      <c r="CT67">
        <v>2013</v>
      </c>
      <c r="CU67" s="5">
        <v>1586685.3511230401</v>
      </c>
      <c r="CV67" s="29">
        <v>1132139.8965775799</v>
      </c>
      <c r="CW67" s="5">
        <f t="shared" si="74"/>
        <v>454545.45454546018</v>
      </c>
      <c r="CX67" s="6">
        <f t="shared" si="75"/>
        <v>0.28647485415034396</v>
      </c>
      <c r="CZ67" s="34">
        <f t="shared" si="76"/>
        <v>2.2499169981718574E-2</v>
      </c>
      <c r="DA67" s="6">
        <f t="shared" si="77"/>
        <v>-5.5076537678982011E-2</v>
      </c>
    </row>
    <row r="68" spans="1:105" x14ac:dyDescent="0.35">
      <c r="A68" t="s">
        <v>73</v>
      </c>
      <c r="B68">
        <f t="shared" si="1"/>
        <v>2014</v>
      </c>
      <c r="C68" s="43">
        <f t="shared" si="66"/>
        <v>1165580</v>
      </c>
      <c r="D68" s="31">
        <f t="shared" si="57"/>
        <v>810777</v>
      </c>
      <c r="E68" s="26">
        <f t="shared" si="4"/>
        <v>-0.36298104905823131</v>
      </c>
      <c r="F68" s="26" t="s">
        <v>96</v>
      </c>
      <c r="G68" s="5">
        <f t="shared" si="67"/>
        <v>1165580</v>
      </c>
      <c r="H68" s="5">
        <f t="shared" si="6"/>
        <v>920933.05007688294</v>
      </c>
      <c r="I68" s="26">
        <f t="shared" si="7"/>
        <v>-0.23558675521758243</v>
      </c>
      <c r="J68">
        <v>2014</v>
      </c>
      <c r="K68" s="43">
        <v>1165580</v>
      </c>
      <c r="L68" s="31">
        <v>810777</v>
      </c>
      <c r="N68" s="25" t="str">
        <f t="shared" si="61"/>
        <v>Brittany</v>
      </c>
      <c r="O68" s="25">
        <f t="shared" si="59"/>
        <v>2014</v>
      </c>
      <c r="P68" s="5">
        <f t="shared" si="62"/>
        <v>1165580</v>
      </c>
      <c r="Q68" s="5">
        <f t="shared" si="68"/>
        <v>1507866.1449047895</v>
      </c>
      <c r="R68" s="29">
        <f t="shared" si="69"/>
        <v>1507866.1449047895</v>
      </c>
      <c r="S68" s="31">
        <f t="shared" si="81"/>
        <v>256643.11623309052</v>
      </c>
      <c r="T68" s="31">
        <f t="shared" si="80"/>
        <v>639261.65925518482</v>
      </c>
      <c r="U68" s="31">
        <f t="shared" si="79"/>
        <v>25028.274588607597</v>
      </c>
      <c r="V68" s="31">
        <f t="shared" si="78"/>
        <v>0</v>
      </c>
      <c r="W68" s="22">
        <f t="shared" si="63"/>
        <v>920933.05007688294</v>
      </c>
      <c r="X68" s="32">
        <f t="shared" si="58"/>
        <v>115183.63311761135</v>
      </c>
      <c r="Y68" s="32">
        <f t="shared" si="53"/>
        <v>599443.98186791502</v>
      </c>
      <c r="Z68" s="32">
        <f t="shared" si="51"/>
        <v>42997.223158101333</v>
      </c>
      <c r="AA68" s="32">
        <f t="shared" si="49"/>
        <v>975.54469446426242</v>
      </c>
      <c r="AB68" s="12">
        <f t="shared" si="50"/>
        <v>758600.38283809193</v>
      </c>
      <c r="AC68" s="1">
        <f t="shared" si="70"/>
        <v>-6.4353844721678183E-2</v>
      </c>
      <c r="AD68" t="s">
        <v>53</v>
      </c>
      <c r="AE68" s="19">
        <v>2014</v>
      </c>
      <c r="AF68" s="14">
        <v>1165580</v>
      </c>
      <c r="AG68" s="5">
        <f t="shared" si="71"/>
        <v>342286.14490478951</v>
      </c>
      <c r="AH68" s="41">
        <f t="shared" si="72"/>
        <v>0.22700035149764725</v>
      </c>
      <c r="AI68" s="12">
        <v>1507866.1449047895</v>
      </c>
      <c r="AJ68" s="6"/>
      <c r="AK68" s="6"/>
      <c r="AL68">
        <v>2014</v>
      </c>
      <c r="AT68" s="27">
        <f t="shared" si="52"/>
        <v>0.45</v>
      </c>
      <c r="AW68" s="6"/>
      <c r="BA68" s="5"/>
      <c r="BC68" s="26">
        <v>0.45</v>
      </c>
      <c r="CH68">
        <v>2014</v>
      </c>
      <c r="CI68" s="5">
        <v>1165580</v>
      </c>
      <c r="CJ68" s="5">
        <v>810777</v>
      </c>
      <c r="CK68" s="6">
        <f t="shared" si="64"/>
        <v>0</v>
      </c>
      <c r="CL68" s="6">
        <f t="shared" si="65"/>
        <v>6.8780109188323627E-2</v>
      </c>
      <c r="CM68">
        <v>2014</v>
      </c>
      <c r="CN68" s="20">
        <v>4.2842215256008356E-2</v>
      </c>
      <c r="CO68" s="20">
        <v>0.81086729362591436</v>
      </c>
      <c r="CP68" s="20">
        <v>0.14629049111807732</v>
      </c>
      <c r="CQ68" s="20">
        <v>0</v>
      </c>
      <c r="CT68">
        <v>2014</v>
      </c>
      <c r="CU68" s="5">
        <v>1509256.7007460601</v>
      </c>
      <c r="CV68" s="29">
        <v>1132633.3241226799</v>
      </c>
      <c r="CW68" s="5">
        <f t="shared" si="74"/>
        <v>376623.37662338023</v>
      </c>
      <c r="CX68" s="6">
        <f t="shared" si="75"/>
        <v>0.24954229220066187</v>
      </c>
      <c r="CZ68" s="34">
        <f t="shared" si="76"/>
        <v>2.182973636031155E-2</v>
      </c>
      <c r="DA68" s="6">
        <f t="shared" si="77"/>
        <v>-9.0333147556760474E-2</v>
      </c>
    </row>
    <row r="69" spans="1:105" x14ac:dyDescent="0.35">
      <c r="A69" t="s">
        <v>73</v>
      </c>
      <c r="B69">
        <f t="shared" si="1"/>
        <v>2015</v>
      </c>
      <c r="C69" s="43">
        <f t="shared" si="66"/>
        <v>950865</v>
      </c>
      <c r="D69" s="31">
        <f t="shared" si="57"/>
        <v>438554</v>
      </c>
      <c r="E69" s="26">
        <f t="shared" si="4"/>
        <v>-0.77388914531012754</v>
      </c>
      <c r="F69" s="26" t="s">
        <v>96</v>
      </c>
      <c r="G69" s="5">
        <f t="shared" si="67"/>
        <v>950865</v>
      </c>
      <c r="H69" s="5">
        <f t="shared" si="6"/>
        <v>390127.06417119328</v>
      </c>
      <c r="I69" s="26">
        <f t="shared" si="7"/>
        <v>-0.8908996050049991</v>
      </c>
      <c r="J69">
        <v>2015</v>
      </c>
      <c r="K69" s="43">
        <v>950865</v>
      </c>
      <c r="L69" s="31">
        <v>438554</v>
      </c>
      <c r="N69" s="25" t="str">
        <f t="shared" si="61"/>
        <v>Brittany</v>
      </c>
      <c r="O69" s="25">
        <f t="shared" si="59"/>
        <v>2015</v>
      </c>
      <c r="P69" s="5">
        <f t="shared" si="62"/>
        <v>950865</v>
      </c>
      <c r="Q69" s="5">
        <f t="shared" si="68"/>
        <v>1452703.6357440299</v>
      </c>
      <c r="R69" s="29">
        <f t="shared" si="69"/>
        <v>1452703.6357440299</v>
      </c>
      <c r="S69" s="31">
        <f t="shared" si="81"/>
        <v>130984.571606853</v>
      </c>
      <c r="T69" s="31">
        <f t="shared" si="80"/>
        <v>247702.51139240508</v>
      </c>
      <c r="U69" s="31">
        <f t="shared" si="79"/>
        <v>11439.981171935236</v>
      </c>
      <c r="V69" s="31">
        <f t="shared" si="78"/>
        <v>0</v>
      </c>
      <c r="W69" s="22">
        <f t="shared" si="63"/>
        <v>390127.06417119328</v>
      </c>
      <c r="X69" s="32">
        <f t="shared" si="58"/>
        <v>84800.706104627985</v>
      </c>
      <c r="Y69" s="32">
        <f t="shared" si="53"/>
        <v>247640.10984124077</v>
      </c>
      <c r="Z69" s="32">
        <f t="shared" si="51"/>
        <v>88915.354260903812</v>
      </c>
      <c r="AA69" s="32">
        <f t="shared" si="49"/>
        <v>762.3202061930574</v>
      </c>
      <c r="AB69" s="12">
        <f t="shared" si="50"/>
        <v>422118.49041296559</v>
      </c>
      <c r="AC69" s="1">
        <f t="shared" si="70"/>
        <v>-3.7476592590728643E-2</v>
      </c>
      <c r="AD69" t="s">
        <v>53</v>
      </c>
      <c r="AE69" s="19">
        <v>2015</v>
      </c>
      <c r="AF69" s="14">
        <v>950865</v>
      </c>
      <c r="AG69" s="5">
        <f t="shared" si="71"/>
        <v>501838.63574402989</v>
      </c>
      <c r="AH69" s="41">
        <f t="shared" si="72"/>
        <v>0.34545149017060434</v>
      </c>
      <c r="AI69" s="12">
        <v>1452703.6357440299</v>
      </c>
      <c r="AJ69" s="6"/>
      <c r="AK69" s="6"/>
      <c r="AL69">
        <v>2015</v>
      </c>
      <c r="AT69" s="27">
        <f t="shared" si="52"/>
        <v>0.52</v>
      </c>
      <c r="AW69" s="6"/>
      <c r="BA69" s="5"/>
      <c r="BC69" s="26">
        <v>0.52</v>
      </c>
      <c r="CH69">
        <v>2015</v>
      </c>
      <c r="CI69" s="5">
        <v>950865</v>
      </c>
      <c r="CJ69" s="5">
        <v>438554</v>
      </c>
      <c r="CK69" s="6">
        <f t="shared" si="64"/>
        <v>0</v>
      </c>
      <c r="CL69" s="6">
        <f t="shared" si="65"/>
        <v>3.8935772680688006E-2</v>
      </c>
      <c r="CM69">
        <v>2015</v>
      </c>
      <c r="CN69" s="20">
        <v>0.17341591233920914</v>
      </c>
      <c r="CO69" s="20">
        <v>0.60552644116245835</v>
      </c>
      <c r="CP69" s="20">
        <v>0.2191519771319676</v>
      </c>
      <c r="CQ69" s="20">
        <v>1.9056693663649356E-3</v>
      </c>
      <c r="CT69">
        <v>2015</v>
      </c>
      <c r="CU69" s="5">
        <v>1444834.8004578999</v>
      </c>
      <c r="CV69" s="29">
        <v>925354.28097738198</v>
      </c>
      <c r="CW69" s="5">
        <f t="shared" si="74"/>
        <v>519480.51948051795</v>
      </c>
      <c r="CX69" s="6">
        <f t="shared" si="75"/>
        <v>0.35954319436096305</v>
      </c>
      <c r="CZ69" s="34">
        <f t="shared" si="76"/>
        <v>1.765649541008641E-2</v>
      </c>
      <c r="DA69" s="6">
        <f t="shared" si="77"/>
        <v>-3.9193355378078325E-2</v>
      </c>
    </row>
    <row r="70" spans="1:105" x14ac:dyDescent="0.35">
      <c r="A70" t="s">
        <v>73</v>
      </c>
      <c r="B70">
        <f t="shared" ref="B70:B76" si="82">J70</f>
        <v>2016</v>
      </c>
      <c r="C70" s="43">
        <f t="shared" si="66"/>
        <v>1975386</v>
      </c>
      <c r="D70" s="31">
        <f t="shared" si="57"/>
        <v>597944</v>
      </c>
      <c r="E70" s="26">
        <f t="shared" ref="E70:E71" si="83">LN(D70/C70)</f>
        <v>-1.1950219971960248</v>
      </c>
      <c r="F70" s="26" t="s">
        <v>96</v>
      </c>
      <c r="G70" s="5">
        <f t="shared" si="67"/>
        <v>1975386</v>
      </c>
      <c r="H70" s="5">
        <f t="shared" ref="H70:H71" si="84">W70</f>
        <v>720301.20758067002</v>
      </c>
      <c r="I70" s="26">
        <f t="shared" ref="I70:I71" si="85">LN(H70/G70)</f>
        <v>-1.008849632885948</v>
      </c>
      <c r="J70">
        <v>2016</v>
      </c>
      <c r="K70" s="43">
        <v>1975386</v>
      </c>
      <c r="L70" s="31">
        <v>597944</v>
      </c>
      <c r="N70" s="25" t="str">
        <f t="shared" si="61"/>
        <v>Brittany</v>
      </c>
      <c r="O70" s="25">
        <f t="shared" si="59"/>
        <v>2016</v>
      </c>
      <c r="P70" s="5">
        <f t="shared" si="62"/>
        <v>1975386</v>
      </c>
      <c r="Q70" s="5">
        <f t="shared" si="68"/>
        <v>2944872.5193175911</v>
      </c>
      <c r="R70" s="29">
        <f t="shared" si="69"/>
        <v>2944872.5193175911</v>
      </c>
      <c r="S70" s="31">
        <f t="shared" si="81"/>
        <v>53410.854018987346</v>
      </c>
      <c r="T70" s="31">
        <f t="shared" si="80"/>
        <v>570959.06030840403</v>
      </c>
      <c r="U70" s="31">
        <f t="shared" si="79"/>
        <v>94256.046624913011</v>
      </c>
      <c r="V70" s="31">
        <f t="shared" si="78"/>
        <v>1675.2466283656138</v>
      </c>
      <c r="W70" s="22">
        <f t="shared" si="63"/>
        <v>720301.20758067002</v>
      </c>
      <c r="X70" s="32">
        <f t="shared" si="58"/>
        <v>35032.558186549824</v>
      </c>
      <c r="Y70" s="32">
        <f t="shared" si="53"/>
        <v>512103.02616005886</v>
      </c>
      <c r="Z70" s="32">
        <f t="shared" si="51"/>
        <v>69481.154045048243</v>
      </c>
      <c r="AA70" s="32">
        <f t="shared" si="49"/>
        <v>1675.2466283656138</v>
      </c>
      <c r="AB70" s="12">
        <f t="shared" si="50"/>
        <v>618291.98502002261</v>
      </c>
      <c r="AC70" s="1">
        <f t="shared" si="70"/>
        <v>3.4029917550845237E-2</v>
      </c>
      <c r="AD70" t="s">
        <v>53</v>
      </c>
      <c r="AE70" s="19">
        <v>2016</v>
      </c>
      <c r="AF70" s="14">
        <v>1975386</v>
      </c>
      <c r="AG70" s="5">
        <f t="shared" si="71"/>
        <v>969486.5193175911</v>
      </c>
      <c r="AH70" s="41">
        <f t="shared" si="72"/>
        <v>0.32921171050971271</v>
      </c>
      <c r="AI70" s="12">
        <v>2944872.5193175911</v>
      </c>
      <c r="AJ70" s="6"/>
      <c r="AL70">
        <v>2016</v>
      </c>
      <c r="AT70" s="27">
        <f t="shared" si="52"/>
        <v>0.46</v>
      </c>
      <c r="AW70" s="6"/>
      <c r="BA70" s="5"/>
      <c r="BC70" s="26">
        <v>0.46</v>
      </c>
      <c r="CH70">
        <v>2016</v>
      </c>
      <c r="CI70" s="5">
        <v>1975386</v>
      </c>
      <c r="CJ70" s="5">
        <v>597944</v>
      </c>
      <c r="CK70" s="6">
        <f t="shared" si="64"/>
        <v>0</v>
      </c>
      <c r="CL70" s="6">
        <f t="shared" si="65"/>
        <v>-3.2909993195793512E-2</v>
      </c>
      <c r="CM70">
        <v>2016</v>
      </c>
      <c r="CN70" s="20">
        <v>5.1387461459403906E-2</v>
      </c>
      <c r="CO70" s="20">
        <v>0.88180883864337101</v>
      </c>
      <c r="CP70" s="20">
        <v>6.4748201438848921E-2</v>
      </c>
      <c r="CQ70" s="20">
        <v>2.0554984583761563E-3</v>
      </c>
      <c r="CT70">
        <v>2016</v>
      </c>
      <c r="CU70" s="5">
        <v>2951821.7344964999</v>
      </c>
      <c r="CV70" s="29">
        <v>1938834.7215094899</v>
      </c>
      <c r="CW70" s="5">
        <f t="shared" si="74"/>
        <v>1012987.0129870099</v>
      </c>
      <c r="CX70" s="6">
        <f t="shared" si="75"/>
        <v>0.3431735057536589</v>
      </c>
      <c r="CZ70" s="34">
        <f t="shared" si="76"/>
        <v>1.2382617169374803E-2</v>
      </c>
      <c r="DA70" s="6">
        <f t="shared" si="77"/>
        <v>-4.0684362311956643E-2</v>
      </c>
    </row>
    <row r="71" spans="1:105" x14ac:dyDescent="0.35">
      <c r="A71" t="s">
        <v>73</v>
      </c>
      <c r="B71">
        <f t="shared" si="82"/>
        <v>2017</v>
      </c>
      <c r="C71" s="43">
        <f t="shared" si="66"/>
        <v>659667</v>
      </c>
      <c r="D71" s="31">
        <f t="shared" si="57"/>
        <v>599216</v>
      </c>
      <c r="E71" s="26">
        <f t="shared" si="83"/>
        <v>-9.6113028123834918E-2</v>
      </c>
      <c r="F71" s="26" t="s">
        <v>96</v>
      </c>
      <c r="G71" s="5">
        <f t="shared" si="67"/>
        <v>659667</v>
      </c>
      <c r="H71" s="5">
        <f t="shared" si="84"/>
        <v>502191.09895925201</v>
      </c>
      <c r="I71" s="26">
        <f t="shared" si="85"/>
        <v>-0.2727544397691033</v>
      </c>
      <c r="J71">
        <v>2017</v>
      </c>
      <c r="K71" s="43">
        <v>659667</v>
      </c>
      <c r="L71" s="31">
        <v>599216</v>
      </c>
      <c r="N71" s="25" t="str">
        <f t="shared" si="61"/>
        <v>Brittany</v>
      </c>
      <c r="O71" s="25">
        <f t="shared" si="59"/>
        <v>2017</v>
      </c>
      <c r="P71" s="5">
        <f t="shared" si="62"/>
        <v>659667</v>
      </c>
      <c r="Q71" s="5">
        <f t="shared" si="68"/>
        <v>1072321.8899999999</v>
      </c>
      <c r="R71" s="29">
        <f t="shared" si="69"/>
        <v>1072321.8899999999</v>
      </c>
      <c r="S71" s="31">
        <f>$Q74*CN74</f>
        <v>92039.848519660751</v>
      </c>
      <c r="T71" s="31">
        <f>$Q75*CO75</f>
        <v>257462.04175365344</v>
      </c>
      <c r="U71" s="31">
        <f t="shared" si="79"/>
        <v>152689.20868593783</v>
      </c>
      <c r="V71" s="31">
        <f t="shared" si="78"/>
        <v>0</v>
      </c>
      <c r="W71" s="22">
        <f>SUM(S71:V71)</f>
        <v>502191.09895925201</v>
      </c>
      <c r="X71" s="32">
        <f t="shared" si="58"/>
        <v>72444.964884573084</v>
      </c>
      <c r="Y71" s="32">
        <f t="shared" si="53"/>
        <v>400172.8334023818</v>
      </c>
      <c r="Z71" s="32">
        <f t="shared" si="51"/>
        <v>152689.20868593783</v>
      </c>
      <c r="AA71" s="32">
        <f t="shared" si="49"/>
        <v>0</v>
      </c>
      <c r="AB71" s="12">
        <f t="shared" si="50"/>
        <v>625307.00697289268</v>
      </c>
      <c r="AC71" s="1">
        <f t="shared" si="70"/>
        <v>4.3541906379156559E-2</v>
      </c>
      <c r="AD71" t="s">
        <v>53</v>
      </c>
      <c r="AE71" s="19">
        <v>2017</v>
      </c>
      <c r="AF71" s="14">
        <v>659667</v>
      </c>
      <c r="AG71" s="5">
        <f t="shared" si="71"/>
        <v>412654.8899999999</v>
      </c>
      <c r="AH71" s="41">
        <f t="shared" si="72"/>
        <v>0.38482371184271913</v>
      </c>
      <c r="AI71" s="12">
        <v>1072321.8899999999</v>
      </c>
      <c r="AJ71" s="6"/>
      <c r="AL71">
        <v>2017</v>
      </c>
      <c r="AT71" s="27">
        <f t="shared" si="52"/>
        <v>0.56000000000000005</v>
      </c>
      <c r="AW71" s="6"/>
      <c r="BA71" s="5"/>
      <c r="BC71" s="26">
        <v>0.56000000000000005</v>
      </c>
      <c r="CH71">
        <v>2017</v>
      </c>
      <c r="CI71" s="5">
        <v>659667</v>
      </c>
      <c r="CJ71" s="5">
        <v>599216</v>
      </c>
      <c r="CK71" s="6">
        <f t="shared" si="64"/>
        <v>0</v>
      </c>
      <c r="CL71" s="6">
        <f t="shared" si="65"/>
        <v>-4.1725115314474211E-2</v>
      </c>
      <c r="CM71">
        <v>2017</v>
      </c>
      <c r="CN71" s="20">
        <v>0.23933402705515089</v>
      </c>
      <c r="CO71" s="20">
        <v>0.59313215400624353</v>
      </c>
      <c r="CP71" s="20">
        <v>0.16545265348595214</v>
      </c>
      <c r="CQ71" s="20">
        <v>2.0811654526534861E-3</v>
      </c>
      <c r="CT71">
        <v>2017</v>
      </c>
      <c r="CU71" s="5">
        <v>1056231.00303951</v>
      </c>
      <c r="CV71" s="29">
        <v>640646.587455097</v>
      </c>
      <c r="CW71" s="5">
        <f t="shared" si="74"/>
        <v>415584.41558441299</v>
      </c>
      <c r="CX71" s="6">
        <f t="shared" si="75"/>
        <v>0.39345977763243839</v>
      </c>
      <c r="CZ71" s="34">
        <f t="shared" si="76"/>
        <v>1.8007815042512539E-2</v>
      </c>
      <c r="DA71" s="6">
        <f t="shared" si="77"/>
        <v>-2.1949043538033224E-2</v>
      </c>
    </row>
    <row r="72" spans="1:105" x14ac:dyDescent="0.35">
      <c r="A72" t="s">
        <v>73</v>
      </c>
      <c r="B72">
        <f t="shared" si="82"/>
        <v>2018</v>
      </c>
      <c r="C72" s="5">
        <f t="shared" si="66"/>
        <v>684875</v>
      </c>
      <c r="J72">
        <v>2018</v>
      </c>
      <c r="K72" s="5">
        <v>684875</v>
      </c>
      <c r="L72" s="5"/>
      <c r="N72" s="25" t="str">
        <f t="shared" si="61"/>
        <v>Brittany</v>
      </c>
      <c r="O72" s="25">
        <f t="shared" si="59"/>
        <v>2018</v>
      </c>
      <c r="P72">
        <f t="shared" si="62"/>
        <v>684875</v>
      </c>
      <c r="Q72" s="5">
        <f t="shared" ref="Q72:Q76" si="86">AI72</f>
        <v>789466.79299999995</v>
      </c>
      <c r="R72" s="29">
        <f t="shared" si="69"/>
        <v>789466.79299999995</v>
      </c>
      <c r="S72" s="31">
        <f t="shared" si="81"/>
        <v>175308.91162143357</v>
      </c>
      <c r="T72" s="31">
        <f t="shared" si="80"/>
        <v>879404.98556203675</v>
      </c>
      <c r="U72" s="31">
        <f t="shared" si="79"/>
        <v>0</v>
      </c>
      <c r="V72" s="31">
        <f t="shared" si="78"/>
        <v>0</v>
      </c>
      <c r="X72" s="32">
        <f t="shared" si="58"/>
        <v>56610.692346376854</v>
      </c>
      <c r="Y72" s="32">
        <f t="shared" si="53"/>
        <v>879404.98556203675</v>
      </c>
      <c r="Z72" s="32">
        <f t="shared" si="51"/>
        <v>0</v>
      </c>
      <c r="AA72" s="32">
        <f t="shared" si="49"/>
        <v>0</v>
      </c>
      <c r="AB72" s="29" t="e">
        <f>NA()</f>
        <v>#N/A</v>
      </c>
      <c r="AD72" t="s">
        <v>53</v>
      </c>
      <c r="AE72">
        <v>2018</v>
      </c>
      <c r="AF72" s="5">
        <v>684875</v>
      </c>
      <c r="AG72" s="5">
        <f t="shared" si="71"/>
        <v>104591.79299999995</v>
      </c>
      <c r="AH72" s="41">
        <f t="shared" si="72"/>
        <v>0.13248409423599397</v>
      </c>
      <c r="AI72" s="12">
        <v>789466.79299999995</v>
      </c>
      <c r="AL72">
        <v>2018</v>
      </c>
      <c r="AT72" s="27">
        <f t="shared" si="52"/>
        <v>0.36</v>
      </c>
      <c r="AW72" s="6"/>
      <c r="BA72" s="5"/>
      <c r="BC72" s="26">
        <v>0.36</v>
      </c>
      <c r="CH72">
        <v>2018</v>
      </c>
      <c r="CM72">
        <v>2018</v>
      </c>
      <c r="CN72" s="20">
        <v>0.16591523895401261</v>
      </c>
      <c r="CO72" s="20">
        <v>0.80973850315599638</v>
      </c>
      <c r="CP72" s="20">
        <v>2.2542831379621282E-2</v>
      </c>
      <c r="CQ72" s="20">
        <v>1.8034265103697023E-3</v>
      </c>
      <c r="CT72">
        <v>2018</v>
      </c>
      <c r="CU72" s="5">
        <v>771029.88197213202</v>
      </c>
      <c r="CV72" s="29">
        <v>654127.02798720996</v>
      </c>
      <c r="CW72" s="5">
        <f t="shared" si="74"/>
        <v>116902.85398492205</v>
      </c>
      <c r="CX72" s="6">
        <f t="shared" si="75"/>
        <v>0.15161909637783322</v>
      </c>
      <c r="CZ72" s="34">
        <f t="shared" si="76"/>
        <v>3.9879092538078031E-2</v>
      </c>
      <c r="DA72" s="6">
        <f t="shared" si="77"/>
        <v>-0.12620443333968315</v>
      </c>
    </row>
    <row r="73" spans="1:105" x14ac:dyDescent="0.35">
      <c r="A73" t="s">
        <v>73</v>
      </c>
      <c r="B73">
        <f t="shared" si="82"/>
        <v>2019</v>
      </c>
      <c r="C73" s="5">
        <f t="shared" si="66"/>
        <v>303816</v>
      </c>
      <c r="J73">
        <v>2019</v>
      </c>
      <c r="K73" s="5">
        <v>303816</v>
      </c>
      <c r="L73" s="5"/>
      <c r="N73" s="25" t="str">
        <f t="shared" si="61"/>
        <v>Brittany</v>
      </c>
      <c r="O73" s="25">
        <f t="shared" si="59"/>
        <v>2019</v>
      </c>
      <c r="P73">
        <f t="shared" si="62"/>
        <v>303816</v>
      </c>
      <c r="Q73" s="5">
        <f t="shared" si="86"/>
        <v>326141.64</v>
      </c>
      <c r="R73" s="29">
        <f t="shared" si="69"/>
        <v>326141.64</v>
      </c>
      <c r="S73" s="31">
        <f t="shared" si="81"/>
        <v>124405.55912365971</v>
      </c>
      <c r="T73" s="31">
        <f t="shared" si="80"/>
        <v>0</v>
      </c>
      <c r="U73" s="31">
        <f t="shared" si="79"/>
        <v>0</v>
      </c>
      <c r="V73" s="31">
        <f t="shared" si="78"/>
        <v>0</v>
      </c>
      <c r="X73" s="32">
        <f t="shared" si="58"/>
        <v>124405.55912365971</v>
      </c>
      <c r="Y73" s="32">
        <f t="shared" si="53"/>
        <v>0</v>
      </c>
      <c r="Z73" s="32">
        <f t="shared" si="51"/>
        <v>0</v>
      </c>
      <c r="AA73" s="32">
        <f t="shared" si="49"/>
        <v>0</v>
      </c>
      <c r="AB73" s="29" t="e">
        <f>NA()</f>
        <v>#N/A</v>
      </c>
      <c r="AD73" t="s">
        <v>53</v>
      </c>
      <c r="AE73">
        <v>2019</v>
      </c>
      <c r="AF73" s="5">
        <v>303816</v>
      </c>
      <c r="AG73" s="5">
        <f t="shared" si="71"/>
        <v>22325.640000000014</v>
      </c>
      <c r="AH73" s="41">
        <f t="shared" si="72"/>
        <v>6.8453816568776721E-2</v>
      </c>
      <c r="AI73" s="12">
        <v>326141.64</v>
      </c>
      <c r="AL73">
        <v>2019</v>
      </c>
      <c r="AT73" s="27">
        <f t="shared" si="52"/>
        <v>0.25</v>
      </c>
      <c r="AW73" s="6"/>
      <c r="BA73" s="5"/>
      <c r="BC73" s="26">
        <v>0.25</v>
      </c>
      <c r="CH73">
        <v>2019</v>
      </c>
      <c r="CM73">
        <v>2019</v>
      </c>
      <c r="CN73" s="20">
        <v>0.16376582278481014</v>
      </c>
      <c r="CO73" s="20">
        <v>0.759493670886076</v>
      </c>
      <c r="CP73" s="20">
        <v>7.6740506329113931E-2</v>
      </c>
      <c r="CQ73" s="20">
        <v>0</v>
      </c>
      <c r="CT73">
        <v>2019</v>
      </c>
      <c r="CU73" s="5">
        <v>329945.13085698499</v>
      </c>
      <c r="CV73" s="29">
        <v>303971.10488295899</v>
      </c>
      <c r="CW73" s="5">
        <f t="shared" si="74"/>
        <v>25974.025974026008</v>
      </c>
      <c r="CX73" s="6">
        <f t="shared" si="75"/>
        <v>7.8722258778489054E-2</v>
      </c>
      <c r="CZ73" s="34">
        <f t="shared" si="76"/>
        <v>-4.7009295926302288E-4</v>
      </c>
      <c r="DA73" s="6">
        <f t="shared" si="77"/>
        <v>-0.13043886658036541</v>
      </c>
    </row>
    <row r="74" spans="1:105" x14ac:dyDescent="0.35">
      <c r="A74" t="s">
        <v>73</v>
      </c>
      <c r="B74">
        <f t="shared" si="82"/>
        <v>2020</v>
      </c>
      <c r="C74" s="5">
        <f t="shared" si="66"/>
        <v>542377</v>
      </c>
      <c r="J74">
        <v>2020</v>
      </c>
      <c r="K74" s="5">
        <v>542377</v>
      </c>
      <c r="L74" s="5"/>
      <c r="N74" s="25" t="str">
        <f t="shared" si="61"/>
        <v>Brittany</v>
      </c>
      <c r="O74" s="25">
        <f t="shared" si="59"/>
        <v>2020</v>
      </c>
      <c r="P74">
        <f t="shared" si="62"/>
        <v>542377</v>
      </c>
      <c r="Q74" s="5">
        <f t="shared" si="86"/>
        <v>674438.89</v>
      </c>
      <c r="R74" s="29">
        <f t="shared" si="69"/>
        <v>674438.89</v>
      </c>
      <c r="S74" s="31">
        <f t="shared" si="81"/>
        <v>0</v>
      </c>
      <c r="T74" s="31">
        <f t="shared" si="80"/>
        <v>0</v>
      </c>
      <c r="U74" s="31">
        <f t="shared" si="79"/>
        <v>0</v>
      </c>
      <c r="V74" s="31">
        <f t="shared" si="78"/>
        <v>0</v>
      </c>
      <c r="X74" s="31">
        <f t="shared" ref="X74:X76" si="87">$R77*$CN77</f>
        <v>0</v>
      </c>
      <c r="Y74" s="31">
        <f t="shared" ref="Y74:Y76" si="88">$R78*$CO78</f>
        <v>0</v>
      </c>
      <c r="Z74" s="31">
        <f t="shared" ref="Z74:Z76" si="89">$R79*$CP79</f>
        <v>0</v>
      </c>
      <c r="AA74" s="31">
        <f t="shared" ref="AA74:AA76" si="90">$R80*$CQ80</f>
        <v>0</v>
      </c>
      <c r="AB74" s="29" t="e">
        <f>NA()</f>
        <v>#N/A</v>
      </c>
      <c r="AD74" t="s">
        <v>53</v>
      </c>
      <c r="AE74">
        <v>2020</v>
      </c>
      <c r="AF74" s="5">
        <v>542377</v>
      </c>
      <c r="AG74" s="5">
        <f t="shared" si="71"/>
        <v>132061.89000000001</v>
      </c>
      <c r="AH74" s="41">
        <f t="shared" si="72"/>
        <v>0.19581001623438413</v>
      </c>
      <c r="AI74" s="12">
        <v>674438.89</v>
      </c>
      <c r="AL74">
        <v>2020</v>
      </c>
      <c r="AT74" s="27">
        <f t="shared" si="52"/>
        <v>0.30774842740380398</v>
      </c>
      <c r="AW74" s="6"/>
      <c r="BA74" s="5"/>
      <c r="BC74" s="26">
        <v>0.30774842740380398</v>
      </c>
      <c r="CH74">
        <v>2020</v>
      </c>
      <c r="CM74">
        <v>2020</v>
      </c>
      <c r="CN74" s="20">
        <v>0.13646877409406322</v>
      </c>
      <c r="CO74" s="20">
        <v>0.84656900539707014</v>
      </c>
      <c r="CP74" s="20">
        <v>1.6962220508866616E-2</v>
      </c>
      <c r="CQ74" s="20">
        <v>0</v>
      </c>
      <c r="CT74">
        <v>2020</v>
      </c>
      <c r="CU74" s="5">
        <v>668100.89606442198</v>
      </c>
      <c r="CV74" s="29">
        <v>525243.75320727995</v>
      </c>
      <c r="CW74" s="5">
        <f t="shared" si="74"/>
        <v>142857.14285714203</v>
      </c>
      <c r="CX74" s="6">
        <f t="shared" si="75"/>
        <v>0.2138257016248141</v>
      </c>
      <c r="CZ74" s="34">
        <f t="shared" si="76"/>
        <v>2.564469961595137E-2</v>
      </c>
      <c r="DA74" s="6">
        <f t="shared" si="77"/>
        <v>-8.4254068867927343E-2</v>
      </c>
    </row>
    <row r="75" spans="1:105" x14ac:dyDescent="0.35">
      <c r="A75" t="s">
        <v>73</v>
      </c>
      <c r="B75">
        <f t="shared" si="82"/>
        <v>2021</v>
      </c>
      <c r="C75" s="5">
        <f t="shared" si="66"/>
        <v>499287</v>
      </c>
      <c r="J75">
        <v>2021</v>
      </c>
      <c r="K75" s="5">
        <v>499287</v>
      </c>
      <c r="L75" s="5"/>
      <c r="N75" s="25" t="str">
        <f t="shared" si="61"/>
        <v>Brittany</v>
      </c>
      <c r="O75" s="25">
        <f t="shared" si="59"/>
        <v>2021</v>
      </c>
      <c r="P75">
        <f t="shared" si="62"/>
        <v>499287</v>
      </c>
      <c r="Q75" s="5">
        <f>AI75</f>
        <v>527027</v>
      </c>
      <c r="R75" s="29">
        <f t="shared" si="69"/>
        <v>527027</v>
      </c>
      <c r="S75" s="31">
        <f t="shared" si="81"/>
        <v>0</v>
      </c>
      <c r="T75" s="31">
        <f t="shared" si="80"/>
        <v>0</v>
      </c>
      <c r="U75" s="31">
        <f t="shared" si="79"/>
        <v>0</v>
      </c>
      <c r="V75" s="31">
        <f t="shared" si="78"/>
        <v>0</v>
      </c>
      <c r="X75" s="31">
        <f t="shared" si="87"/>
        <v>0</v>
      </c>
      <c r="Y75" s="31">
        <f t="shared" si="88"/>
        <v>0</v>
      </c>
      <c r="Z75" s="31">
        <f t="shared" si="89"/>
        <v>0</v>
      </c>
      <c r="AA75" s="31">
        <f t="shared" si="90"/>
        <v>0</v>
      </c>
      <c r="AB75" s="29" t="e">
        <f>NA()</f>
        <v>#N/A</v>
      </c>
      <c r="AD75" t="s">
        <v>53</v>
      </c>
      <c r="AE75">
        <v>2021</v>
      </c>
      <c r="AF75" s="5">
        <v>499287</v>
      </c>
      <c r="AG75" s="5">
        <f t="shared" si="71"/>
        <v>27740</v>
      </c>
      <c r="AH75" s="41">
        <f t="shared" si="72"/>
        <v>5.263487449409613E-2</v>
      </c>
      <c r="AI75" s="12">
        <v>527027</v>
      </c>
      <c r="AL75">
        <v>2021</v>
      </c>
      <c r="AT75" s="28">
        <f>AVERAGE($AT$72:$AT$74)</f>
        <v>0.30591614246793464</v>
      </c>
      <c r="CH75">
        <v>2021</v>
      </c>
      <c r="CM75">
        <v>2021</v>
      </c>
      <c r="CN75" s="20">
        <v>0.33263743910925542</v>
      </c>
      <c r="CO75" s="20">
        <v>0.48851774530271397</v>
      </c>
      <c r="CP75" s="20">
        <v>0.17884481558803061</v>
      </c>
      <c r="CQ75" s="20">
        <v>0</v>
      </c>
      <c r="CT75">
        <v>2021</v>
      </c>
      <c r="CU75" s="5">
        <v>538743.93084119505</v>
      </c>
      <c r="CV75" s="29">
        <v>499782.89188015601</v>
      </c>
      <c r="CW75" s="5">
        <f t="shared" si="74"/>
        <v>38961.038961039041</v>
      </c>
      <c r="CX75" s="6">
        <f t="shared" si="75"/>
        <v>7.2318288393904043E-2</v>
      </c>
      <c r="CZ75" s="34">
        <f t="shared" si="76"/>
        <v>-9.2045933470047794E-4</v>
      </c>
      <c r="DA75" s="6">
        <f t="shared" si="77"/>
        <v>-0.27217754093675556</v>
      </c>
    </row>
    <row r="76" spans="1:105" x14ac:dyDescent="0.35">
      <c r="A76" t="s">
        <v>73</v>
      </c>
      <c r="B76">
        <f t="shared" si="82"/>
        <v>2022</v>
      </c>
      <c r="C76" s="5">
        <f t="shared" si="66"/>
        <v>1056921</v>
      </c>
      <c r="J76">
        <v>2022</v>
      </c>
      <c r="K76" s="5">
        <v>1056921</v>
      </c>
      <c r="L76" s="5"/>
      <c r="N76" s="25" t="str">
        <f t="shared" si="61"/>
        <v>Brittany</v>
      </c>
      <c r="O76" s="25">
        <f t="shared" si="59"/>
        <v>2022</v>
      </c>
      <c r="P76">
        <f t="shared" si="62"/>
        <v>1056921</v>
      </c>
      <c r="Q76" s="5">
        <f t="shared" si="86"/>
        <v>1158175</v>
      </c>
      <c r="R76" s="29">
        <f t="shared" si="69"/>
        <v>1158175</v>
      </c>
      <c r="S76" s="31">
        <f t="shared" si="81"/>
        <v>0</v>
      </c>
      <c r="T76" s="31">
        <f t="shared" si="80"/>
        <v>0</v>
      </c>
      <c r="U76" s="31">
        <f t="shared" si="79"/>
        <v>0</v>
      </c>
      <c r="V76" s="31">
        <f t="shared" si="78"/>
        <v>0</v>
      </c>
      <c r="X76" s="31">
        <f t="shared" si="87"/>
        <v>0</v>
      </c>
      <c r="Y76" s="31">
        <f t="shared" si="88"/>
        <v>0</v>
      </c>
      <c r="Z76" s="31">
        <f t="shared" si="89"/>
        <v>0</v>
      </c>
      <c r="AA76" s="31">
        <f t="shared" si="90"/>
        <v>0</v>
      </c>
      <c r="AB76" s="29" t="e">
        <f>NA()</f>
        <v>#N/A</v>
      </c>
      <c r="AD76" t="s">
        <v>53</v>
      </c>
      <c r="AE76">
        <v>2022</v>
      </c>
      <c r="AF76" s="5">
        <v>1056921</v>
      </c>
      <c r="AG76" s="5">
        <f t="shared" si="71"/>
        <v>101254</v>
      </c>
      <c r="AH76" s="41">
        <f t="shared" si="72"/>
        <v>8.7425475424698335E-2</v>
      </c>
      <c r="AI76" s="12">
        <v>1158175</v>
      </c>
      <c r="AL76">
        <v>2022</v>
      </c>
      <c r="AT76" s="28">
        <f>AVERAGE($AT$72:$AT$74)</f>
        <v>0.30591614246793464</v>
      </c>
      <c r="CM76">
        <v>2022</v>
      </c>
      <c r="CN76" s="20">
        <f>S$2</f>
        <v>0.10741516534518507</v>
      </c>
      <c r="CO76" s="20">
        <f t="shared" ref="CO76:CQ76" si="91">T$2</f>
        <v>0.75930233821489568</v>
      </c>
      <c r="CP76" s="20">
        <f t="shared" si="91"/>
        <v>0.13183604264117066</v>
      </c>
      <c r="CQ76" s="20">
        <f t="shared" si="91"/>
        <v>1.4464537987485602E-3</v>
      </c>
      <c r="CT76">
        <v>2022</v>
      </c>
      <c r="CU76" s="5">
        <v>1162613.98176291</v>
      </c>
      <c r="CV76" s="29">
        <v>1019756.83890577</v>
      </c>
      <c r="CW76" s="5">
        <f t="shared" si="74"/>
        <v>142857.14285714005</v>
      </c>
      <c r="CX76" s="6">
        <f t="shared" si="75"/>
        <v>0.12287581699346246</v>
      </c>
      <c r="CZ76" s="34">
        <f t="shared" si="76"/>
        <v>3.1966036601311788E-2</v>
      </c>
      <c r="DA76" s="6">
        <f t="shared" si="77"/>
        <v>-0.28850543936281819</v>
      </c>
    </row>
    <row r="77" spans="1:105" x14ac:dyDescent="0.35">
      <c r="N77" t="s">
        <v>12</v>
      </c>
      <c r="Y77" s="31" t="s">
        <v>12</v>
      </c>
      <c r="Z77" s="31" t="s">
        <v>12</v>
      </c>
      <c r="CM77">
        <v>2023</v>
      </c>
      <c r="CN77" s="20">
        <f t="shared" ref="CN77:CN81" si="92">S$2</f>
        <v>0.10741516534518507</v>
      </c>
      <c r="CO77" s="20">
        <f t="shared" ref="CO77:CO81" si="93">T$2</f>
        <v>0.75930233821489568</v>
      </c>
      <c r="CP77" s="20">
        <f t="shared" ref="CP77:CP81" si="94">U$2</f>
        <v>0.13183604264117066</v>
      </c>
      <c r="CQ77" s="20">
        <f t="shared" ref="CQ77:CQ81" si="95">V$2</f>
        <v>1.4464537987485602E-3</v>
      </c>
    </row>
    <row r="78" spans="1:105" x14ac:dyDescent="0.35">
      <c r="CM78">
        <v>2024</v>
      </c>
      <c r="CN78" s="20">
        <f t="shared" si="92"/>
        <v>0.10741516534518507</v>
      </c>
      <c r="CO78" s="20">
        <f t="shared" si="93"/>
        <v>0.75930233821489568</v>
      </c>
      <c r="CP78" s="20">
        <f t="shared" si="94"/>
        <v>0.13183604264117066</v>
      </c>
      <c r="CQ78" s="20">
        <f t="shared" si="95"/>
        <v>1.4464537987485602E-3</v>
      </c>
    </row>
    <row r="79" spans="1:105" x14ac:dyDescent="0.35">
      <c r="CM79">
        <v>2025</v>
      </c>
      <c r="CN79" s="20">
        <f t="shared" si="92"/>
        <v>0.10741516534518507</v>
      </c>
      <c r="CO79" s="20">
        <f t="shared" si="93"/>
        <v>0.75930233821489568</v>
      </c>
      <c r="CP79" s="20">
        <f t="shared" si="94"/>
        <v>0.13183604264117066</v>
      </c>
      <c r="CQ79" s="20">
        <f t="shared" si="95"/>
        <v>1.4464537987485602E-3</v>
      </c>
    </row>
    <row r="80" spans="1:105" x14ac:dyDescent="0.35">
      <c r="CM80">
        <v>2026</v>
      </c>
      <c r="CN80" s="20">
        <f t="shared" si="92"/>
        <v>0.10741516534518507</v>
      </c>
      <c r="CO80" s="20">
        <f t="shared" si="93"/>
        <v>0.75930233821489568</v>
      </c>
      <c r="CP80" s="20">
        <f t="shared" si="94"/>
        <v>0.13183604264117066</v>
      </c>
      <c r="CQ80" s="20">
        <f t="shared" si="95"/>
        <v>1.4464537987485602E-3</v>
      </c>
    </row>
    <row r="81" spans="91:95" x14ac:dyDescent="0.35">
      <c r="CM81">
        <v>2027</v>
      </c>
      <c r="CN81" s="20">
        <f t="shared" si="92"/>
        <v>0.10741516534518507</v>
      </c>
      <c r="CO81" s="20">
        <f t="shared" si="93"/>
        <v>0.75930233821489568</v>
      </c>
      <c r="CP81" s="20">
        <f t="shared" si="94"/>
        <v>0.13183604264117066</v>
      </c>
      <c r="CQ81" s="20">
        <f t="shared" si="95"/>
        <v>1.4464537987485602E-3</v>
      </c>
    </row>
  </sheetData>
  <phoneticPr fontId="1" type="noConversion"/>
  <pageMargins left="0.7" right="0.7" top="0.75" bottom="0.75" header="0.3" footer="0.3"/>
  <pageSetup orientation="portrait" horizontalDpi="200" verticalDpi="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AC19-92FA-46DF-9EF2-D27C229F4F98}">
  <dimension ref="A1:BE122"/>
  <sheetViews>
    <sheetView topLeftCell="S16" zoomScale="55" zoomScaleNormal="55" workbookViewId="0">
      <selection activeCell="AX12" sqref="AX12"/>
    </sheetView>
  </sheetViews>
  <sheetFormatPr defaultRowHeight="14.5" x14ac:dyDescent="0.35"/>
  <cols>
    <col min="3" max="3" width="11.26953125" customWidth="1"/>
    <col min="4" max="4" width="11.453125" customWidth="1"/>
    <col min="5" max="5" width="11.7265625" customWidth="1"/>
    <col min="9" max="9" width="10.1796875" customWidth="1"/>
    <col min="24" max="24" width="17.453125" customWidth="1"/>
    <col min="37" max="37" width="16.7265625" customWidth="1"/>
    <col min="49" max="49" width="19.7265625" customWidth="1"/>
    <col min="50" max="50" width="10.7265625" customWidth="1"/>
  </cols>
  <sheetData>
    <row r="1" spans="1:50" ht="58" x14ac:dyDescent="0.35">
      <c r="A1" s="9" t="s">
        <v>51</v>
      </c>
      <c r="B1" s="9" t="s">
        <v>72</v>
      </c>
      <c r="C1" s="9" t="s">
        <v>83</v>
      </c>
      <c r="D1" s="9" t="s">
        <v>88</v>
      </c>
      <c r="E1" s="9" t="s">
        <v>62</v>
      </c>
      <c r="F1" s="9" t="s">
        <v>84</v>
      </c>
      <c r="G1" s="9" t="s">
        <v>85</v>
      </c>
      <c r="H1" s="9" t="s">
        <v>86</v>
      </c>
      <c r="I1" s="9" t="s">
        <v>87</v>
      </c>
      <c r="J1" s="9" t="s">
        <v>23</v>
      </c>
      <c r="K1" s="9" t="str">
        <f>covariates!R9</f>
        <v>spawners</v>
      </c>
      <c r="L1" s="9" t="str">
        <f>covariates!T9</f>
        <v>smolt.sst</v>
      </c>
      <c r="M1" s="9" t="str">
        <f>covariates!V9</f>
        <v>SSLs, control stopped 1970</v>
      </c>
      <c r="N1" s="9" t="str">
        <f>covariates!U9</f>
        <v>NPGO</v>
      </c>
      <c r="O1" s="9" t="str">
        <f>covariates!W9</f>
        <v>adult.sst</v>
      </c>
      <c r="P1" s="9" t="str">
        <f>covariates!X9</f>
        <v>PDO adult</v>
      </c>
      <c r="Q1" s="9" t="str">
        <f>H1</f>
        <v>lnRSC</v>
      </c>
      <c r="R1" s="9" t="s">
        <v>1</v>
      </c>
      <c r="S1" s="9" t="s">
        <v>130</v>
      </c>
    </row>
    <row r="2" spans="1:50" x14ac:dyDescent="0.35">
      <c r="A2" t="s">
        <v>52</v>
      </c>
      <c r="B2">
        <v>1951</v>
      </c>
      <c r="C2" s="5">
        <f>'Orig data'!C5</f>
        <v>171725</v>
      </c>
      <c r="D2" s="5">
        <f>'Orig data'!Q5</f>
        <v>1187739</v>
      </c>
      <c r="E2" s="5">
        <f>'Orig data'!D5</f>
        <v>498986</v>
      </c>
      <c r="F2" s="5">
        <f>C2/1000</f>
        <v>171.72499999999999</v>
      </c>
      <c r="G2" s="5">
        <f>E2/1000</f>
        <v>498.98599999999999</v>
      </c>
      <c r="H2" s="44">
        <f>LN(E2/C2)</f>
        <v>1.0666836791457688</v>
      </c>
      <c r="I2" s="5">
        <f>D2-C2</f>
        <v>1016014</v>
      </c>
      <c r="J2" s="26">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1.0666836791457688</v>
      </c>
      <c r="R2">
        <f>B2</f>
        <v>1951</v>
      </c>
      <c r="S2">
        <f>$AX$23+K2*$AX$24+L2*$AX$25+M2*$AX$26</f>
        <v>1.073744911420206</v>
      </c>
    </row>
    <row r="3" spans="1:50" x14ac:dyDescent="0.35">
      <c r="A3" t="s">
        <v>52</v>
      </c>
      <c r="B3">
        <v>1952</v>
      </c>
      <c r="C3" s="5">
        <f>'Orig data'!C6</f>
        <v>176250</v>
      </c>
      <c r="D3" s="5">
        <f>'Orig data'!Q6</f>
        <v>927000</v>
      </c>
      <c r="E3" s="5">
        <f>'Orig data'!D6</f>
        <v>283055</v>
      </c>
      <c r="F3" s="5">
        <f t="shared" ref="F3:F66" si="1">C3/1000</f>
        <v>176.25</v>
      </c>
      <c r="G3" s="5">
        <f t="shared" ref="G3:G66" si="2">E3/1000</f>
        <v>283.05500000000001</v>
      </c>
      <c r="H3" s="44">
        <f t="shared" ref="H3:H66" si="3">LN(E3/C3)</f>
        <v>0.47373778335781852</v>
      </c>
      <c r="I3" s="5">
        <f t="shared" ref="I3:I66" si="4">D3-C3</f>
        <v>750750</v>
      </c>
      <c r="J3" s="26">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-1.2495899854078174</v>
      </c>
      <c r="Q3">
        <f t="shared" si="0"/>
        <v>0.47373778335781852</v>
      </c>
      <c r="R3">
        <f t="shared" ref="R3:R66" si="6">B3</f>
        <v>1952</v>
      </c>
      <c r="S3">
        <f t="shared" ref="S3:S66" si="7">$AX$23+K3*$AX$24+L3*$AX$25+M3*$AX$26</f>
        <v>0.97976500330544158</v>
      </c>
    </row>
    <row r="4" spans="1:50" x14ac:dyDescent="0.35">
      <c r="A4" t="s">
        <v>55</v>
      </c>
      <c r="B4">
        <v>1953</v>
      </c>
      <c r="C4" s="5">
        <f>'Orig data'!C7</f>
        <v>137225</v>
      </c>
      <c r="D4" s="5">
        <f>'Orig data'!Q7</f>
        <v>918122</v>
      </c>
      <c r="E4" s="5">
        <f>'Orig data'!D7</f>
        <v>312122</v>
      </c>
      <c r="F4" s="5">
        <f t="shared" si="1"/>
        <v>137.22499999999999</v>
      </c>
      <c r="G4" s="5">
        <f t="shared" si="2"/>
        <v>312.12200000000001</v>
      </c>
      <c r="H4" s="44">
        <f t="shared" si="3"/>
        <v>0.82177222258395266</v>
      </c>
      <c r="I4" s="5">
        <f t="shared" si="4"/>
        <v>780897</v>
      </c>
      <c r="J4" s="26">
        <f t="shared" si="5"/>
        <v>0.85053729242954645</v>
      </c>
      <c r="K4">
        <f>covariates!R13</f>
        <v>137625</v>
      </c>
      <c r="L4">
        <f>covariates!T13</f>
        <v>-1.1472717267104489</v>
      </c>
      <c r="M4">
        <f>covariates!V13</f>
        <v>-0.15610450774264295</v>
      </c>
      <c r="N4">
        <f>covariates!U13</f>
        <v>0.90303427113127921</v>
      </c>
      <c r="O4">
        <f>covariates!W13</f>
        <v>0.94352578357800954</v>
      </c>
      <c r="P4">
        <f>covariates!X13</f>
        <v>1.0113248502778918</v>
      </c>
      <c r="Q4">
        <f t="shared" si="0"/>
        <v>0.82177222258395266</v>
      </c>
      <c r="R4">
        <f t="shared" si="6"/>
        <v>1953</v>
      </c>
      <c r="S4">
        <f t="shared" si="7"/>
        <v>1.1020315575824775</v>
      </c>
    </row>
    <row r="5" spans="1:50" x14ac:dyDescent="0.35">
      <c r="A5" t="s">
        <v>55</v>
      </c>
      <c r="B5">
        <v>1954</v>
      </c>
      <c r="C5" s="5">
        <f>'Orig data'!C8</f>
        <v>86375</v>
      </c>
      <c r="D5" s="5">
        <f>'Orig data'!Q8</f>
        <v>1096517</v>
      </c>
      <c r="E5" s="5">
        <f>'Orig data'!D8</f>
        <v>504589</v>
      </c>
      <c r="F5" s="5">
        <f t="shared" si="1"/>
        <v>86.375</v>
      </c>
      <c r="G5" s="5">
        <f t="shared" si="2"/>
        <v>504.589</v>
      </c>
      <c r="H5" s="44">
        <f t="shared" si="3"/>
        <v>1.765045954436407</v>
      </c>
      <c r="I5" s="5">
        <f t="shared" si="4"/>
        <v>1010142</v>
      </c>
      <c r="J5" s="26">
        <f t="shared" si="5"/>
        <v>0.92122785146057928</v>
      </c>
      <c r="K5">
        <f>covariates!R14</f>
        <v>86375</v>
      </c>
      <c r="L5">
        <f>covariates!T14</f>
        <v>-1.4571603004267986</v>
      </c>
      <c r="M5">
        <f>covariates!V14</f>
        <v>-0.47382880251686166</v>
      </c>
      <c r="N5">
        <f>covariates!U14</f>
        <v>3.8188016440875022E-2</v>
      </c>
      <c r="O5">
        <f>covariates!W14</f>
        <v>0.87421149888705485</v>
      </c>
      <c r="P5">
        <f>covariates!X14</f>
        <v>1.0277653862439076</v>
      </c>
      <c r="Q5">
        <f t="shared" si="0"/>
        <v>1.765045954436407</v>
      </c>
      <c r="R5">
        <f t="shared" si="6"/>
        <v>1954</v>
      </c>
      <c r="S5">
        <f t="shared" si="7"/>
        <v>1.2082923427962495</v>
      </c>
    </row>
    <row r="6" spans="1:50" x14ac:dyDescent="0.35">
      <c r="A6" t="s">
        <v>55</v>
      </c>
      <c r="B6">
        <v>1955</v>
      </c>
      <c r="C6" s="5">
        <f>'Orig data'!C9</f>
        <v>110500</v>
      </c>
      <c r="D6" s="5">
        <f>'Orig data'!Q9</f>
        <v>397099</v>
      </c>
      <c r="E6" s="5">
        <f>'Orig data'!D9</f>
        <v>592568</v>
      </c>
      <c r="F6" s="5">
        <f t="shared" si="1"/>
        <v>110.5</v>
      </c>
      <c r="G6" s="5">
        <f t="shared" si="2"/>
        <v>592.56799999999998</v>
      </c>
      <c r="H6" s="44">
        <f t="shared" si="3"/>
        <v>1.6794501133986328</v>
      </c>
      <c r="I6" s="5">
        <f t="shared" si="4"/>
        <v>286599</v>
      </c>
      <c r="J6" s="26">
        <f t="shared" si="5"/>
        <v>0.72173186031694869</v>
      </c>
      <c r="K6">
        <f>covariates!R15</f>
        <v>110500</v>
      </c>
      <c r="L6">
        <f>covariates!T15</f>
        <v>-1.6331464040188008</v>
      </c>
      <c r="M6">
        <f>covariates!V15</f>
        <v>-0.6324361183778815</v>
      </c>
      <c r="N6">
        <f>covariates!U15</f>
        <v>-0.15949112748836022</v>
      </c>
      <c r="O6">
        <f>covariates!W15</f>
        <v>-0.3588799607274441</v>
      </c>
      <c r="P6">
        <f>covariates!X15</f>
        <v>1.0857902136565754</v>
      </c>
      <c r="Q6">
        <f t="shared" si="0"/>
        <v>1.6794501133986328</v>
      </c>
      <c r="R6">
        <f t="shared" si="6"/>
        <v>1955</v>
      </c>
      <c r="S6">
        <f t="shared" si="7"/>
        <v>1.2402736569027621</v>
      </c>
    </row>
    <row r="7" spans="1:50" x14ac:dyDescent="0.35">
      <c r="A7" t="s">
        <v>55</v>
      </c>
      <c r="B7">
        <v>1956</v>
      </c>
      <c r="C7" s="5">
        <f>'Orig data'!C10</f>
        <v>32925</v>
      </c>
      <c r="D7" s="5">
        <f>'Orig data'!Q10</f>
        <v>282627</v>
      </c>
      <c r="E7" s="5">
        <f>'Orig data'!D10</f>
        <v>518932</v>
      </c>
      <c r="F7" s="5">
        <f t="shared" si="1"/>
        <v>32.924999999999997</v>
      </c>
      <c r="G7" s="5">
        <f t="shared" si="2"/>
        <v>518.93200000000002</v>
      </c>
      <c r="H7" s="44">
        <f t="shared" si="3"/>
        <v>2.7575406057579124</v>
      </c>
      <c r="I7" s="5">
        <f t="shared" si="4"/>
        <v>249702</v>
      </c>
      <c r="J7" s="26">
        <f t="shared" si="5"/>
        <v>0.88350369922194272</v>
      </c>
      <c r="K7">
        <f>covariates!R16</f>
        <v>32950</v>
      </c>
      <c r="L7">
        <f>covariates!T16</f>
        <v>-0.93685355937218384</v>
      </c>
      <c r="M7">
        <f>covariates!V16</f>
        <v>-0.61854863050825093</v>
      </c>
      <c r="N7">
        <f>covariates!U16</f>
        <v>-1.3702758840549263</v>
      </c>
      <c r="O7">
        <f>covariates!W16</f>
        <v>-0.59361317908774636</v>
      </c>
      <c r="P7">
        <f>covariates!X16</f>
        <v>0.59134866969738575</v>
      </c>
      <c r="Q7">
        <f t="shared" si="0"/>
        <v>2.7575406057579124</v>
      </c>
      <c r="R7">
        <f t="shared" si="6"/>
        <v>1956</v>
      </c>
      <c r="S7">
        <f t="shared" si="7"/>
        <v>1.1895366042301065</v>
      </c>
      <c r="AW7" t="s">
        <v>102</v>
      </c>
    </row>
    <row r="8" spans="1:50" ht="15" thickBot="1" x14ac:dyDescent="0.4">
      <c r="A8" t="s">
        <v>55</v>
      </c>
      <c r="B8">
        <v>1957</v>
      </c>
      <c r="C8" s="5">
        <f>'Orig data'!C11</f>
        <v>84630</v>
      </c>
      <c r="D8" s="5">
        <f>'Orig data'!Q11</f>
        <v>308363</v>
      </c>
      <c r="E8" s="5">
        <f>'Orig data'!D11</f>
        <v>353281</v>
      </c>
      <c r="F8" s="5">
        <f t="shared" si="1"/>
        <v>84.63</v>
      </c>
      <c r="G8" s="5">
        <f t="shared" si="2"/>
        <v>353.28100000000001</v>
      </c>
      <c r="H8" s="44">
        <f t="shared" si="3"/>
        <v>1.4289749605785971</v>
      </c>
      <c r="I8" s="5">
        <f t="shared" si="4"/>
        <v>223733</v>
      </c>
      <c r="J8" s="26">
        <f t="shared" si="5"/>
        <v>0.72555073079455057</v>
      </c>
      <c r="K8">
        <f>covariates!R17</f>
        <v>84655</v>
      </c>
      <c r="L8">
        <f>covariates!T17</f>
        <v>0.79622698252296464</v>
      </c>
      <c r="M8">
        <f>covariates!V17</f>
        <v>-0.63022439690672305</v>
      </c>
      <c r="N8">
        <f>covariates!U17</f>
        <v>-0.45600984338221306</v>
      </c>
      <c r="O8">
        <f>covariates!W17</f>
        <v>0.12052565437309411</v>
      </c>
      <c r="P8">
        <f>covariates!X17</f>
        <v>-0.78767908160996614</v>
      </c>
      <c r="Q8">
        <f t="shared" si="0"/>
        <v>1.4289749605785971</v>
      </c>
      <c r="R8">
        <f t="shared" si="6"/>
        <v>1957</v>
      </c>
      <c r="S8">
        <f t="shared" si="7"/>
        <v>0.95299088208742777</v>
      </c>
    </row>
    <row r="9" spans="1:50" x14ac:dyDescent="0.35">
      <c r="A9" t="s">
        <v>55</v>
      </c>
      <c r="B9">
        <v>1958</v>
      </c>
      <c r="C9" s="5">
        <f>'Orig data'!C12</f>
        <v>89375</v>
      </c>
      <c r="D9" s="5">
        <f>'Orig data'!Q12</f>
        <v>559829</v>
      </c>
      <c r="E9" s="5">
        <f>'Orig data'!D12</f>
        <v>302174</v>
      </c>
      <c r="F9" s="5">
        <f t="shared" si="1"/>
        <v>89.375</v>
      </c>
      <c r="G9" s="5">
        <f t="shared" si="2"/>
        <v>302.17399999999998</v>
      </c>
      <c r="H9" s="44">
        <f t="shared" si="3"/>
        <v>1.2181620093852592</v>
      </c>
      <c r="I9" s="5">
        <f t="shared" si="4"/>
        <v>470454</v>
      </c>
      <c r="J9" s="26">
        <f t="shared" si="5"/>
        <v>0.84035303637360692</v>
      </c>
      <c r="K9">
        <f>covariates!R18</f>
        <v>89400</v>
      </c>
      <c r="L9">
        <f>covariates!T18</f>
        <v>-0.16021923265095964</v>
      </c>
      <c r="M9">
        <f>covariates!V18</f>
        <v>-0.64877421733348783</v>
      </c>
      <c r="N9">
        <f>covariates!U18</f>
        <v>-0.3571702714175955</v>
      </c>
      <c r="O9">
        <f>covariates!W18</f>
        <v>0.49073089373909129</v>
      </c>
      <c r="P9">
        <f>covariates!X18</f>
        <v>2.3031264886805868E-2</v>
      </c>
      <c r="Q9">
        <f t="shared" si="0"/>
        <v>1.2181620093852592</v>
      </c>
      <c r="R9">
        <f t="shared" si="6"/>
        <v>1958</v>
      </c>
      <c r="S9">
        <f t="shared" si="7"/>
        <v>1.0711113526119269</v>
      </c>
      <c r="AW9" s="49" t="s">
        <v>103</v>
      </c>
      <c r="AX9" s="49"/>
    </row>
    <row r="10" spans="1:50" x14ac:dyDescent="0.35">
      <c r="A10" t="s">
        <v>55</v>
      </c>
      <c r="B10">
        <v>1959</v>
      </c>
      <c r="C10" s="5">
        <f>'Orig data'!C13</f>
        <v>152300</v>
      </c>
      <c r="D10" s="5">
        <f>'Orig data'!Q13</f>
        <v>651622</v>
      </c>
      <c r="E10" s="5">
        <f>'Orig data'!D13</f>
        <v>361837</v>
      </c>
      <c r="F10" s="5">
        <f t="shared" si="1"/>
        <v>152.30000000000001</v>
      </c>
      <c r="G10" s="5">
        <f t="shared" si="2"/>
        <v>361.83699999999999</v>
      </c>
      <c r="H10" s="44">
        <f t="shared" si="3"/>
        <v>0.86534157427677216</v>
      </c>
      <c r="I10" s="5">
        <f t="shared" si="4"/>
        <v>499322</v>
      </c>
      <c r="J10" s="26">
        <f t="shared" si="5"/>
        <v>0.76627554011374688</v>
      </c>
      <c r="K10">
        <f>covariates!R19</f>
        <v>152300</v>
      </c>
      <c r="L10">
        <f>covariates!T19</f>
        <v>-0.35916004540713437</v>
      </c>
      <c r="M10">
        <f>covariates!V19</f>
        <v>-0.66732403776025306</v>
      </c>
      <c r="N10">
        <f>covariates!U19</f>
        <v>0.73006502019319841</v>
      </c>
      <c r="O10">
        <f>covariates!W19</f>
        <v>0.8550132034622554</v>
      </c>
      <c r="P10">
        <f>covariates!X19</f>
        <v>0.15222651509944574</v>
      </c>
      <c r="Q10">
        <f t="shared" si="0"/>
        <v>0.86534157427677216</v>
      </c>
      <c r="R10">
        <f t="shared" si="6"/>
        <v>1959</v>
      </c>
      <c r="S10">
        <f t="shared" si="7"/>
        <v>1.0681971422201602</v>
      </c>
      <c r="AW10" s="46" t="s">
        <v>104</v>
      </c>
      <c r="AX10" s="50">
        <v>0.7403779688990445</v>
      </c>
    </row>
    <row r="11" spans="1:50" x14ac:dyDescent="0.35">
      <c r="A11" t="s">
        <v>55</v>
      </c>
      <c r="B11">
        <v>1960</v>
      </c>
      <c r="C11" s="5">
        <f>'Orig data'!C14</f>
        <v>263700</v>
      </c>
      <c r="D11" s="5">
        <f>'Orig data'!Q14</f>
        <v>390714</v>
      </c>
      <c r="E11" s="5">
        <f>'Orig data'!D14</f>
        <v>416907</v>
      </c>
      <c r="F11" s="5">
        <f t="shared" si="1"/>
        <v>263.7</v>
      </c>
      <c r="G11" s="5">
        <f t="shared" si="2"/>
        <v>416.90699999999998</v>
      </c>
      <c r="H11" s="44">
        <f t="shared" si="3"/>
        <v>0.45805108198381522</v>
      </c>
      <c r="I11" s="5">
        <f t="shared" si="4"/>
        <v>127014</v>
      </c>
      <c r="J11" s="26">
        <f t="shared" si="5"/>
        <v>0.32508177336875566</v>
      </c>
      <c r="K11">
        <f>covariates!R20</f>
        <v>144782</v>
      </c>
      <c r="L11">
        <f>covariates!T20</f>
        <v>0.31800387493600252</v>
      </c>
      <c r="M11">
        <f>covariates!V20</f>
        <v>-0.68587385818701796</v>
      </c>
      <c r="N11">
        <f>covariates!U20</f>
        <v>1.2736826659985954</v>
      </c>
      <c r="O11">
        <f>covariates!W20</f>
        <v>-0.39676862648266104</v>
      </c>
      <c r="P11">
        <f>covariates!X20</f>
        <v>-0.30670833768597178</v>
      </c>
      <c r="Q11">
        <f t="shared" si="0"/>
        <v>0.45805108198381522</v>
      </c>
      <c r="R11">
        <f t="shared" si="6"/>
        <v>1960</v>
      </c>
      <c r="S11">
        <f t="shared" si="7"/>
        <v>0.9909033540859471</v>
      </c>
      <c r="AW11" s="46" t="s">
        <v>105</v>
      </c>
      <c r="AX11" s="50">
        <v>0.54815953683107455</v>
      </c>
    </row>
    <row r="12" spans="1:50" x14ac:dyDescent="0.35">
      <c r="A12" t="s">
        <v>55</v>
      </c>
      <c r="B12">
        <v>1961</v>
      </c>
      <c r="C12" s="5">
        <f>'Orig data'!C15</f>
        <v>172700</v>
      </c>
      <c r="D12" s="5">
        <f>'Orig data'!Q15</f>
        <v>253644</v>
      </c>
      <c r="E12" s="5">
        <f>'Orig data'!D15</f>
        <v>288161</v>
      </c>
      <c r="F12" s="5">
        <f t="shared" si="1"/>
        <v>172.7</v>
      </c>
      <c r="G12" s="5">
        <f t="shared" si="2"/>
        <v>288.161</v>
      </c>
      <c r="H12" s="44">
        <f t="shared" si="3"/>
        <v>0.51196336656327257</v>
      </c>
      <c r="I12" s="5">
        <f t="shared" si="4"/>
        <v>80944</v>
      </c>
      <c r="J12" s="26">
        <f t="shared" si="5"/>
        <v>0.31912444213149138</v>
      </c>
      <c r="K12">
        <f>covariates!R21</f>
        <v>103920</v>
      </c>
      <c r="L12">
        <f>covariates!T21</f>
        <v>-0.61548763107374671</v>
      </c>
      <c r="M12">
        <f>covariates!V21</f>
        <v>-0.70442367861378297</v>
      </c>
      <c r="N12">
        <f>covariates!U21</f>
        <v>-6.0651555523742504E-2</v>
      </c>
      <c r="O12">
        <f>covariates!W21</f>
        <v>-0.39606328894993104</v>
      </c>
      <c r="P12">
        <f>covariates!X21</f>
        <v>-0.10122219620501262</v>
      </c>
      <c r="Q12">
        <f t="shared" si="0"/>
        <v>0.51196336656327257</v>
      </c>
      <c r="R12">
        <f t="shared" si="6"/>
        <v>1961</v>
      </c>
      <c r="S12">
        <f t="shared" si="7"/>
        <v>1.1279280383213841</v>
      </c>
      <c r="AW12" s="46" t="s">
        <v>106</v>
      </c>
      <c r="AX12" s="50">
        <v>0.52629628861322331</v>
      </c>
    </row>
    <row r="13" spans="1:50" x14ac:dyDescent="0.35">
      <c r="A13" t="s">
        <v>55</v>
      </c>
      <c r="B13">
        <v>1962</v>
      </c>
      <c r="C13" s="5">
        <f>'Orig data'!C16</f>
        <v>180200</v>
      </c>
      <c r="D13" s="5">
        <f>'Orig data'!Q16</f>
        <v>249239</v>
      </c>
      <c r="E13" s="5">
        <f>'Orig data'!D16</f>
        <v>423280</v>
      </c>
      <c r="F13" s="5">
        <f t="shared" si="1"/>
        <v>180.2</v>
      </c>
      <c r="G13" s="5">
        <f t="shared" si="2"/>
        <v>423.28</v>
      </c>
      <c r="H13" s="44">
        <f t="shared" si="3"/>
        <v>0.85396655342163885</v>
      </c>
      <c r="I13" s="5">
        <f t="shared" si="4"/>
        <v>69039</v>
      </c>
      <c r="J13" s="26">
        <f t="shared" si="5"/>
        <v>0.27699918552072511</v>
      </c>
      <c r="K13">
        <f>covariates!R22</f>
        <v>130357</v>
      </c>
      <c r="L13">
        <f>covariates!T22</f>
        <v>0.27974602632904771</v>
      </c>
      <c r="M13">
        <f>covariates!V22</f>
        <v>-0.72297349904054808</v>
      </c>
      <c r="N13">
        <f>covariates!U22</f>
        <v>-0.45600984338221306</v>
      </c>
      <c r="O13">
        <f>covariates!W22</f>
        <v>-0.3590096859316973</v>
      </c>
      <c r="P13">
        <f>covariates!X22</f>
        <v>-0.17622041618659259</v>
      </c>
      <c r="Q13">
        <f t="shared" si="0"/>
        <v>0.85396655342163885</v>
      </c>
      <c r="R13">
        <f t="shared" si="6"/>
        <v>1962</v>
      </c>
      <c r="S13">
        <f t="shared" si="7"/>
        <v>1.0075885716904243</v>
      </c>
      <c r="AW13" s="46" t="s">
        <v>107</v>
      </c>
      <c r="AX13" s="50">
        <v>0.4790320439668031</v>
      </c>
    </row>
    <row r="14" spans="1:50" ht="15" thickBot="1" x14ac:dyDescent="0.4">
      <c r="A14" t="s">
        <v>55</v>
      </c>
      <c r="B14">
        <v>1963</v>
      </c>
      <c r="C14" s="5">
        <f>'Orig data'!C17</f>
        <v>214200</v>
      </c>
      <c r="D14" s="5">
        <f>'Orig data'!Q17</f>
        <v>339884</v>
      </c>
      <c r="E14" s="5">
        <f>'Orig data'!D17</f>
        <v>430785</v>
      </c>
      <c r="F14" s="5">
        <f t="shared" si="1"/>
        <v>214.2</v>
      </c>
      <c r="G14" s="5">
        <f t="shared" si="2"/>
        <v>430.78500000000003</v>
      </c>
      <c r="H14" s="44">
        <f t="shared" si="3"/>
        <v>0.69869896772088746</v>
      </c>
      <c r="I14" s="5">
        <f t="shared" si="4"/>
        <v>125684</v>
      </c>
      <c r="J14" s="26">
        <f t="shared" si="5"/>
        <v>0.36978498546562943</v>
      </c>
      <c r="K14">
        <f>covariates!R23</f>
        <v>192245</v>
      </c>
      <c r="L14">
        <f>covariates!T23</f>
        <v>-0.51601722469565936</v>
      </c>
      <c r="M14">
        <f>covariates!V23</f>
        <v>-0.7415233194673132</v>
      </c>
      <c r="N14">
        <f>covariates!U23</f>
        <v>0.53238587626396305</v>
      </c>
      <c r="O14">
        <f>covariates!W23</f>
        <v>0.49333066915708146</v>
      </c>
      <c r="P14">
        <f>covariates!X23</f>
        <v>-6.0290395923992553E-2</v>
      </c>
      <c r="Q14">
        <f t="shared" si="0"/>
        <v>0.69869896772088746</v>
      </c>
      <c r="R14">
        <f t="shared" si="6"/>
        <v>1963</v>
      </c>
      <c r="S14">
        <f t="shared" si="7"/>
        <v>1.0786839928889356</v>
      </c>
      <c r="AW14" s="47" t="s">
        <v>108</v>
      </c>
      <c r="AX14" s="47">
        <v>66</v>
      </c>
    </row>
    <row r="15" spans="1:50" x14ac:dyDescent="0.35">
      <c r="A15" t="s">
        <v>55</v>
      </c>
      <c r="B15">
        <v>1964</v>
      </c>
      <c r="C15" s="5">
        <f>'Orig data'!C18</f>
        <v>325400</v>
      </c>
      <c r="D15" s="5">
        <f>'Orig data'!Q18</f>
        <v>371556</v>
      </c>
      <c r="E15" s="5">
        <f>'Orig data'!D18</f>
        <v>1165723</v>
      </c>
      <c r="F15" s="5">
        <f t="shared" si="1"/>
        <v>325.39999999999998</v>
      </c>
      <c r="G15" s="5">
        <f t="shared" si="2"/>
        <v>1165.723</v>
      </c>
      <c r="H15" s="44">
        <f t="shared" si="3"/>
        <v>1.2760415795801567</v>
      </c>
      <c r="I15" s="5">
        <f t="shared" si="4"/>
        <v>46156</v>
      </c>
      <c r="J15" s="26">
        <f t="shared" si="5"/>
        <v>0.12422353561778036</v>
      </c>
      <c r="K15">
        <f>covariates!R24</f>
        <v>246741</v>
      </c>
      <c r="L15">
        <f>covariates!T24</f>
        <v>-0.63079077051652921</v>
      </c>
      <c r="M15">
        <f>covariates!V24</f>
        <v>-0.7600731398940781</v>
      </c>
      <c r="N15">
        <f>covariates!U24</f>
        <v>-0.77723845226722044</v>
      </c>
      <c r="O15">
        <f>covariates!W24</f>
        <v>2.2873874054561309E-2</v>
      </c>
      <c r="P15">
        <f>covariates!X24</f>
        <v>-0.19486840546877593</v>
      </c>
      <c r="Q15">
        <f t="shared" si="0"/>
        <v>1.2760415795801567</v>
      </c>
      <c r="R15">
        <f t="shared" si="6"/>
        <v>1964</v>
      </c>
      <c r="S15">
        <f t="shared" si="7"/>
        <v>1.0694051231795603</v>
      </c>
    </row>
    <row r="16" spans="1:50" ht="15" thickBot="1" x14ac:dyDescent="0.4">
      <c r="A16" t="s">
        <v>55</v>
      </c>
      <c r="B16">
        <v>1965</v>
      </c>
      <c r="C16" s="5">
        <f>'Orig data'!C19</f>
        <v>184800</v>
      </c>
      <c r="D16" s="5">
        <f>'Orig data'!Q19</f>
        <v>170472</v>
      </c>
      <c r="E16" s="5">
        <f>'Orig data'!D19</f>
        <v>851349</v>
      </c>
      <c r="F16" s="5">
        <f t="shared" si="1"/>
        <v>184.8</v>
      </c>
      <c r="G16" s="5">
        <f t="shared" si="2"/>
        <v>851.34900000000005</v>
      </c>
      <c r="H16" s="44">
        <f t="shared" si="3"/>
        <v>1.5275479910533403</v>
      </c>
      <c r="I16" s="5">
        <f t="shared" si="4"/>
        <v>-14328</v>
      </c>
      <c r="J16" s="26">
        <f t="shared" si="5"/>
        <v>-8.4048993383077572E-2</v>
      </c>
      <c r="K16">
        <f>covariates!R25</f>
        <v>129459</v>
      </c>
      <c r="L16">
        <f>covariates!T25</f>
        <v>-0.73791274661600914</v>
      </c>
      <c r="M16">
        <f>covariates!V25</f>
        <v>-0.77859612886262075</v>
      </c>
      <c r="N16">
        <f>covariates!U25</f>
        <v>-0.82665823824952933</v>
      </c>
      <c r="O16">
        <f>covariates!W25</f>
        <v>-0.69640221160453175</v>
      </c>
      <c r="P16">
        <f>covariates!X25</f>
        <v>0.9373485616547218</v>
      </c>
      <c r="Q16">
        <f t="shared" si="0"/>
        <v>1.5275479910533403</v>
      </c>
      <c r="R16">
        <f t="shared" si="6"/>
        <v>1965</v>
      </c>
      <c r="S16">
        <f t="shared" si="7"/>
        <v>1.1410338390079129</v>
      </c>
      <c r="AW16" t="s">
        <v>109</v>
      </c>
    </row>
    <row r="17" spans="1:57" x14ac:dyDescent="0.35">
      <c r="A17" t="s">
        <v>55</v>
      </c>
      <c r="B17">
        <v>1966</v>
      </c>
      <c r="C17" s="5">
        <f>'Orig data'!C20</f>
        <v>429700</v>
      </c>
      <c r="D17" s="5">
        <f>'Orig data'!Q20</f>
        <v>419759</v>
      </c>
      <c r="E17" s="5">
        <f>'Orig data'!D20</f>
        <v>719419</v>
      </c>
      <c r="F17" s="5">
        <f t="shared" si="1"/>
        <v>429.7</v>
      </c>
      <c r="G17" s="5">
        <f t="shared" si="2"/>
        <v>719.41899999999998</v>
      </c>
      <c r="H17" s="44">
        <f t="shared" si="3"/>
        <v>0.51535665102978301</v>
      </c>
      <c r="I17" s="5">
        <f t="shared" si="4"/>
        <v>-9941</v>
      </c>
      <c r="J17" s="26">
        <f t="shared" si="5"/>
        <v>-2.3682636941673673E-2</v>
      </c>
      <c r="K17">
        <f>covariates!R26</f>
        <v>360810</v>
      </c>
      <c r="L17">
        <f>covariates!T26</f>
        <v>-0.26734120875043688</v>
      </c>
      <c r="M17">
        <f>covariates!V26</f>
        <v>-0.79469093294657822</v>
      </c>
      <c r="N17">
        <f>covariates!U26</f>
        <v>-0.75252855927606599</v>
      </c>
      <c r="O17">
        <f>covariates!W26</f>
        <v>-1.2391505667387155</v>
      </c>
      <c r="P17">
        <f>covariates!X26</f>
        <v>-0.98622252264071231</v>
      </c>
      <c r="Q17">
        <f t="shared" si="0"/>
        <v>0.51535665102978301</v>
      </c>
      <c r="R17">
        <f t="shared" si="6"/>
        <v>1966</v>
      </c>
      <c r="S17">
        <f t="shared" si="7"/>
        <v>0.97503101084460164</v>
      </c>
      <c r="AW17" s="48"/>
      <c r="AX17" s="48" t="s">
        <v>113</v>
      </c>
      <c r="AY17" s="48" t="s">
        <v>114</v>
      </c>
      <c r="AZ17" s="48" t="s">
        <v>115</v>
      </c>
      <c r="BA17" s="48" t="s">
        <v>116</v>
      </c>
      <c r="BB17" s="48" t="s">
        <v>117</v>
      </c>
    </row>
    <row r="18" spans="1:57" x14ac:dyDescent="0.35">
      <c r="A18" t="s">
        <v>55</v>
      </c>
      <c r="B18">
        <v>1967</v>
      </c>
      <c r="C18" s="5">
        <f>'Orig data'!C21</f>
        <v>213873</v>
      </c>
      <c r="D18" s="5">
        <f>'Orig data'!Q21</f>
        <v>323003</v>
      </c>
      <c r="E18" s="5">
        <f>'Orig data'!D21</f>
        <v>526762</v>
      </c>
      <c r="F18" s="5">
        <f t="shared" si="1"/>
        <v>213.87299999999999</v>
      </c>
      <c r="G18" s="5">
        <f t="shared" si="2"/>
        <v>526.76199999999994</v>
      </c>
      <c r="H18" s="44">
        <f t="shared" si="3"/>
        <v>0.90136645271825699</v>
      </c>
      <c r="I18" s="5">
        <f t="shared" si="4"/>
        <v>109130</v>
      </c>
      <c r="J18" s="26">
        <f t="shared" si="5"/>
        <v>0.33786063906527186</v>
      </c>
      <c r="K18">
        <f>covariates!R27</f>
        <v>213873</v>
      </c>
      <c r="L18">
        <f>covariates!T27</f>
        <v>-0.14109030834747954</v>
      </c>
      <c r="M18">
        <f>covariates!V27</f>
        <v>-0.79827728449633573</v>
      </c>
      <c r="N18">
        <f>covariates!U27</f>
        <v>-0.57955930833798519</v>
      </c>
      <c r="O18">
        <f>covariates!W27</f>
        <v>-1.6371068921321423</v>
      </c>
      <c r="P18">
        <f>covariates!X27</f>
        <v>-1.5253400203638667</v>
      </c>
      <c r="Q18">
        <f t="shared" si="0"/>
        <v>0.90136645271825699</v>
      </c>
      <c r="R18">
        <f t="shared" si="6"/>
        <v>1967</v>
      </c>
      <c r="S18">
        <f t="shared" si="7"/>
        <v>1.0299869239719341</v>
      </c>
      <c r="X18" t="s">
        <v>102</v>
      </c>
      <c r="AW18" s="46" t="s">
        <v>110</v>
      </c>
      <c r="AX18" s="46">
        <v>3</v>
      </c>
      <c r="AY18" s="46">
        <v>17.260074861734669</v>
      </c>
      <c r="AZ18" s="46">
        <v>5.7533582872448896</v>
      </c>
      <c r="BA18" s="46">
        <v>25.072191074677786</v>
      </c>
      <c r="BB18" s="46">
        <v>9.6120724537682679E-11</v>
      </c>
    </row>
    <row r="19" spans="1:57" ht="15" thickBot="1" x14ac:dyDescent="0.4">
      <c r="A19" t="s">
        <v>55</v>
      </c>
      <c r="B19">
        <v>1968</v>
      </c>
      <c r="C19" s="5">
        <f>'Orig data'!C22</f>
        <v>822200</v>
      </c>
      <c r="D19" s="5">
        <f>'Orig data'!Q22</f>
        <v>1153257</v>
      </c>
      <c r="E19" s="5">
        <f>'Orig data'!D22</f>
        <v>1219850</v>
      </c>
      <c r="F19" s="5">
        <f t="shared" si="1"/>
        <v>822.2</v>
      </c>
      <c r="G19" s="5">
        <f t="shared" si="2"/>
        <v>1219.8499999999999</v>
      </c>
      <c r="H19" s="44">
        <f t="shared" si="3"/>
        <v>0.39449950488478053</v>
      </c>
      <c r="I19" s="5">
        <f t="shared" si="4"/>
        <v>331057</v>
      </c>
      <c r="J19" s="26">
        <f t="shared" si="5"/>
        <v>0.28706264085108524</v>
      </c>
      <c r="K19">
        <f>covariates!R28</f>
        <v>670328</v>
      </c>
      <c r="L19">
        <f>covariates!T28</f>
        <v>-0.64226812509861675</v>
      </c>
      <c r="M19">
        <f>covariates!V28</f>
        <v>-0.8084595891266686</v>
      </c>
      <c r="N19">
        <f>covariates!U28</f>
        <v>-1.2467264190991543</v>
      </c>
      <c r="O19">
        <f>covariates!W28</f>
        <v>-0.76440085384472822</v>
      </c>
      <c r="P19">
        <f>covariates!X28</f>
        <v>-0.47782904726060038</v>
      </c>
      <c r="Q19">
        <f t="shared" si="0"/>
        <v>0.39449950488478053</v>
      </c>
      <c r="R19">
        <f t="shared" si="6"/>
        <v>1968</v>
      </c>
      <c r="S19">
        <f t="shared" si="7"/>
        <v>0.87562498715662773</v>
      </c>
      <c r="AW19" s="46" t="s">
        <v>111</v>
      </c>
      <c r="AX19" s="46">
        <v>62</v>
      </c>
      <c r="AY19" s="46">
        <v>14.227245347114817</v>
      </c>
      <c r="AZ19" s="46">
        <v>0.22947169914701318</v>
      </c>
      <c r="BA19" s="46"/>
      <c r="BB19" s="46"/>
    </row>
    <row r="20" spans="1:57" ht="15" thickBot="1" x14ac:dyDescent="0.4">
      <c r="A20" t="s">
        <v>55</v>
      </c>
      <c r="B20">
        <v>1969</v>
      </c>
      <c r="C20" s="5">
        <f>'Orig data'!C23</f>
        <v>390100</v>
      </c>
      <c r="D20" s="5">
        <f>'Orig data'!Q23</f>
        <v>578493</v>
      </c>
      <c r="E20" s="5">
        <f>'Orig data'!D23</f>
        <v>1312868</v>
      </c>
      <c r="F20" s="5">
        <f t="shared" si="1"/>
        <v>390.1</v>
      </c>
      <c r="G20" s="5">
        <f t="shared" si="2"/>
        <v>1312.8679999999999</v>
      </c>
      <c r="H20" s="44">
        <f t="shared" si="3"/>
        <v>1.2135662196061554</v>
      </c>
      <c r="I20" s="5">
        <f t="shared" si="4"/>
        <v>188393</v>
      </c>
      <c r="J20" s="26">
        <f t="shared" si="5"/>
        <v>0.32566167611362629</v>
      </c>
      <c r="K20">
        <f>covariates!R29</f>
        <v>309220</v>
      </c>
      <c r="L20">
        <f>covariates!T29</f>
        <v>-0.77234481036226899</v>
      </c>
      <c r="M20">
        <f>covariates!V29</f>
        <v>-0.81065089369362886</v>
      </c>
      <c r="N20">
        <f>covariates!U29</f>
        <v>1.3478123449720623E-2</v>
      </c>
      <c r="O20">
        <f>covariates!W29</f>
        <v>-1.3810567244139678</v>
      </c>
      <c r="P20">
        <f>covariates!X29</f>
        <v>-0.8735165664819865</v>
      </c>
      <c r="Q20">
        <f t="shared" si="0"/>
        <v>1.2135662196061554</v>
      </c>
      <c r="R20">
        <f t="shared" si="6"/>
        <v>1969</v>
      </c>
      <c r="S20">
        <f t="shared" si="7"/>
        <v>1.0640228882566198</v>
      </c>
      <c r="X20" s="49" t="s">
        <v>103</v>
      </c>
      <c r="Y20" s="49"/>
      <c r="AW20" s="47" t="s">
        <v>9</v>
      </c>
      <c r="AX20" s="47">
        <v>65</v>
      </c>
      <c r="AY20" s="47">
        <v>31.487320208849486</v>
      </c>
      <c r="AZ20" s="47"/>
      <c r="BA20" s="47"/>
      <c r="BB20" s="47"/>
    </row>
    <row r="21" spans="1:57" ht="15" thickBot="1" x14ac:dyDescent="0.4">
      <c r="A21" t="s">
        <v>55</v>
      </c>
      <c r="B21">
        <v>1970</v>
      </c>
      <c r="C21" s="5">
        <f>'Orig data'!C24</f>
        <v>287250</v>
      </c>
      <c r="D21" s="5">
        <f>'Orig data'!Q24</f>
        <v>739355</v>
      </c>
      <c r="E21" s="5">
        <f>'Orig data'!D24</f>
        <v>832641</v>
      </c>
      <c r="F21" s="5">
        <f t="shared" si="1"/>
        <v>287.25</v>
      </c>
      <c r="G21" s="5">
        <f t="shared" si="2"/>
        <v>832.64099999999996</v>
      </c>
      <c r="H21" s="44">
        <f t="shared" si="3"/>
        <v>1.064249660153731</v>
      </c>
      <c r="I21" s="5">
        <f t="shared" si="4"/>
        <v>452105</v>
      </c>
      <c r="J21" s="26">
        <f t="shared" si="5"/>
        <v>0.61148568684867211</v>
      </c>
      <c r="K21">
        <f>covariates!R30</f>
        <v>284250</v>
      </c>
      <c r="L21">
        <f>covariates!T30</f>
        <v>-1.2964773362775812</v>
      </c>
      <c r="M21">
        <f>covariates!V30</f>
        <v>-0.77487521455467079</v>
      </c>
      <c r="N21">
        <f>covariates!U30</f>
        <v>3.8188016440875022E-2</v>
      </c>
      <c r="O21">
        <f>covariates!W30</f>
        <v>-0.8637116502112524</v>
      </c>
      <c r="P21">
        <f>covariates!X30</f>
        <v>-0.38442873962724455</v>
      </c>
      <c r="Q21">
        <f t="shared" si="0"/>
        <v>1.064249660153731</v>
      </c>
      <c r="R21">
        <f t="shared" si="6"/>
        <v>1970</v>
      </c>
      <c r="S21">
        <f t="shared" si="7"/>
        <v>1.1355771593213069</v>
      </c>
      <c r="X21" s="46" t="s">
        <v>104</v>
      </c>
      <c r="Y21" s="50">
        <v>0.68757289338989225</v>
      </c>
    </row>
    <row r="22" spans="1:57" x14ac:dyDescent="0.35">
      <c r="A22" t="s">
        <v>55</v>
      </c>
      <c r="B22">
        <v>1971</v>
      </c>
      <c r="C22" s="5">
        <f>'Orig data'!C25</f>
        <v>290150</v>
      </c>
      <c r="D22" s="5">
        <f>'Orig data'!Q25</f>
        <v>376364</v>
      </c>
      <c r="E22" s="5">
        <f>'Orig data'!D25</f>
        <v>589068</v>
      </c>
      <c r="F22" s="5">
        <f t="shared" si="1"/>
        <v>290.14999999999998</v>
      </c>
      <c r="G22" s="5">
        <f t="shared" si="2"/>
        <v>589.06799999999998</v>
      </c>
      <c r="H22" s="44">
        <f t="shared" si="3"/>
        <v>0.70814359626625123</v>
      </c>
      <c r="I22" s="5">
        <f t="shared" si="4"/>
        <v>86214</v>
      </c>
      <c r="J22" s="26">
        <f t="shared" si="5"/>
        <v>0.22907079316831577</v>
      </c>
      <c r="K22">
        <f>covariates!R31</f>
        <v>290125</v>
      </c>
      <c r="L22">
        <f>covariates!T31</f>
        <v>-1.438031376123321</v>
      </c>
      <c r="M22">
        <f>covariates!V31</f>
        <v>-0.74016060878810297</v>
      </c>
      <c r="N22">
        <f>covariates!U31</f>
        <v>-0.43129995039105873</v>
      </c>
      <c r="O22">
        <f>covariates!W31</f>
        <v>-1.580358255509571</v>
      </c>
      <c r="P22">
        <f>covariates!X31</f>
        <v>-0.77705579827523164</v>
      </c>
      <c r="Q22">
        <f t="shared" si="0"/>
        <v>0.70814359626625123</v>
      </c>
      <c r="R22">
        <f t="shared" si="6"/>
        <v>1971</v>
      </c>
      <c r="S22">
        <f t="shared" si="7"/>
        <v>1.1454463426815367</v>
      </c>
      <c r="X22" s="46" t="s">
        <v>105</v>
      </c>
      <c r="Y22" s="50">
        <v>0.47275648372454809</v>
      </c>
      <c r="AW22" s="48"/>
      <c r="AX22" s="48" t="s">
        <v>118</v>
      </c>
      <c r="AY22" s="48" t="s">
        <v>107</v>
      </c>
      <c r="AZ22" s="48" t="s">
        <v>119</v>
      </c>
      <c r="BA22" s="48" t="s">
        <v>120</v>
      </c>
      <c r="BB22" s="48" t="s">
        <v>121</v>
      </c>
      <c r="BC22" s="48" t="s">
        <v>122</v>
      </c>
      <c r="BD22" s="48" t="s">
        <v>123</v>
      </c>
      <c r="BE22" s="48" t="s">
        <v>124</v>
      </c>
    </row>
    <row r="23" spans="1:57" x14ac:dyDescent="0.35">
      <c r="A23" t="s">
        <v>55</v>
      </c>
      <c r="B23">
        <v>1972</v>
      </c>
      <c r="C23" s="5">
        <f>'Orig data'!C26</f>
        <v>423290</v>
      </c>
      <c r="D23" s="5">
        <f>'Orig data'!Q26</f>
        <v>1349820</v>
      </c>
      <c r="E23" s="5">
        <f>'Orig data'!D26</f>
        <v>965520</v>
      </c>
      <c r="F23" s="5">
        <f t="shared" si="1"/>
        <v>423.29</v>
      </c>
      <c r="G23" s="5">
        <f t="shared" si="2"/>
        <v>965.52</v>
      </c>
      <c r="H23" s="44">
        <f t="shared" si="3"/>
        <v>0.8246092929692076</v>
      </c>
      <c r="I23" s="5">
        <f t="shared" si="4"/>
        <v>926530</v>
      </c>
      <c r="J23" s="26">
        <f t="shared" si="5"/>
        <v>0.68641003985716609</v>
      </c>
      <c r="K23">
        <f>covariates!R32</f>
        <v>423290</v>
      </c>
      <c r="L23">
        <f>covariates!T32</f>
        <v>-1.1090138781034913</v>
      </c>
      <c r="M23">
        <f>covariates!V32</f>
        <v>-0.70635501767622533</v>
      </c>
      <c r="N23">
        <f>covariates!U32</f>
        <v>-0.38188016440874983</v>
      </c>
      <c r="O23">
        <f>covariates!W32</f>
        <v>-1.8072179410195979</v>
      </c>
      <c r="P23">
        <f>covariates!X32</f>
        <v>1.287615101625466</v>
      </c>
      <c r="Q23">
        <f t="shared" si="0"/>
        <v>0.8246092929692076</v>
      </c>
      <c r="R23">
        <f t="shared" si="6"/>
        <v>1972</v>
      </c>
      <c r="S23">
        <f t="shared" si="7"/>
        <v>1.036811958317795</v>
      </c>
      <c r="X23" s="46" t="s">
        <v>106</v>
      </c>
      <c r="Y23" s="50">
        <v>0.46451830378274417</v>
      </c>
      <c r="AW23" s="46" t="s">
        <v>112</v>
      </c>
      <c r="AX23" s="46">
        <v>1.004817500049848</v>
      </c>
      <c r="AY23" s="46">
        <v>9.0529378680818853E-2</v>
      </c>
      <c r="AZ23" s="46">
        <v>11.099352659787407</v>
      </c>
      <c r="BA23" s="46">
        <v>2.2737768753472337E-16</v>
      </c>
      <c r="BB23" s="46">
        <v>0.82385185061216237</v>
      </c>
      <c r="BC23" s="46">
        <v>1.1857831494875337</v>
      </c>
      <c r="BD23" s="46">
        <v>0.82385185061216237</v>
      </c>
      <c r="BE23" s="46">
        <v>1.1857831494875337</v>
      </c>
    </row>
    <row r="24" spans="1:57" x14ac:dyDescent="0.35">
      <c r="A24" t="s">
        <v>55</v>
      </c>
      <c r="B24">
        <v>1973</v>
      </c>
      <c r="C24" s="5">
        <f>'Orig data'!C27</f>
        <v>267105</v>
      </c>
      <c r="D24" s="5">
        <f>'Orig data'!Q27</f>
        <v>1506960</v>
      </c>
      <c r="E24" s="5">
        <f>'Orig data'!D27</f>
        <v>826929</v>
      </c>
      <c r="F24" s="5">
        <f t="shared" si="1"/>
        <v>267.10500000000002</v>
      </c>
      <c r="G24" s="5">
        <f t="shared" si="2"/>
        <v>826.92899999999997</v>
      </c>
      <c r="H24" s="44">
        <f t="shared" si="3"/>
        <v>1.1300769993379298</v>
      </c>
      <c r="I24" s="5">
        <f t="shared" si="4"/>
        <v>1239855</v>
      </c>
      <c r="J24" s="26">
        <f t="shared" si="5"/>
        <v>0.82275242873068966</v>
      </c>
      <c r="K24">
        <f>covariates!R33</f>
        <v>267080</v>
      </c>
      <c r="L24">
        <f>covariates!T33</f>
        <v>-1.1166654478248839</v>
      </c>
      <c r="M24">
        <f>covariates!V33</f>
        <v>-0.67676423990970602</v>
      </c>
      <c r="N24">
        <f>covariates!U33</f>
        <v>-0.30775048543528666</v>
      </c>
      <c r="O24">
        <f>covariates!W33</f>
        <v>-0.57709048836825949</v>
      </c>
      <c r="P24">
        <f>covariates!X33</f>
        <v>0.73516174994958516</v>
      </c>
      <c r="Q24">
        <f t="shared" si="0"/>
        <v>1.1300769993379298</v>
      </c>
      <c r="R24">
        <f t="shared" si="6"/>
        <v>1973</v>
      </c>
      <c r="S24">
        <f t="shared" si="7"/>
        <v>1.1081238503965305</v>
      </c>
      <c r="X24" s="46" t="s">
        <v>107</v>
      </c>
      <c r="Y24" s="50">
        <v>0.50931150562862959</v>
      </c>
      <c r="AW24" s="46" t="s">
        <v>30</v>
      </c>
      <c r="AX24" s="46">
        <v>-4.7650998241874007E-7</v>
      </c>
      <c r="AY24" s="46">
        <v>8.6095696593129727E-8</v>
      </c>
      <c r="AZ24" s="46">
        <v>-5.5346550556484448</v>
      </c>
      <c r="BA24" s="46">
        <v>6.6982191869769566E-7</v>
      </c>
      <c r="BB24" s="46">
        <v>-6.4861282764755411E-7</v>
      </c>
      <c r="BC24" s="46">
        <v>-3.0440713718992602E-7</v>
      </c>
      <c r="BD24" s="46">
        <v>-6.4861282764755411E-7</v>
      </c>
      <c r="BE24" s="46">
        <v>-3.0440713718992602E-7</v>
      </c>
    </row>
    <row r="25" spans="1:57" ht="15" thickBot="1" x14ac:dyDescent="0.4">
      <c r="A25" t="s">
        <v>55</v>
      </c>
      <c r="B25">
        <v>1974</v>
      </c>
      <c r="C25" s="5">
        <f>'Orig data'!C28</f>
        <v>350390</v>
      </c>
      <c r="D25" s="5">
        <f>'Orig data'!Q28</f>
        <v>717854</v>
      </c>
      <c r="E25" s="5">
        <f>'Orig data'!D28</f>
        <v>1107885</v>
      </c>
      <c r="F25" s="5">
        <f t="shared" si="1"/>
        <v>350.39</v>
      </c>
      <c r="G25" s="5">
        <f t="shared" si="2"/>
        <v>1107.885</v>
      </c>
      <c r="H25" s="44">
        <f t="shared" si="3"/>
        <v>1.151161251464681</v>
      </c>
      <c r="I25" s="5">
        <f t="shared" si="4"/>
        <v>367464</v>
      </c>
      <c r="J25" s="26">
        <f t="shared" si="5"/>
        <v>0.5118923903746444</v>
      </c>
      <c r="K25">
        <f>covariates!R34</f>
        <v>350315</v>
      </c>
      <c r="L25">
        <f>covariates!T34</f>
        <v>-1.5375017825014083</v>
      </c>
      <c r="M25">
        <f>covariates!V34</f>
        <v>-0.67459109858987365</v>
      </c>
      <c r="N25">
        <f>covariates!U34</f>
        <v>0.70535512720204396</v>
      </c>
      <c r="O25">
        <f>covariates!W34</f>
        <v>-0.45059028086191533</v>
      </c>
      <c r="P25">
        <f>covariates!X34</f>
        <v>-0.11173288203127058</v>
      </c>
      <c r="Q25">
        <f t="shared" si="0"/>
        <v>1.151161251464681</v>
      </c>
      <c r="R25">
        <f t="shared" si="6"/>
        <v>1974</v>
      </c>
      <c r="S25">
        <f t="shared" si="7"/>
        <v>1.1200091530245391</v>
      </c>
      <c r="X25" s="47" t="s">
        <v>108</v>
      </c>
      <c r="Y25" s="47">
        <v>66</v>
      </c>
      <c r="AW25" s="46" t="s">
        <v>90</v>
      </c>
      <c r="AX25" s="46">
        <v>-0.12319812187588591</v>
      </c>
      <c r="AY25" s="46">
        <v>6.543975560766975E-2</v>
      </c>
      <c r="AZ25" s="46">
        <v>-1.8826189176881141</v>
      </c>
      <c r="BA25" s="46">
        <v>6.4446207778814213E-2</v>
      </c>
      <c r="BB25" s="46">
        <v>-0.25401032941724311</v>
      </c>
      <c r="BC25" s="46">
        <v>7.6140856654712818E-3</v>
      </c>
      <c r="BD25" s="46">
        <v>-0.25401032941724311</v>
      </c>
      <c r="BE25" s="46">
        <v>7.6140856654712818E-3</v>
      </c>
    </row>
    <row r="26" spans="1:57" ht="15" thickBot="1" x14ac:dyDescent="0.4">
      <c r="A26" t="s">
        <v>55</v>
      </c>
      <c r="B26">
        <v>1975</v>
      </c>
      <c r="C26" s="5">
        <f>'Orig data'!C29</f>
        <v>191445</v>
      </c>
      <c r="D26" s="5">
        <f>'Orig data'!Q29</f>
        <v>486199</v>
      </c>
      <c r="E26" s="5">
        <f>'Orig data'!D29</f>
        <v>527760</v>
      </c>
      <c r="F26" s="5">
        <f t="shared" si="1"/>
        <v>191.44499999999999</v>
      </c>
      <c r="G26" s="5">
        <f t="shared" si="2"/>
        <v>527.76</v>
      </c>
      <c r="H26" s="44">
        <f t="shared" si="3"/>
        <v>1.0140410738118517</v>
      </c>
      <c r="I26" s="5">
        <f t="shared" si="4"/>
        <v>294754</v>
      </c>
      <c r="J26" s="26">
        <f t="shared" si="5"/>
        <v>0.60624147725519795</v>
      </c>
      <c r="K26">
        <f>covariates!R35</f>
        <v>191420</v>
      </c>
      <c r="L26">
        <f>covariates!T35</f>
        <v>-1.438031376123321</v>
      </c>
      <c r="M26">
        <f>covariates!V35</f>
        <v>-0.68217551350500072</v>
      </c>
      <c r="N26">
        <f>covariates!U35</f>
        <v>1.2242628800162865</v>
      </c>
      <c r="O26">
        <f>covariates!W35</f>
        <v>0.43611339617925066</v>
      </c>
      <c r="P26">
        <f>covariates!X35</f>
        <v>0.73195731274107856</v>
      </c>
      <c r="Q26">
        <f t="shared" si="0"/>
        <v>1.0140410738118517</v>
      </c>
      <c r="R26">
        <f t="shared" si="6"/>
        <v>1975</v>
      </c>
      <c r="S26">
        <f t="shared" si="7"/>
        <v>1.1845118965518471</v>
      </c>
      <c r="AW26" s="47" t="s">
        <v>92</v>
      </c>
      <c r="AX26" s="47">
        <v>-0.13742089937814542</v>
      </c>
      <c r="AY26" s="47">
        <v>6.9583585890202929E-2</v>
      </c>
      <c r="AZ26" s="47">
        <v>-1.9749039607556886</v>
      </c>
      <c r="BA26" s="47">
        <v>5.2736232896959105E-2</v>
      </c>
      <c r="BB26" s="47">
        <v>-0.27651650562570684</v>
      </c>
      <c r="BC26" s="47">
        <v>1.6747068694159817E-3</v>
      </c>
      <c r="BD26" s="47">
        <v>-0.27651650562570684</v>
      </c>
      <c r="BE26" s="47">
        <v>1.6747068694159817E-3</v>
      </c>
    </row>
    <row r="27" spans="1:57" ht="15" thickBot="1" x14ac:dyDescent="0.4">
      <c r="A27" t="s">
        <v>55</v>
      </c>
      <c r="B27">
        <v>1976</v>
      </c>
      <c r="C27" s="5">
        <f>'Orig data'!C30</f>
        <v>340467</v>
      </c>
      <c r="D27" s="5">
        <f>'Orig data'!Q30</f>
        <v>1003722</v>
      </c>
      <c r="E27" s="5">
        <f>'Orig data'!D30</f>
        <v>761292</v>
      </c>
      <c r="F27" s="5">
        <f t="shared" si="1"/>
        <v>340.46699999999998</v>
      </c>
      <c r="G27" s="5">
        <f t="shared" si="2"/>
        <v>761.29200000000003</v>
      </c>
      <c r="H27" s="44">
        <f t="shared" si="3"/>
        <v>0.80469878532263861</v>
      </c>
      <c r="I27" s="5">
        <f t="shared" si="4"/>
        <v>663255</v>
      </c>
      <c r="J27" s="26">
        <f t="shared" si="5"/>
        <v>0.66079551907799172</v>
      </c>
      <c r="K27">
        <f>covariates!R36</f>
        <v>340517</v>
      </c>
      <c r="L27">
        <f>covariates!T36</f>
        <v>-0.82973158327270669</v>
      </c>
      <c r="M27">
        <f>covariates!V36</f>
        <v>-0.68972168413232626</v>
      </c>
      <c r="N27">
        <f>covariates!U36</f>
        <v>1.4960717029189849</v>
      </c>
      <c r="O27">
        <f>covariates!W36</f>
        <v>-5.8828972898451432E-2</v>
      </c>
      <c r="P27">
        <f>covariates!X36</f>
        <v>1.2394640264143406</v>
      </c>
      <c r="Q27">
        <f t="shared" si="0"/>
        <v>0.80469878532263861</v>
      </c>
      <c r="R27">
        <f t="shared" si="6"/>
        <v>1976</v>
      </c>
      <c r="S27">
        <f t="shared" si="7"/>
        <v>1.039561297240942</v>
      </c>
      <c r="X27" t="s">
        <v>109</v>
      </c>
    </row>
    <row r="28" spans="1:57" x14ac:dyDescent="0.35">
      <c r="A28" t="s">
        <v>55</v>
      </c>
      <c r="B28">
        <v>1977</v>
      </c>
      <c r="C28" s="5">
        <f>'Orig data'!C31</f>
        <v>599371</v>
      </c>
      <c r="D28" s="5">
        <f>'Orig data'!Q31</f>
        <v>722536</v>
      </c>
      <c r="E28" s="5">
        <f>'Orig data'!D31</f>
        <v>583647</v>
      </c>
      <c r="F28" s="5">
        <f t="shared" si="1"/>
        <v>599.37099999999998</v>
      </c>
      <c r="G28" s="5">
        <f t="shared" si="2"/>
        <v>583.64700000000005</v>
      </c>
      <c r="H28" s="44">
        <f t="shared" si="3"/>
        <v>-2.658442397844028E-2</v>
      </c>
      <c r="I28" s="5">
        <f t="shared" si="4"/>
        <v>123165</v>
      </c>
      <c r="J28" s="26">
        <f t="shared" si="5"/>
        <v>0.17046209462227488</v>
      </c>
      <c r="K28">
        <f>covariates!R37</f>
        <v>599341</v>
      </c>
      <c r="L28">
        <f>covariates!T37</f>
        <v>0.47486105422452751</v>
      </c>
      <c r="M28">
        <f>covariates!V37</f>
        <v>-0.69205874739779571</v>
      </c>
      <c r="N28">
        <f>covariates!U37</f>
        <v>0.92774416412243355</v>
      </c>
      <c r="O28">
        <f>covariates!W37</f>
        <v>-0.13059937285680528</v>
      </c>
      <c r="P28">
        <f>covariates!X37</f>
        <v>0.64127989854472345</v>
      </c>
      <c r="Q28">
        <f t="shared" si="0"/>
        <v>-2.658442397844028E-2</v>
      </c>
      <c r="R28">
        <f t="shared" si="6"/>
        <v>1977</v>
      </c>
      <c r="S28">
        <f t="shared" si="7"/>
        <v>0.75582687613447064</v>
      </c>
      <c r="X28" s="48"/>
      <c r="Y28" s="48" t="s">
        <v>113</v>
      </c>
      <c r="Z28" s="48" t="s">
        <v>114</v>
      </c>
      <c r="AA28" s="48" t="s">
        <v>115</v>
      </c>
      <c r="AB28" s="48" t="s">
        <v>116</v>
      </c>
      <c r="AC28" s="48" t="s">
        <v>117</v>
      </c>
    </row>
    <row r="29" spans="1:57" x14ac:dyDescent="0.35">
      <c r="A29" t="s">
        <v>55</v>
      </c>
      <c r="B29">
        <v>1978</v>
      </c>
      <c r="C29" s="5">
        <f>'Orig data'!C32</f>
        <v>359065</v>
      </c>
      <c r="D29" s="5">
        <f>'Orig data'!Q32</f>
        <v>1185223</v>
      </c>
      <c r="E29" s="5">
        <f>'Orig data'!D32</f>
        <v>635560</v>
      </c>
      <c r="F29" s="5">
        <f t="shared" si="1"/>
        <v>359.065</v>
      </c>
      <c r="G29" s="5">
        <f t="shared" si="2"/>
        <v>635.55999999999995</v>
      </c>
      <c r="H29" s="44">
        <f t="shared" si="3"/>
        <v>0.57100306942517687</v>
      </c>
      <c r="I29" s="5">
        <f t="shared" si="4"/>
        <v>826158</v>
      </c>
      <c r="J29" s="26">
        <f t="shared" si="5"/>
        <v>0.6970485722939902</v>
      </c>
      <c r="K29">
        <f>covariates!R38</f>
        <v>358990</v>
      </c>
      <c r="L29">
        <f>covariates!T38</f>
        <v>-0.82973158327270669</v>
      </c>
      <c r="M29">
        <f>covariates!V38</f>
        <v>-0.68849257550252763</v>
      </c>
      <c r="N29">
        <f>covariates!U38</f>
        <v>-0.62897909432029397</v>
      </c>
      <c r="O29">
        <f>covariates!W38</f>
        <v>-0.86534444938425259</v>
      </c>
      <c r="P29">
        <f>covariates!X38</f>
        <v>1.0457396123553988</v>
      </c>
      <c r="Q29">
        <f t="shared" si="0"/>
        <v>0.57100306942517687</v>
      </c>
      <c r="R29">
        <f t="shared" si="6"/>
        <v>1978</v>
      </c>
      <c r="S29">
        <f t="shared" si="7"/>
        <v>1.0305898231223802</v>
      </c>
      <c r="X29" s="46" t="s">
        <v>110</v>
      </c>
      <c r="Y29" s="46">
        <v>1</v>
      </c>
      <c r="Z29" s="46">
        <v>14.885834783844587</v>
      </c>
      <c r="AA29" s="46">
        <v>14.885834783844587</v>
      </c>
      <c r="AB29" s="46">
        <v>57.386035151476356</v>
      </c>
      <c r="AC29" s="46">
        <v>1.8077327597222179E-10</v>
      </c>
      <c r="AK29" t="s">
        <v>102</v>
      </c>
    </row>
    <row r="30" spans="1:57" ht="15" thickBot="1" x14ac:dyDescent="0.4">
      <c r="A30" t="s">
        <v>55</v>
      </c>
      <c r="B30">
        <v>1979</v>
      </c>
      <c r="C30" s="5">
        <f>'Orig data'!C33</f>
        <v>255634</v>
      </c>
      <c r="D30" s="5">
        <f>'Orig data'!Q33</f>
        <v>308732</v>
      </c>
      <c r="E30" s="5">
        <f>'Orig data'!D33</f>
        <v>510199</v>
      </c>
      <c r="F30" s="5">
        <f t="shared" si="1"/>
        <v>255.63399999999999</v>
      </c>
      <c r="G30" s="5">
        <f t="shared" si="2"/>
        <v>510.19900000000001</v>
      </c>
      <c r="H30" s="44">
        <f t="shared" si="3"/>
        <v>0.69105411168886388</v>
      </c>
      <c r="I30" s="5">
        <f t="shared" si="4"/>
        <v>53098</v>
      </c>
      <c r="J30" s="26">
        <f t="shared" si="5"/>
        <v>0.17198735472837282</v>
      </c>
      <c r="K30">
        <f>covariates!R39</f>
        <v>255634</v>
      </c>
      <c r="L30">
        <f>covariates!T39</f>
        <v>-1.4839407944522176E-2</v>
      </c>
      <c r="M30">
        <f>covariates!V39</f>
        <v>-0.6582991024123237</v>
      </c>
      <c r="N30">
        <f>covariates!U39</f>
        <v>-1.3455659910637718</v>
      </c>
      <c r="O30">
        <f>covariates!W39</f>
        <v>-0.11917064295329061</v>
      </c>
      <c r="P30">
        <f>covariates!X39</f>
        <v>1.7608580065748596</v>
      </c>
      <c r="Q30">
        <f t="shared" si="0"/>
        <v>0.69105411168886388</v>
      </c>
      <c r="R30">
        <f t="shared" si="6"/>
        <v>1979</v>
      </c>
      <c r="S30">
        <f t="shared" si="7"/>
        <v>0.97529758910605846</v>
      </c>
      <c r="X30" s="46" t="s">
        <v>111</v>
      </c>
      <c r="Y30" s="46">
        <v>64</v>
      </c>
      <c r="Z30" s="46">
        <v>16.601485425004899</v>
      </c>
      <c r="AA30" s="46">
        <v>0.25939820976570155</v>
      </c>
      <c r="AB30" s="46"/>
      <c r="AC30" s="46"/>
      <c r="AW30" t="s">
        <v>125</v>
      </c>
    </row>
    <row r="31" spans="1:57" ht="15" thickBot="1" x14ac:dyDescent="0.4">
      <c r="A31" t="s">
        <v>55</v>
      </c>
      <c r="B31">
        <v>1980</v>
      </c>
      <c r="C31" s="5">
        <f>'Orig data'!C34</f>
        <v>312182</v>
      </c>
      <c r="D31" s="5">
        <f>'Orig data'!Q34</f>
        <v>909353</v>
      </c>
      <c r="E31" s="5">
        <f>'Orig data'!D34</f>
        <v>655505</v>
      </c>
      <c r="F31" s="5">
        <f t="shared" si="1"/>
        <v>312.18200000000002</v>
      </c>
      <c r="G31" s="5">
        <f t="shared" si="2"/>
        <v>655.505</v>
      </c>
      <c r="H31" s="44">
        <f t="shared" si="3"/>
        <v>0.74181957986966518</v>
      </c>
      <c r="I31" s="5">
        <f t="shared" si="4"/>
        <v>597171</v>
      </c>
      <c r="J31" s="26">
        <f t="shared" si="5"/>
        <v>0.6566987737435297</v>
      </c>
      <c r="K31">
        <f>covariates!R40</f>
        <v>314011</v>
      </c>
      <c r="L31">
        <f>covariates!T40</f>
        <v>9.6108353015652709E-2</v>
      </c>
      <c r="M31">
        <f>covariates!V40</f>
        <v>-0.63811957898072502</v>
      </c>
      <c r="N31">
        <f>covariates!U40</f>
        <v>-0.62897909432029397</v>
      </c>
      <c r="O31">
        <f>covariates!W40</f>
        <v>-0.30043060523395776</v>
      </c>
      <c r="P31">
        <f>covariates!X40</f>
        <v>0.99525166266150833</v>
      </c>
      <c r="Q31">
        <f t="shared" si="0"/>
        <v>0.74181957986966518</v>
      </c>
      <c r="R31">
        <f t="shared" si="6"/>
        <v>1980</v>
      </c>
      <c r="S31">
        <f t="shared" si="7"/>
        <v>0.9310387218267786</v>
      </c>
      <c r="X31" s="47" t="s">
        <v>9</v>
      </c>
      <c r="Y31" s="47">
        <v>65</v>
      </c>
      <c r="Z31" s="47">
        <v>31.487320208849486</v>
      </c>
      <c r="AA31" s="47"/>
      <c r="AB31" s="47"/>
      <c r="AC31" s="47"/>
      <c r="AK31" s="49" t="s">
        <v>103</v>
      </c>
      <c r="AL31" s="49"/>
    </row>
    <row r="32" spans="1:57" ht="15" thickBot="1" x14ac:dyDescent="0.4">
      <c r="A32" t="s">
        <v>55</v>
      </c>
      <c r="B32">
        <v>1981</v>
      </c>
      <c r="C32" s="5">
        <f>'Orig data'!C35</f>
        <v>435345</v>
      </c>
      <c r="D32" s="5">
        <f>'Orig data'!Q35</f>
        <v>500271</v>
      </c>
      <c r="E32" s="5">
        <f>'Orig data'!D35</f>
        <v>1492293</v>
      </c>
      <c r="F32" s="5">
        <f t="shared" si="1"/>
        <v>435.34500000000003</v>
      </c>
      <c r="G32" s="5">
        <f t="shared" si="2"/>
        <v>1492.2929999999999</v>
      </c>
      <c r="H32" s="44">
        <f t="shared" si="3"/>
        <v>1.2319303219839801</v>
      </c>
      <c r="I32" s="5">
        <f t="shared" si="4"/>
        <v>64926</v>
      </c>
      <c r="J32" s="26">
        <f t="shared" si="5"/>
        <v>0.12978165834117908</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1.2319303219839801</v>
      </c>
      <c r="R32">
        <f t="shared" si="6"/>
        <v>1981</v>
      </c>
      <c r="S32">
        <f t="shared" si="7"/>
        <v>0.90630958467719736</v>
      </c>
      <c r="AK32" s="46" t="s">
        <v>104</v>
      </c>
      <c r="AL32" s="50">
        <v>0.76096460343254058</v>
      </c>
      <c r="AW32" s="48" t="s">
        <v>126</v>
      </c>
      <c r="AX32" s="48" t="s">
        <v>127</v>
      </c>
      <c r="AY32" s="48" t="s">
        <v>128</v>
      </c>
      <c r="AZ32" s="48" t="s">
        <v>129</v>
      </c>
    </row>
    <row r="33" spans="1:52" x14ac:dyDescent="0.35">
      <c r="A33" t="s">
        <v>55</v>
      </c>
      <c r="B33">
        <v>1982</v>
      </c>
      <c r="C33" s="5">
        <f>'Orig data'!C36</f>
        <v>322286</v>
      </c>
      <c r="D33" s="5">
        <f>'Orig data'!Q36</f>
        <v>724011</v>
      </c>
      <c r="E33" s="5">
        <f>'Orig data'!D36</f>
        <v>1416221</v>
      </c>
      <c r="F33" s="5">
        <f t="shared" si="1"/>
        <v>322.286</v>
      </c>
      <c r="G33" s="5">
        <f t="shared" si="2"/>
        <v>1416.221</v>
      </c>
      <c r="H33" s="44">
        <f t="shared" si="3"/>
        <v>1.4803079854347336</v>
      </c>
      <c r="I33" s="5">
        <f t="shared" si="4"/>
        <v>401725</v>
      </c>
      <c r="J33" s="26">
        <f t="shared" si="5"/>
        <v>0.55486035433163305</v>
      </c>
      <c r="K33">
        <f>covariates!R42</f>
        <v>326439</v>
      </c>
      <c r="L33">
        <f>covariates!T42</f>
        <v>1.0984639865179271</v>
      </c>
      <c r="M33">
        <f>covariates!V42</f>
        <v>-0.58645118194482659</v>
      </c>
      <c r="N33">
        <f>covariates!U42</f>
        <v>0.28528694635241914</v>
      </c>
      <c r="O33">
        <f>covariates!W42</f>
        <v>-0.30433541110847406</v>
      </c>
      <c r="P33">
        <f>covariates!X42</f>
        <v>1.9247806789274147</v>
      </c>
      <c r="Q33">
        <f t="shared" si="0"/>
        <v>1.4803079854347336</v>
      </c>
      <c r="R33">
        <f t="shared" si="6"/>
        <v>1982</v>
      </c>
      <c r="S33">
        <f t="shared" si="7"/>
        <v>0.79452800667598433</v>
      </c>
      <c r="X33" s="48"/>
      <c r="Y33" s="48" t="s">
        <v>118</v>
      </c>
      <c r="Z33" s="48" t="s">
        <v>107</v>
      </c>
      <c r="AA33" s="48" t="s">
        <v>119</v>
      </c>
      <c r="AB33" s="48" t="s">
        <v>120</v>
      </c>
      <c r="AC33" s="48" t="s">
        <v>121</v>
      </c>
      <c r="AD33" s="48" t="s">
        <v>122</v>
      </c>
      <c r="AE33" s="48" t="s">
        <v>123</v>
      </c>
      <c r="AF33" s="48" t="s">
        <v>124</v>
      </c>
      <c r="AK33" s="46" t="s">
        <v>105</v>
      </c>
      <c r="AL33" s="50">
        <v>0.57906712767724366</v>
      </c>
      <c r="AW33" s="46">
        <v>1</v>
      </c>
      <c r="AX33" s="46">
        <v>1.0720091698335179</v>
      </c>
      <c r="AY33" s="46">
        <v>-5.3254906877491237E-3</v>
      </c>
      <c r="AZ33" s="46">
        <v>-1.1382978025605891E-2</v>
      </c>
    </row>
    <row r="34" spans="1:52" x14ac:dyDescent="0.35">
      <c r="A34" t="s">
        <v>55</v>
      </c>
      <c r="B34">
        <v>1983</v>
      </c>
      <c r="C34" s="5">
        <f>'Orig data'!C37</f>
        <v>367363</v>
      </c>
      <c r="D34" s="5">
        <f>'Orig data'!Q37</f>
        <v>470101</v>
      </c>
      <c r="E34" s="5">
        <f>'Orig data'!D37</f>
        <v>795564</v>
      </c>
      <c r="F34" s="5">
        <f t="shared" si="1"/>
        <v>367.363</v>
      </c>
      <c r="G34" s="5">
        <f t="shared" si="2"/>
        <v>795.56399999999996</v>
      </c>
      <c r="H34" s="44">
        <f t="shared" si="3"/>
        <v>0.77270083705316917</v>
      </c>
      <c r="I34" s="5">
        <f t="shared" si="4"/>
        <v>102738</v>
      </c>
      <c r="J34" s="26">
        <f t="shared" si="5"/>
        <v>0.21854452553812903</v>
      </c>
      <c r="K34">
        <f>covariates!R43</f>
        <v>371770</v>
      </c>
      <c r="L34">
        <f>covariates!T43</f>
        <v>0.65084715781652991</v>
      </c>
      <c r="M34">
        <f>covariates!V43</f>
        <v>-0.55211166104157927</v>
      </c>
      <c r="N34">
        <f>covariates!U43</f>
        <v>1.3478123449720623E-2</v>
      </c>
      <c r="O34">
        <f>covariates!W43</f>
        <v>-0.95495528497240845</v>
      </c>
      <c r="P34">
        <f>covariates!X43</f>
        <v>0.93910201499354218</v>
      </c>
      <c r="Q34">
        <f t="shared" si="0"/>
        <v>0.77270083705316917</v>
      </c>
      <c r="R34">
        <f t="shared" si="6"/>
        <v>1983</v>
      </c>
      <c r="S34">
        <f t="shared" si="7"/>
        <v>0.82335391743227393</v>
      </c>
      <c r="X34" s="46" t="s">
        <v>112</v>
      </c>
      <c r="Y34" s="46">
        <v>1.1086983419978234</v>
      </c>
      <c r="Z34" s="46">
        <v>8.9518776104755213E-2</v>
      </c>
      <c r="AA34" s="46">
        <v>12.385092717313521</v>
      </c>
      <c r="AB34" s="46">
        <v>1.1918722893749591E-18</v>
      </c>
      <c r="AC34" s="46">
        <v>0.9298640283551276</v>
      </c>
      <c r="AD34" s="46">
        <v>1.2875326556405191</v>
      </c>
      <c r="AE34" s="46">
        <v>0.9298640283551276</v>
      </c>
      <c r="AF34" s="46">
        <v>1.2875326556405191</v>
      </c>
      <c r="AK34" s="46" t="s">
        <v>106</v>
      </c>
      <c r="AL34" s="50">
        <v>0.54398938831701393</v>
      </c>
      <c r="AW34" s="46">
        <v>2</v>
      </c>
      <c r="AX34" s="46">
        <v>0.97817367231744823</v>
      </c>
      <c r="AY34" s="46">
        <v>-0.50443588895962965</v>
      </c>
      <c r="AZ34" s="46">
        <v>-1.0782072443696917</v>
      </c>
    </row>
    <row r="35" spans="1:52" ht="15" thickBot="1" x14ac:dyDescent="0.4">
      <c r="A35" t="s">
        <v>55</v>
      </c>
      <c r="B35">
        <v>1984</v>
      </c>
      <c r="C35" s="5">
        <f>'Orig data'!C38</f>
        <v>540265</v>
      </c>
      <c r="D35" s="5">
        <f>'Orig data'!Q38</f>
        <v>612803</v>
      </c>
      <c r="E35" s="5">
        <f>'Orig data'!D38</f>
        <v>1061099</v>
      </c>
      <c r="F35" s="5">
        <f t="shared" si="1"/>
        <v>540.26499999999999</v>
      </c>
      <c r="G35" s="5">
        <f t="shared" si="2"/>
        <v>1061.0989999999999</v>
      </c>
      <c r="H35" s="44">
        <f t="shared" si="3"/>
        <v>0.67500068253565193</v>
      </c>
      <c r="I35" s="5">
        <f t="shared" si="4"/>
        <v>72538</v>
      </c>
      <c r="J35" s="26">
        <f t="shared" si="5"/>
        <v>0.11837083043000769</v>
      </c>
      <c r="K35">
        <f>covariates!R44</f>
        <v>541478</v>
      </c>
      <c r="L35">
        <f>covariates!T44</f>
        <v>-1.4839407944522176E-2</v>
      </c>
      <c r="M35">
        <f>covariates!V44</f>
        <v>-0.53725736599905283</v>
      </c>
      <c r="N35">
        <f>covariates!U44</f>
        <v>0.13702758840549265</v>
      </c>
      <c r="O35">
        <f>covariates!W44</f>
        <v>-1.0919185894373749</v>
      </c>
      <c r="P35">
        <f>covariates!X44</f>
        <v>-0.50472780352659885</v>
      </c>
      <c r="Q35">
        <f t="shared" si="0"/>
        <v>0.67500068253565193</v>
      </c>
      <c r="R35">
        <f t="shared" si="6"/>
        <v>1984</v>
      </c>
      <c r="S35">
        <f t="shared" si="7"/>
        <v>0.8224564054113519</v>
      </c>
      <c r="X35" s="47" t="s">
        <v>30</v>
      </c>
      <c r="Y35" s="47">
        <v>-6.0670806699831482E-7</v>
      </c>
      <c r="Z35" s="47">
        <v>8.0089698638138358E-8</v>
      </c>
      <c r="AA35" s="47">
        <v>-7.5753570972909507</v>
      </c>
      <c r="AB35" s="47">
        <v>1.8077327597222053E-10</v>
      </c>
      <c r="AC35" s="47">
        <v>-7.6670563297309135E-7</v>
      </c>
      <c r="AD35" s="47">
        <v>-4.4671050102353828E-7</v>
      </c>
      <c r="AE35" s="47">
        <v>-7.6670563297309135E-7</v>
      </c>
      <c r="AF35" s="47">
        <v>-4.4671050102353828E-7</v>
      </c>
      <c r="AK35" s="46" t="s">
        <v>107</v>
      </c>
      <c r="AL35" s="46">
        <v>0.4700008534966964</v>
      </c>
      <c r="AW35" s="46">
        <v>3</v>
      </c>
      <c r="AX35" s="46">
        <v>1.1015188791726931</v>
      </c>
      <c r="AY35" s="46">
        <v>-0.27974665658874043</v>
      </c>
      <c r="AZ35" s="46">
        <v>-0.59794490900372788</v>
      </c>
    </row>
    <row r="36" spans="1:52" ht="15" thickBot="1" x14ac:dyDescent="0.4">
      <c r="A36" t="s">
        <v>55</v>
      </c>
      <c r="B36">
        <v>1985</v>
      </c>
      <c r="C36" s="5">
        <f>'Orig data'!C39</f>
        <v>1147702</v>
      </c>
      <c r="D36" s="5">
        <f>'Orig data'!Q39</f>
        <v>1839044</v>
      </c>
      <c r="E36" s="5">
        <f>'Orig data'!D39</f>
        <v>1010518</v>
      </c>
      <c r="F36" s="5">
        <f t="shared" si="1"/>
        <v>1147.702</v>
      </c>
      <c r="G36" s="5">
        <f t="shared" si="2"/>
        <v>1010.518</v>
      </c>
      <c r="H36" s="44">
        <f t="shared" si="3"/>
        <v>-0.12729861165186437</v>
      </c>
      <c r="I36" s="5">
        <f t="shared" si="4"/>
        <v>691342</v>
      </c>
      <c r="J36" s="26">
        <f t="shared" si="5"/>
        <v>0.37592466520648771</v>
      </c>
      <c r="K36">
        <f>covariates!R45</f>
        <v>1383808</v>
      </c>
      <c r="L36">
        <f>covariates!T45</f>
        <v>-0.24821228444695947</v>
      </c>
      <c r="M36">
        <f>covariates!V45</f>
        <v>-0.52094944511260732</v>
      </c>
      <c r="N36">
        <f>covariates!U45</f>
        <v>-1.1231769541433823</v>
      </c>
      <c r="O36">
        <f>covariates!W45</f>
        <v>0.32259546375996317</v>
      </c>
      <c r="P36">
        <f>covariates!X45</f>
        <v>-0.76724552453108652</v>
      </c>
      <c r="Q36">
        <f t="shared" si="0"/>
        <v>-0.12729861165186437</v>
      </c>
      <c r="R36">
        <f t="shared" si="6"/>
        <v>1985</v>
      </c>
      <c r="S36">
        <f t="shared" si="7"/>
        <v>0.44758780284724509</v>
      </c>
      <c r="AK36" s="47" t="s">
        <v>108</v>
      </c>
      <c r="AL36" s="47">
        <v>66</v>
      </c>
      <c r="AW36" s="46">
        <v>4</v>
      </c>
      <c r="AX36" s="46">
        <v>1.2084702360732731</v>
      </c>
      <c r="AY36" s="46">
        <v>0.55657571836313391</v>
      </c>
      <c r="AZ36" s="46">
        <v>1.1896536006133041</v>
      </c>
    </row>
    <row r="37" spans="1:52" x14ac:dyDescent="0.35">
      <c r="A37" t="s">
        <v>55</v>
      </c>
      <c r="B37">
        <v>1986</v>
      </c>
      <c r="C37" s="5">
        <f>'Orig data'!C40</f>
        <v>833591</v>
      </c>
      <c r="D37" s="5">
        <f>'Orig data'!Q40</f>
        <v>1580868</v>
      </c>
      <c r="E37" s="5">
        <f>'Orig data'!D40</f>
        <v>1322564</v>
      </c>
      <c r="F37" s="5">
        <f t="shared" si="1"/>
        <v>833.59100000000001</v>
      </c>
      <c r="G37" s="5">
        <f t="shared" si="2"/>
        <v>1322.5640000000001</v>
      </c>
      <c r="H37" s="44">
        <f t="shared" si="3"/>
        <v>0.46158468136053471</v>
      </c>
      <c r="I37" s="5">
        <f t="shared" si="4"/>
        <v>747277</v>
      </c>
      <c r="J37" s="26">
        <f t="shared" si="5"/>
        <v>0.47270044051748789</v>
      </c>
      <c r="K37">
        <f>covariates!R46</f>
        <v>997327</v>
      </c>
      <c r="L37">
        <f>covariates!T46</f>
        <v>0.88039424945827227</v>
      </c>
      <c r="M37">
        <f>covariates!V46</f>
        <v>-0.49958460082961131</v>
      </c>
      <c r="N37">
        <f>covariates!U46</f>
        <v>0.28528694635241914</v>
      </c>
      <c r="O37">
        <f>covariates!W46</f>
        <v>0.3462793323899348</v>
      </c>
      <c r="P37">
        <f>covariates!X46</f>
        <v>-1.2712216938226724</v>
      </c>
      <c r="Q37">
        <f t="shared" si="0"/>
        <v>0.46158468136053471</v>
      </c>
      <c r="R37">
        <f t="shared" si="6"/>
        <v>1986</v>
      </c>
      <c r="S37">
        <f t="shared" si="7"/>
        <v>0.48977167593200094</v>
      </c>
      <c r="AW37" s="46">
        <v>5</v>
      </c>
      <c r="AX37" s="46">
        <v>1.2408914312706245</v>
      </c>
      <c r="AY37" s="46">
        <v>0.4385586821280083</v>
      </c>
      <c r="AZ37" s="46">
        <v>0.93739791022182106</v>
      </c>
    </row>
    <row r="38" spans="1:52" ht="15" thickBot="1" x14ac:dyDescent="0.4">
      <c r="A38" t="s">
        <v>55</v>
      </c>
      <c r="B38">
        <v>1987</v>
      </c>
      <c r="C38" s="5">
        <f>'Orig data'!C41</f>
        <v>430000</v>
      </c>
      <c r="D38" s="5">
        <f>'Orig data'!Q41</f>
        <v>481076</v>
      </c>
      <c r="E38" s="5">
        <f>'Orig data'!D41</f>
        <v>1116839</v>
      </c>
      <c r="F38" s="5">
        <f t="shared" si="1"/>
        <v>430</v>
      </c>
      <c r="G38" s="5">
        <f t="shared" si="2"/>
        <v>1116.8389999999999</v>
      </c>
      <c r="H38" s="44">
        <f t="shared" si="3"/>
        <v>0.95447244391420738</v>
      </c>
      <c r="I38" s="5">
        <f t="shared" si="4"/>
        <v>51076</v>
      </c>
      <c r="J38" s="26">
        <f t="shared" si="5"/>
        <v>0.10617033483274992</v>
      </c>
      <c r="K38">
        <f>covariates!R47</f>
        <v>363671</v>
      </c>
      <c r="L38">
        <f>covariates!T47</f>
        <v>0.69675657614487729</v>
      </c>
      <c r="M38">
        <f>covariates!V47</f>
        <v>-0.45567869652766718</v>
      </c>
      <c r="N38">
        <f>covariates!U47</f>
        <v>0.85361448514897043</v>
      </c>
      <c r="O38">
        <f>covariates!W47</f>
        <v>9.1080077030883985E-2</v>
      </c>
      <c r="P38">
        <f>covariates!X47</f>
        <v>0.27969825456171127</v>
      </c>
      <c r="Q38">
        <f t="shared" si="0"/>
        <v>0.95447244391420738</v>
      </c>
      <c r="R38">
        <f t="shared" si="6"/>
        <v>1987</v>
      </c>
      <c r="S38">
        <f t="shared" si="7"/>
        <v>0.80830531295221386</v>
      </c>
      <c r="AK38" t="s">
        <v>109</v>
      </c>
      <c r="AW38" s="46">
        <v>6</v>
      </c>
      <c r="AX38" s="46">
        <v>1.1901277758271074</v>
      </c>
      <c r="AY38" s="46">
        <v>1.567412829930805</v>
      </c>
      <c r="AZ38" s="46">
        <v>3.3502688946952488</v>
      </c>
    </row>
    <row r="39" spans="1:52" x14ac:dyDescent="0.35">
      <c r="A39" t="s">
        <v>55</v>
      </c>
      <c r="B39">
        <v>1988</v>
      </c>
      <c r="C39" s="5">
        <f>'Orig data'!C42</f>
        <v>488070</v>
      </c>
      <c r="D39" s="5">
        <f>'Orig data'!Q42</f>
        <v>1035111</v>
      </c>
      <c r="E39" s="5">
        <f>'Orig data'!D42</f>
        <v>406805</v>
      </c>
      <c r="F39" s="5">
        <f t="shared" si="1"/>
        <v>488.07</v>
      </c>
      <c r="G39" s="5">
        <f t="shared" si="2"/>
        <v>406.80500000000001</v>
      </c>
      <c r="H39" s="44">
        <f t="shared" si="3"/>
        <v>-0.18212488303820401</v>
      </c>
      <c r="I39" s="5">
        <f t="shared" si="4"/>
        <v>547041</v>
      </c>
      <c r="J39" s="26">
        <f t="shared" si="5"/>
        <v>0.528485350846431</v>
      </c>
      <c r="K39">
        <f>covariates!R48</f>
        <v>528467</v>
      </c>
      <c r="L39">
        <f>covariates!T48</f>
        <v>0.23766239286139526</v>
      </c>
      <c r="M39">
        <f>covariates!V48</f>
        <v>-0.43718145242390405</v>
      </c>
      <c r="N39">
        <f>covariates!U48</f>
        <v>0.87832437814012487</v>
      </c>
      <c r="O39">
        <f>covariates!W48</f>
        <v>0.57441929449176166</v>
      </c>
      <c r="P39">
        <f>covariates!X48</f>
        <v>0.72729914083169778</v>
      </c>
      <c r="Q39">
        <f t="shared" si="0"/>
        <v>-0.18212488303820401</v>
      </c>
      <c r="R39">
        <f t="shared" si="6"/>
        <v>1988</v>
      </c>
      <c r="S39">
        <f t="shared" si="7"/>
        <v>0.78379600711344766</v>
      </c>
      <c r="X39" t="s">
        <v>125</v>
      </c>
      <c r="AK39" s="48"/>
      <c r="AL39" s="48" t="s">
        <v>113</v>
      </c>
      <c r="AM39" s="48" t="s">
        <v>114</v>
      </c>
      <c r="AN39" s="48" t="s">
        <v>115</v>
      </c>
      <c r="AO39" s="48" t="s">
        <v>116</v>
      </c>
      <c r="AP39" s="48" t="s">
        <v>117</v>
      </c>
      <c r="AW39" s="46">
        <v>7</v>
      </c>
      <c r="AX39" s="46">
        <v>0.95361443522264377</v>
      </c>
      <c r="AY39" s="46">
        <v>0.4753605253559533</v>
      </c>
      <c r="AZ39" s="46">
        <v>1.0160600650030081</v>
      </c>
    </row>
    <row r="40" spans="1:52" ht="15" thickBot="1" x14ac:dyDescent="0.4">
      <c r="A40" t="s">
        <v>55</v>
      </c>
      <c r="B40">
        <v>1989</v>
      </c>
      <c r="C40" s="5">
        <f>'Orig data'!C43</f>
        <v>523657</v>
      </c>
      <c r="D40" s="5">
        <f>'Orig data'!Q43</f>
        <v>1094661</v>
      </c>
      <c r="E40" s="5">
        <f>'Orig data'!D43</f>
        <v>1593610.9601886882</v>
      </c>
      <c r="F40" s="5">
        <f t="shared" si="1"/>
        <v>523.65700000000004</v>
      </c>
      <c r="G40" s="5">
        <f t="shared" si="2"/>
        <v>1593.6109601886883</v>
      </c>
      <c r="H40" s="44">
        <f t="shared" si="3"/>
        <v>1.1129208745978811</v>
      </c>
      <c r="I40" s="5">
        <f t="shared" si="4"/>
        <v>571004</v>
      </c>
      <c r="J40" s="26">
        <f t="shared" si="5"/>
        <v>0.52162632997795666</v>
      </c>
      <c r="K40">
        <f>covariates!R49</f>
        <v>739647</v>
      </c>
      <c r="L40">
        <f>covariates!T49</f>
        <v>0.81918169168713972</v>
      </c>
      <c r="M40">
        <f>covariates!V49</f>
        <v>-0.48915912005853013</v>
      </c>
      <c r="N40">
        <f>covariates!U49</f>
        <v>8.7607802423182862E-2</v>
      </c>
      <c r="O40">
        <f>covariates!W49</f>
        <v>0.80436300187548815</v>
      </c>
      <c r="P40">
        <f>covariates!X49</f>
        <v>0.80539560488772288</v>
      </c>
      <c r="Q40">
        <f t="shared" si="0"/>
        <v>1.1129208745978811</v>
      </c>
      <c r="R40">
        <f t="shared" si="6"/>
        <v>1989</v>
      </c>
      <c r="S40">
        <f t="shared" si="7"/>
        <v>0.61866736141027312</v>
      </c>
      <c r="AK40" s="46" t="s">
        <v>110</v>
      </c>
      <c r="AL40" s="46">
        <v>5</v>
      </c>
      <c r="AM40" s="46">
        <v>18.233272071592101</v>
      </c>
      <c r="AN40" s="46">
        <v>3.6466544143184203</v>
      </c>
      <c r="AO40" s="46">
        <v>16.508108510942879</v>
      </c>
      <c r="AP40" s="46">
        <v>3.1934608902604249E-10</v>
      </c>
      <c r="AW40" s="46">
        <v>8</v>
      </c>
      <c r="AX40" s="46">
        <v>1.0717863517677748</v>
      </c>
      <c r="AY40" s="46">
        <v>0.14637565761748439</v>
      </c>
      <c r="AZ40" s="46">
        <v>0.31287086802656111</v>
      </c>
    </row>
    <row r="41" spans="1:52" x14ac:dyDescent="0.35">
      <c r="A41" t="s">
        <v>55</v>
      </c>
      <c r="B41">
        <v>1990</v>
      </c>
      <c r="C41" s="5">
        <f>'Orig data'!C44</f>
        <v>736039</v>
      </c>
      <c r="D41" s="5">
        <f>'Orig data'!Q44</f>
        <v>1594885</v>
      </c>
      <c r="E41" s="5">
        <f>'Orig data'!D44</f>
        <v>2146403.1629478713</v>
      </c>
      <c r="F41" s="5">
        <f t="shared" si="1"/>
        <v>736.03899999999999</v>
      </c>
      <c r="G41" s="5">
        <f t="shared" si="2"/>
        <v>2146.4031629478714</v>
      </c>
      <c r="H41" s="44">
        <f t="shared" si="3"/>
        <v>1.0702656662608701</v>
      </c>
      <c r="I41" s="5">
        <f t="shared" si="4"/>
        <v>858846</v>
      </c>
      <c r="J41" s="26">
        <f t="shared" si="5"/>
        <v>0.53850026804440443</v>
      </c>
      <c r="K41">
        <f>covariates!R50</f>
        <v>861972</v>
      </c>
      <c r="L41">
        <f>covariates!T50</f>
        <v>0.37539064784644011</v>
      </c>
      <c r="M41">
        <f>covariates!V50</f>
        <v>-0.53437066183625082</v>
      </c>
      <c r="N41">
        <f>covariates!U50</f>
        <v>-0.85136813124068367</v>
      </c>
      <c r="O41">
        <f>covariates!W50</f>
        <v>0.50588323973722782</v>
      </c>
      <c r="P41">
        <f>covariates!X50</f>
        <v>-0.34015402475930545</v>
      </c>
      <c r="Q41">
        <f t="shared" si="0"/>
        <v>1.0702656662608701</v>
      </c>
      <c r="R41">
        <f t="shared" si="6"/>
        <v>1990</v>
      </c>
      <c r="S41">
        <f t="shared" si="7"/>
        <v>0.6212655116507807</v>
      </c>
      <c r="X41" s="48" t="s">
        <v>126</v>
      </c>
      <c r="Y41" s="48" t="s">
        <v>127</v>
      </c>
      <c r="Z41" s="48" t="s">
        <v>128</v>
      </c>
      <c r="AA41" s="48" t="s">
        <v>129</v>
      </c>
      <c r="AK41" s="46" t="s">
        <v>111</v>
      </c>
      <c r="AL41" s="46">
        <v>60</v>
      </c>
      <c r="AM41" s="46">
        <v>13.254048137257385</v>
      </c>
      <c r="AN41" s="46">
        <v>0.22090080228762307</v>
      </c>
      <c r="AO41" s="46"/>
      <c r="AP41" s="46"/>
      <c r="AW41" s="46">
        <v>9</v>
      </c>
      <c r="AX41" s="46">
        <v>1.0689116746470799</v>
      </c>
      <c r="AY41" s="46">
        <v>-0.20357010037030776</v>
      </c>
      <c r="AZ41" s="46">
        <v>-0.43512121512412277</v>
      </c>
    </row>
    <row r="42" spans="1:52" ht="15" thickBot="1" x14ac:dyDescent="0.4">
      <c r="A42" t="s">
        <v>55</v>
      </c>
      <c r="B42">
        <v>1991</v>
      </c>
      <c r="C42" s="5">
        <f>'Orig data'!C45</f>
        <v>790060</v>
      </c>
      <c r="D42" s="5">
        <f>'Orig data'!Q45</f>
        <v>1454169</v>
      </c>
      <c r="E42" s="5">
        <f>'Orig data'!D45</f>
        <v>1813267.302483201</v>
      </c>
      <c r="F42" s="5">
        <f t="shared" si="1"/>
        <v>790.06</v>
      </c>
      <c r="G42" s="5">
        <f t="shared" si="2"/>
        <v>1813.2673024832011</v>
      </c>
      <c r="H42" s="44">
        <f t="shared" si="3"/>
        <v>0.83077674450295746</v>
      </c>
      <c r="I42" s="5">
        <f t="shared" si="4"/>
        <v>664109</v>
      </c>
      <c r="J42" s="26">
        <f t="shared" si="5"/>
        <v>0.45669313539210366</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0.83077674450295746</v>
      </c>
      <c r="R42">
        <f t="shared" si="6"/>
        <v>1991</v>
      </c>
      <c r="S42">
        <f t="shared" si="7"/>
        <v>0.35540522053118917</v>
      </c>
      <c r="X42" s="46">
        <v>1</v>
      </c>
      <c r="Y42" s="46">
        <v>1.0045113991925378</v>
      </c>
      <c r="Z42" s="46">
        <v>6.2172279953230936E-2</v>
      </c>
      <c r="AA42" s="46">
        <v>0.12302121104736397</v>
      </c>
      <c r="AK42" s="47" t="s">
        <v>9</v>
      </c>
      <c r="AL42" s="47">
        <v>65</v>
      </c>
      <c r="AM42" s="47">
        <v>31.487320208849486</v>
      </c>
      <c r="AN42" s="47"/>
      <c r="AO42" s="47"/>
      <c r="AP42" s="47"/>
      <c r="AW42" s="46">
        <v>10</v>
      </c>
      <c r="AX42" s="46">
        <v>0.93500371844422714</v>
      </c>
      <c r="AY42" s="46">
        <v>-0.47695263646041192</v>
      </c>
      <c r="AZ42" s="46">
        <v>-1.0194631252614863</v>
      </c>
    </row>
    <row r="43" spans="1:52" ht="15" thickBot="1" x14ac:dyDescent="0.4">
      <c r="A43" t="s">
        <v>55</v>
      </c>
      <c r="B43">
        <v>1992</v>
      </c>
      <c r="C43" s="5">
        <f>'Orig data'!C46</f>
        <v>757025</v>
      </c>
      <c r="D43" s="5">
        <f>'Orig data'!Q46</f>
        <v>1555718</v>
      </c>
      <c r="E43" s="5">
        <f>'Orig data'!D46</f>
        <v>1301468.2344712224</v>
      </c>
      <c r="F43" s="5">
        <f t="shared" si="1"/>
        <v>757.02499999999998</v>
      </c>
      <c r="G43" s="5">
        <f t="shared" si="2"/>
        <v>1301.4682344712223</v>
      </c>
      <c r="H43" s="44">
        <f t="shared" si="3"/>
        <v>0.54185203928518566</v>
      </c>
      <c r="I43" s="5">
        <f t="shared" si="4"/>
        <v>798693</v>
      </c>
      <c r="J43" s="26">
        <f t="shared" si="5"/>
        <v>0.51339188721863471</v>
      </c>
      <c r="K43">
        <f>covariates!R52</f>
        <v>1035859</v>
      </c>
      <c r="L43">
        <f>covariates!T52</f>
        <v>1.3127079387168843</v>
      </c>
      <c r="M43">
        <f>covariates!V52</f>
        <v>-0.40087219707546795</v>
      </c>
      <c r="N43">
        <f>covariates!U52</f>
        <v>-2.1362825667807126</v>
      </c>
      <c r="O43">
        <f>covariates!W52</f>
        <v>0.29967111829042281</v>
      </c>
      <c r="P43">
        <f>covariates!X52</f>
        <v>0.8675858108945117</v>
      </c>
      <c r="Q43">
        <f t="shared" si="0"/>
        <v>0.54185203928518566</v>
      </c>
      <c r="R43">
        <f t="shared" si="6"/>
        <v>1992</v>
      </c>
      <c r="S43">
        <f t="shared" si="7"/>
        <v>0.40458541140787263</v>
      </c>
      <c r="X43" s="46">
        <v>2</v>
      </c>
      <c r="Y43" s="46">
        <v>1.0017660451893704</v>
      </c>
      <c r="Z43" s="46">
        <v>-0.52802826183155194</v>
      </c>
      <c r="AA43" s="46">
        <v>-1.0448173412108619</v>
      </c>
      <c r="AW43" s="46">
        <v>11</v>
      </c>
      <c r="AX43" s="46">
        <v>1.0959711061988071</v>
      </c>
      <c r="AY43" s="46">
        <v>-0.58400773963553454</v>
      </c>
      <c r="AZ43" s="46">
        <v>-1.2482882154592216</v>
      </c>
    </row>
    <row r="44" spans="1:52" x14ac:dyDescent="0.35">
      <c r="A44" t="s">
        <v>55</v>
      </c>
      <c r="B44">
        <v>1993</v>
      </c>
      <c r="C44" s="5">
        <f>'Orig data'!C47</f>
        <v>788831</v>
      </c>
      <c r="D44" s="5">
        <f>'Orig data'!Q47</f>
        <v>1476663</v>
      </c>
      <c r="E44" s="5">
        <f>'Orig data'!D47</f>
        <v>1361315</v>
      </c>
      <c r="F44" s="5">
        <f t="shared" si="1"/>
        <v>788.83100000000002</v>
      </c>
      <c r="G44" s="5">
        <f t="shared" si="2"/>
        <v>1361.3150000000001</v>
      </c>
      <c r="H44" s="44">
        <f t="shared" si="3"/>
        <v>0.54565432061770003</v>
      </c>
      <c r="I44" s="5">
        <f t="shared" si="4"/>
        <v>687832</v>
      </c>
      <c r="J44" s="26">
        <f t="shared" si="5"/>
        <v>0.46580160808525711</v>
      </c>
      <c r="K44">
        <f>covariates!R53</f>
        <v>985479</v>
      </c>
      <c r="L44">
        <f>covariates!T53</f>
        <v>0.88804581917966219</v>
      </c>
      <c r="M44">
        <f>covariates!V53</f>
        <v>-0.31450681719552676</v>
      </c>
      <c r="N44">
        <f>covariates!U53</f>
        <v>-1.9633133158426319</v>
      </c>
      <c r="O44">
        <f>covariates!W53</f>
        <v>1.2101671168896873</v>
      </c>
      <c r="P44">
        <f>covariates!X53</f>
        <v>1.3503136121773469</v>
      </c>
      <c r="Q44">
        <f t="shared" si="0"/>
        <v>0.54565432061770003</v>
      </c>
      <c r="R44">
        <f t="shared" si="6"/>
        <v>1993</v>
      </c>
      <c r="S44">
        <f t="shared" si="7"/>
        <v>0.46904115170271082</v>
      </c>
      <c r="X44" s="46">
        <v>3</v>
      </c>
      <c r="Y44" s="46">
        <v>1.0254428275039795</v>
      </c>
      <c r="Z44" s="46">
        <v>-0.20367060492002687</v>
      </c>
      <c r="AA44" s="46">
        <v>-0.4030060420955951</v>
      </c>
      <c r="AK44" s="48"/>
      <c r="AL44" s="48" t="s">
        <v>118</v>
      </c>
      <c r="AM44" s="48" t="s">
        <v>107</v>
      </c>
      <c r="AN44" s="48" t="s">
        <v>119</v>
      </c>
      <c r="AO44" s="48" t="s">
        <v>120</v>
      </c>
      <c r="AP44" s="48" t="s">
        <v>121</v>
      </c>
      <c r="AQ44" s="48" t="s">
        <v>122</v>
      </c>
      <c r="AR44" s="48" t="s">
        <v>123</v>
      </c>
      <c r="AS44" s="48" t="s">
        <v>124</v>
      </c>
      <c r="AW44" s="46">
        <v>12</v>
      </c>
      <c r="AX44" s="46">
        <v>0.98470675512554318</v>
      </c>
      <c r="AY44" s="46">
        <v>-0.13074020170390432</v>
      </c>
      <c r="AZ44" s="46">
        <v>-0.27945083942825072</v>
      </c>
    </row>
    <row r="45" spans="1:52" x14ac:dyDescent="0.35">
      <c r="A45" t="s">
        <v>55</v>
      </c>
      <c r="B45">
        <v>1994</v>
      </c>
      <c r="C45" s="5">
        <f>'Orig data'!C48</f>
        <v>1666079</v>
      </c>
      <c r="D45" s="5">
        <f>'Orig data'!Q48</f>
        <v>2295288</v>
      </c>
      <c r="E45" s="5">
        <f>'Orig data'!D48</f>
        <v>3442899</v>
      </c>
      <c r="F45" s="5">
        <f t="shared" si="1"/>
        <v>1666.079</v>
      </c>
      <c r="G45" s="5">
        <f t="shared" si="2"/>
        <v>3442.8989999999999</v>
      </c>
      <c r="H45" s="44">
        <f t="shared" si="3"/>
        <v>0.72584088745574638</v>
      </c>
      <c r="I45" s="5">
        <f t="shared" si="4"/>
        <v>629209</v>
      </c>
      <c r="J45" s="26">
        <f t="shared" si="5"/>
        <v>0.2741307408917748</v>
      </c>
      <c r="K45">
        <f>covariates!R54</f>
        <v>1666079</v>
      </c>
      <c r="L45">
        <f>covariates!T54</f>
        <v>1.0028193650005346</v>
      </c>
      <c r="M45">
        <f>covariates!V54</f>
        <v>-0.22091940822865835</v>
      </c>
      <c r="N45">
        <f>covariates!U54</f>
        <v>-1.3208560980726174</v>
      </c>
      <c r="O45">
        <f>covariates!W54</f>
        <v>-6.2764293466875412E-2</v>
      </c>
      <c r="P45">
        <f>covariates!X54</f>
        <v>-0.73534476773523816</v>
      </c>
      <c r="Q45">
        <f t="shared" si="0"/>
        <v>0.72584088745574638</v>
      </c>
      <c r="R45">
        <f t="shared" si="6"/>
        <v>1994</v>
      </c>
      <c r="S45">
        <f t="shared" si="7"/>
        <v>0.11772770647165157</v>
      </c>
      <c r="X45" s="46">
        <v>4</v>
      </c>
      <c r="Y45" s="46">
        <v>1.0562939327108438</v>
      </c>
      <c r="Z45" s="46">
        <v>0.70875202172556317</v>
      </c>
      <c r="AA45" s="46">
        <v>1.4024181212356404</v>
      </c>
      <c r="AK45" s="46" t="s">
        <v>112</v>
      </c>
      <c r="AL45" s="46">
        <v>1.0420955962043073</v>
      </c>
      <c r="AM45" s="46">
        <v>9.2567433811656649E-2</v>
      </c>
      <c r="AN45" s="46">
        <v>11.257691320736173</v>
      </c>
      <c r="AO45" s="46">
        <v>1.9938145310269171E-16</v>
      </c>
      <c r="AP45" s="46">
        <v>0.85693315996140118</v>
      </c>
      <c r="AQ45" s="46">
        <v>1.2272580324472133</v>
      </c>
      <c r="AR45" s="46">
        <v>0.85693315996140118</v>
      </c>
      <c r="AS45" s="46">
        <v>1.2272580324472133</v>
      </c>
      <c r="AW45" s="46">
        <v>13</v>
      </c>
      <c r="AX45" s="46">
        <v>1.0691425327343802</v>
      </c>
      <c r="AY45" s="46">
        <v>-0.37044356501349274</v>
      </c>
      <c r="AZ45" s="46">
        <v>-0.79180515139684726</v>
      </c>
    </row>
    <row r="46" spans="1:52" x14ac:dyDescent="0.35">
      <c r="A46" t="s">
        <v>55</v>
      </c>
      <c r="B46">
        <v>1995</v>
      </c>
      <c r="C46" s="5">
        <f>'Orig data'!C49</f>
        <v>1628542</v>
      </c>
      <c r="D46" s="5">
        <f>'Orig data'!Q49</f>
        <v>1844441</v>
      </c>
      <c r="E46" s="5">
        <f>'Orig data'!D49</f>
        <v>3112653</v>
      </c>
      <c r="F46" s="5">
        <f t="shared" si="1"/>
        <v>1628.5419999999999</v>
      </c>
      <c r="G46" s="5">
        <f t="shared" si="2"/>
        <v>3112.6529999999998</v>
      </c>
      <c r="H46" s="44">
        <f t="shared" si="3"/>
        <v>0.64779028120275439</v>
      </c>
      <c r="I46" s="5">
        <f t="shared" si="4"/>
        <v>215899</v>
      </c>
      <c r="J46" s="26">
        <f t="shared" si="5"/>
        <v>0.11705389329341519</v>
      </c>
      <c r="K46">
        <f>covariates!R55</f>
        <v>1628542</v>
      </c>
      <c r="L46">
        <f>covariates!T55</f>
        <v>1.3930494207914943</v>
      </c>
      <c r="M46">
        <f>covariates!V55</f>
        <v>-0.14591972996097652</v>
      </c>
      <c r="N46">
        <f>covariates!U55</f>
        <v>-0.67839888030260287</v>
      </c>
      <c r="O46">
        <f>covariates!W55</f>
        <v>-1.1852272672490451</v>
      </c>
      <c r="P46">
        <f>covariates!X55</f>
        <v>-1.3879316172562517</v>
      </c>
      <c r="Q46">
        <f t="shared" si="0"/>
        <v>0.64779028120275439</v>
      </c>
      <c r="R46">
        <f t="shared" si="6"/>
        <v>1995</v>
      </c>
      <c r="S46">
        <f t="shared" si="7"/>
        <v>7.7232328468119005E-2</v>
      </c>
      <c r="X46" s="46">
        <v>5</v>
      </c>
      <c r="Y46" s="46">
        <v>1.0416571005945097</v>
      </c>
      <c r="Z46" s="46">
        <v>0.63779301280412315</v>
      </c>
      <c r="AA46" s="46">
        <v>1.2620104794569733</v>
      </c>
      <c r="AK46" s="46" t="s">
        <v>30</v>
      </c>
      <c r="AL46" s="46">
        <v>-5.2323213662032566E-7</v>
      </c>
      <c r="AM46" s="46">
        <v>9.0568481577689287E-8</v>
      </c>
      <c r="AN46" s="46">
        <v>-5.7771989494104439</v>
      </c>
      <c r="AO46" s="46">
        <v>2.8848141491803077E-7</v>
      </c>
      <c r="AP46" s="46">
        <v>-7.0439607306331627E-7</v>
      </c>
      <c r="AQ46" s="46">
        <v>-3.4206820017733506E-7</v>
      </c>
      <c r="AR46" s="46">
        <v>-7.0439607306331627E-7</v>
      </c>
      <c r="AS46" s="46">
        <v>-3.4206820017733506E-7</v>
      </c>
      <c r="AW46" s="46">
        <v>14</v>
      </c>
      <c r="AX46" s="46">
        <v>1.0328950870025646</v>
      </c>
      <c r="AY46" s="46">
        <v>0.24314649257759213</v>
      </c>
      <c r="AZ46" s="46">
        <v>0.51971383376574609</v>
      </c>
    </row>
    <row r="47" spans="1:52" x14ac:dyDescent="0.35">
      <c r="A47" t="s">
        <v>73</v>
      </c>
      <c r="B47">
        <v>1996</v>
      </c>
      <c r="C47" s="5">
        <f>'Orig data'!C50</f>
        <v>1186180</v>
      </c>
      <c r="D47" s="5">
        <f>'Orig data'!R50</f>
        <v>1248442.946191224</v>
      </c>
      <c r="E47" s="5">
        <f>'Orig data'!D50</f>
        <v>1431408</v>
      </c>
      <c r="F47" s="5">
        <f t="shared" si="1"/>
        <v>1186.18</v>
      </c>
      <c r="G47" s="5">
        <f t="shared" si="2"/>
        <v>1431.4079999999999</v>
      </c>
      <c r="H47" s="44">
        <f t="shared" si="3"/>
        <v>0.18792051552344743</v>
      </c>
      <c r="I47" s="5">
        <f t="shared" si="4"/>
        <v>62262.946191224037</v>
      </c>
      <c r="J47" s="26">
        <f t="shared" si="5"/>
        <v>4.9872480261254341E-2</v>
      </c>
      <c r="K47">
        <f>covariates!R56</f>
        <v>1186180</v>
      </c>
      <c r="L47">
        <f>covariates!T56</f>
        <v>1.4313072693984519</v>
      </c>
      <c r="M47">
        <f>covariates!V56</f>
        <v>-6.2940749098387677E-2</v>
      </c>
      <c r="N47">
        <f>covariates!U56</f>
        <v>-1.1973066331168454</v>
      </c>
      <c r="O47">
        <f>covariates!W56</f>
        <v>-0.12962243812786722</v>
      </c>
      <c r="P47">
        <f>covariates!X56</f>
        <v>-0.26913195325044026</v>
      </c>
      <c r="Q47">
        <f t="shared" si="0"/>
        <v>0.18792051552344743</v>
      </c>
      <c r="R47">
        <f t="shared" si="6"/>
        <v>1996</v>
      </c>
      <c r="S47">
        <f t="shared" si="7"/>
        <v>0.2719058960358296</v>
      </c>
      <c r="X47" s="46">
        <v>6</v>
      </c>
      <c r="Y47" s="46">
        <v>1.0887224788919039</v>
      </c>
      <c r="Z47" s="46">
        <v>1.6688181268660085</v>
      </c>
      <c r="AA47" s="46">
        <v>3.3021151410127905</v>
      </c>
      <c r="AK47" s="46" t="s">
        <v>90</v>
      </c>
      <c r="AL47" s="54">
        <v>-0.12083798670754148</v>
      </c>
      <c r="AM47" s="46">
        <v>6.4909991034019912E-2</v>
      </c>
      <c r="AN47" s="46">
        <v>-1.8616238391437954</v>
      </c>
      <c r="AO47" s="46">
        <v>6.7556240439810275E-2</v>
      </c>
      <c r="AP47" s="46">
        <v>-0.2506773003998567</v>
      </c>
      <c r="AQ47" s="46">
        <v>9.0013269847737665E-3</v>
      </c>
      <c r="AR47" s="46">
        <v>-0.2506773003998567</v>
      </c>
      <c r="AS47" s="46">
        <v>9.0013269847737665E-3</v>
      </c>
      <c r="AW47" s="46">
        <v>15</v>
      </c>
      <c r="AX47" s="46">
        <v>1.1156864342072976</v>
      </c>
      <c r="AY47" s="46">
        <v>0.41186155684604264</v>
      </c>
      <c r="AZ47" s="46">
        <v>0.88033409990842704</v>
      </c>
    </row>
    <row r="48" spans="1:52" x14ac:dyDescent="0.35">
      <c r="A48" t="s">
        <v>73</v>
      </c>
      <c r="B48">
        <v>1997</v>
      </c>
      <c r="C48" s="5">
        <f>'Orig data'!C51</f>
        <v>1045815</v>
      </c>
      <c r="D48" s="5">
        <f>'Orig data'!R51</f>
        <v>1134098.414512618</v>
      </c>
      <c r="E48" s="5">
        <f>'Orig data'!D51</f>
        <v>2858328</v>
      </c>
      <c r="F48" s="5">
        <f t="shared" si="1"/>
        <v>1045.8150000000001</v>
      </c>
      <c r="G48" s="5">
        <f t="shared" si="2"/>
        <v>2858.328</v>
      </c>
      <c r="H48" s="44">
        <f t="shared" si="3"/>
        <v>1.0054403527372759</v>
      </c>
      <c r="I48" s="5">
        <f t="shared" si="4"/>
        <v>88283.414512617979</v>
      </c>
      <c r="J48" s="26">
        <f t="shared" si="5"/>
        <v>7.784457978504275E-2</v>
      </c>
      <c r="K48">
        <f>covariates!R57</f>
        <v>1045815</v>
      </c>
      <c r="L48">
        <f>covariates!T57</f>
        <v>1.3547915721845367</v>
      </c>
      <c r="M48">
        <f>covariates!V57</f>
        <v>2.7720142388261978E-2</v>
      </c>
      <c r="N48">
        <f>covariates!U57</f>
        <v>0.85361448514897043</v>
      </c>
      <c r="O48">
        <f>covariates!W57</f>
        <v>-0.61621392372743711</v>
      </c>
      <c r="P48">
        <f>covariates!X57</f>
        <v>-0.54897412018810221</v>
      </c>
      <c r="Q48">
        <f t="shared" si="0"/>
        <v>1.0054403527372759</v>
      </c>
      <c r="R48">
        <f t="shared" si="6"/>
        <v>1997</v>
      </c>
      <c r="S48">
        <f t="shared" si="7"/>
        <v>0.33575910866229453</v>
      </c>
      <c r="X48" s="46">
        <v>7</v>
      </c>
      <c r="Y48" s="46">
        <v>1.0573526382877561</v>
      </c>
      <c r="Z48" s="46">
        <v>0.37162232229084102</v>
      </c>
      <c r="AA48" s="46">
        <v>0.73533459243965271</v>
      </c>
      <c r="AK48" s="46" t="s">
        <v>92</v>
      </c>
      <c r="AL48" s="54">
        <v>-0.16535644528012636</v>
      </c>
      <c r="AM48" s="46">
        <v>8.0684495529543626E-2</v>
      </c>
      <c r="AN48" s="46">
        <v>-2.049420327844512</v>
      </c>
      <c r="AO48" s="46">
        <v>4.4800411325327298E-2</v>
      </c>
      <c r="AP48" s="46">
        <v>-0.32674946595819188</v>
      </c>
      <c r="AQ48" s="46">
        <v>-3.9634246020608666E-3</v>
      </c>
      <c r="AR48" s="46">
        <v>-0.32674946595819188</v>
      </c>
      <c r="AS48" s="46">
        <v>-3.9634246020608666E-3</v>
      </c>
      <c r="AW48" s="46">
        <v>16</v>
      </c>
      <c r="AX48" s="46">
        <v>0.9432720095772964</v>
      </c>
      <c r="AY48" s="46">
        <v>-0.42791535854751339</v>
      </c>
      <c r="AZ48" s="46">
        <v>-0.91464832233597826</v>
      </c>
    </row>
    <row r="49" spans="1:52" x14ac:dyDescent="0.35">
      <c r="A49" t="s">
        <v>73</v>
      </c>
      <c r="B49">
        <v>1998</v>
      </c>
      <c r="C49" s="5">
        <f>'Orig data'!C52</f>
        <v>3561043</v>
      </c>
      <c r="D49" s="5">
        <f>'Orig data'!R52</f>
        <v>4069680.1971950848</v>
      </c>
      <c r="E49" s="5">
        <f>'Orig data'!D52</f>
        <v>2785129</v>
      </c>
      <c r="F49" s="5">
        <f t="shared" si="1"/>
        <v>3561.0430000000001</v>
      </c>
      <c r="G49" s="5">
        <f t="shared" si="2"/>
        <v>2785.1289999999999</v>
      </c>
      <c r="H49" s="44">
        <f t="shared" si="3"/>
        <v>-0.24575928760684423</v>
      </c>
      <c r="I49" s="5">
        <f t="shared" si="4"/>
        <v>508637.19719508477</v>
      </c>
      <c r="J49" s="26">
        <f t="shared" si="5"/>
        <v>0.12498210487046353</v>
      </c>
      <c r="K49">
        <f>covariates!R58</f>
        <v>3561043</v>
      </c>
      <c r="L49">
        <f>covariates!T58</f>
        <v>-0.76086745578018145</v>
      </c>
      <c r="M49">
        <f>covariates!V58</f>
        <v>0.14210077735627383</v>
      </c>
      <c r="N49">
        <f>covariates!U58</f>
        <v>1.4960717029189849</v>
      </c>
      <c r="O49">
        <f>covariates!W58</f>
        <v>0.32229877253872885</v>
      </c>
      <c r="P49">
        <f>covariates!X58</f>
        <v>1.2775355841188252</v>
      </c>
      <c r="Q49">
        <f t="shared" si="0"/>
        <v>-0.24575928760684423</v>
      </c>
      <c r="R49">
        <f t="shared" si="6"/>
        <v>1998</v>
      </c>
      <c r="S49">
        <f t="shared" si="7"/>
        <v>-0.61784521235056</v>
      </c>
      <c r="X49" s="46">
        <v>8</v>
      </c>
      <c r="Y49" s="46">
        <v>1.0544738085098491</v>
      </c>
      <c r="Z49" s="46">
        <v>0.16368820087541014</v>
      </c>
      <c r="AA49" s="46">
        <v>0.32389226711655544</v>
      </c>
      <c r="AK49" s="46" t="s">
        <v>89</v>
      </c>
      <c r="AL49" s="54">
        <v>0.13998268367399308</v>
      </c>
      <c r="AM49" s="46">
        <v>7.2559932614852274E-2</v>
      </c>
      <c r="AN49" s="46">
        <v>1.9292008499652336</v>
      </c>
      <c r="AO49" s="46">
        <v>5.8439339146585736E-2</v>
      </c>
      <c r="AP49" s="46">
        <v>-5.1587915009974616E-3</v>
      </c>
      <c r="AQ49" s="46">
        <v>0.28512415884898362</v>
      </c>
      <c r="AR49" s="46">
        <v>-5.1587915009974616E-3</v>
      </c>
      <c r="AS49" s="46">
        <v>0.28512415884898362</v>
      </c>
      <c r="AW49" s="46">
        <v>17</v>
      </c>
      <c r="AX49" s="46">
        <v>1.0310646417709182</v>
      </c>
      <c r="AY49" s="46">
        <v>-0.12969818905266117</v>
      </c>
      <c r="AZ49" s="46">
        <v>-0.2772235879303202</v>
      </c>
    </row>
    <row r="50" spans="1:52" ht="15" thickBot="1" x14ac:dyDescent="0.4">
      <c r="A50" t="s">
        <v>73</v>
      </c>
      <c r="B50">
        <v>1999</v>
      </c>
      <c r="C50" s="5">
        <f>'Orig data'!C53</f>
        <v>2987256</v>
      </c>
      <c r="D50" s="5">
        <f>'Orig data'!R53</f>
        <v>3083677.2941336296</v>
      </c>
      <c r="E50" s="5">
        <f>'Orig data'!D53</f>
        <v>2232718</v>
      </c>
      <c r="F50" s="5">
        <f t="shared" si="1"/>
        <v>2987.2559999999999</v>
      </c>
      <c r="G50" s="5">
        <f t="shared" si="2"/>
        <v>2232.7179999999998</v>
      </c>
      <c r="H50" s="44">
        <f t="shared" si="3"/>
        <v>-0.29113556290450376</v>
      </c>
      <c r="I50" s="5">
        <f t="shared" si="4"/>
        <v>96421.29413362965</v>
      </c>
      <c r="J50" s="26">
        <f t="shared" si="5"/>
        <v>3.1268282941623295E-2</v>
      </c>
      <c r="K50">
        <f>covariates!R59</f>
        <v>2987256</v>
      </c>
      <c r="L50">
        <f>covariates!T59</f>
        <v>-0.23290914500417703</v>
      </c>
      <c r="M50">
        <f>covariates!V59</f>
        <v>0.20688339859684265</v>
      </c>
      <c r="N50">
        <f>covariates!U59</f>
        <v>1.619621167874757</v>
      </c>
      <c r="O50">
        <f>covariates!W59</f>
        <v>0.29296043280968836</v>
      </c>
      <c r="P50">
        <f>covariates!X59</f>
        <v>0.1060355855913865</v>
      </c>
      <c r="Q50">
        <f t="shared" si="0"/>
        <v>-0.29113556290450376</v>
      </c>
      <c r="R50">
        <f t="shared" si="6"/>
        <v>1999</v>
      </c>
      <c r="S50">
        <f t="shared" si="7"/>
        <v>-0.41837593745978024</v>
      </c>
      <c r="X50" s="46">
        <v>9</v>
      </c>
      <c r="Y50" s="46">
        <v>1.01629670339398</v>
      </c>
      <c r="Z50" s="46">
        <v>-0.15095512911720788</v>
      </c>
      <c r="AA50" s="46">
        <v>-0.29869714946564441</v>
      </c>
      <c r="AK50" s="47" t="s">
        <v>93</v>
      </c>
      <c r="AL50" s="55">
        <v>0.13276733555752185</v>
      </c>
      <c r="AM50" s="47">
        <v>8.1553929555792687E-2</v>
      </c>
      <c r="AN50" s="47">
        <v>1.6279698143385357</v>
      </c>
      <c r="AO50" s="47">
        <v>0.10877167932522151</v>
      </c>
      <c r="AP50" s="47">
        <v>-3.0364812109634709E-2</v>
      </c>
      <c r="AQ50" s="47">
        <v>0.29589948322467841</v>
      </c>
      <c r="AR50" s="47">
        <v>-3.0364812109634709E-2</v>
      </c>
      <c r="AS50" s="47">
        <v>0.29589948322467841</v>
      </c>
      <c r="AW50" s="46">
        <v>18</v>
      </c>
      <c r="AX50" s="46">
        <v>0.80436242048119366</v>
      </c>
      <c r="AY50" s="46">
        <v>-0.40986291559641314</v>
      </c>
      <c r="AZ50" s="46">
        <v>-0.87606210118388927</v>
      </c>
    </row>
    <row r="51" spans="1:52" x14ac:dyDescent="0.35">
      <c r="A51" t="s">
        <v>73</v>
      </c>
      <c r="B51">
        <v>2000</v>
      </c>
      <c r="C51" s="5">
        <f>'Orig data'!C54</f>
        <v>699976</v>
      </c>
      <c r="D51" s="5">
        <f>'Orig data'!R54</f>
        <v>821323.89458584297</v>
      </c>
      <c r="E51" s="5">
        <f>'Orig data'!D54</f>
        <v>2988615</v>
      </c>
      <c r="F51" s="5">
        <f t="shared" si="1"/>
        <v>699.976</v>
      </c>
      <c r="G51" s="5">
        <f t="shared" si="2"/>
        <v>2988.6149999999998</v>
      </c>
      <c r="H51" s="44">
        <f t="shared" si="3"/>
        <v>1.4515192996258222</v>
      </c>
      <c r="I51" s="5">
        <f t="shared" si="4"/>
        <v>121347.89458584297</v>
      </c>
      <c r="J51" s="26">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-4.4363575410768567E-2</v>
      </c>
      <c r="Q51">
        <f t="shared" si="0"/>
        <v>1.4515192996258222</v>
      </c>
      <c r="R51">
        <f t="shared" si="6"/>
        <v>2000</v>
      </c>
      <c r="S51">
        <f t="shared" si="7"/>
        <v>0.66017092751897155</v>
      </c>
      <c r="X51" s="46">
        <v>10</v>
      </c>
      <c r="Y51" s="46">
        <v>0.94870942473036779</v>
      </c>
      <c r="Z51" s="46">
        <v>-0.49065834274655257</v>
      </c>
      <c r="AA51" s="46">
        <v>-0.97087292890948029</v>
      </c>
      <c r="AW51" s="46">
        <v>19</v>
      </c>
      <c r="AX51" s="46">
        <v>1.0265947956110784</v>
      </c>
      <c r="AY51" s="46">
        <v>0.18697142399507705</v>
      </c>
      <c r="AZ51" s="46">
        <v>0.39964234951122402</v>
      </c>
    </row>
    <row r="52" spans="1:52" x14ac:dyDescent="0.35">
      <c r="A52" t="s">
        <v>73</v>
      </c>
      <c r="B52">
        <v>2001</v>
      </c>
      <c r="C52" s="5">
        <f>'Orig data'!C55</f>
        <v>3151893</v>
      </c>
      <c r="D52" s="5">
        <f>'Orig data'!R55</f>
        <v>3396137.3550203633</v>
      </c>
      <c r="E52" s="5">
        <f>'Orig data'!D55</f>
        <v>2160110</v>
      </c>
      <c r="F52" s="5">
        <f t="shared" si="1"/>
        <v>3151.893</v>
      </c>
      <c r="G52" s="5">
        <f t="shared" si="2"/>
        <v>2160.11</v>
      </c>
      <c r="H52" s="44">
        <f t="shared" si="3"/>
        <v>-0.37784407839360423</v>
      </c>
      <c r="I52" s="5">
        <f t="shared" si="4"/>
        <v>244244.35502036335</v>
      </c>
      <c r="J52" s="26">
        <f t="shared" si="5"/>
        <v>7.1918279353250375E-2</v>
      </c>
      <c r="K52">
        <f>covariates!R61</f>
        <v>3151893</v>
      </c>
      <c r="L52">
        <f>covariates!T61</f>
        <v>-0.19847708125791444</v>
      </c>
      <c r="M52">
        <f>covariates!V61</f>
        <v>0.52644155175049623</v>
      </c>
      <c r="N52">
        <f>covariates!U61</f>
        <v>1.9408497767597643</v>
      </c>
      <c r="O52">
        <f>covariates!W61</f>
        <v>1.2106818759839166</v>
      </c>
      <c r="P52">
        <f>covariates!X61</f>
        <v>-0.18689697648091311</v>
      </c>
      <c r="Q52">
        <f t="shared" si="0"/>
        <v>-0.37784407839360423</v>
      </c>
      <c r="R52">
        <f t="shared" si="6"/>
        <v>2001</v>
      </c>
      <c r="S52">
        <f t="shared" si="7"/>
        <v>-0.54498304583109891</v>
      </c>
      <c r="X52" s="46">
        <v>11</v>
      </c>
      <c r="Y52" s="46">
        <v>1.0039198588272145</v>
      </c>
      <c r="Z52" s="46">
        <v>-0.49195649226394189</v>
      </c>
      <c r="AA52" s="46">
        <v>-0.97344159658372231</v>
      </c>
      <c r="AW52" s="46">
        <v>20</v>
      </c>
      <c r="AX52" s="46">
        <v>1.1351604439370273</v>
      </c>
      <c r="AY52" s="46">
        <v>-7.0910783783296294E-2</v>
      </c>
      <c r="AZ52" s="46">
        <v>-0.15156836072225185</v>
      </c>
    </row>
    <row r="53" spans="1:52" x14ac:dyDescent="0.35">
      <c r="A53" t="s">
        <v>73</v>
      </c>
      <c r="B53">
        <v>2002</v>
      </c>
      <c r="C53" s="5">
        <f>'Orig data'!C56</f>
        <v>2302250</v>
      </c>
      <c r="D53" s="5">
        <f>'Orig data'!R56</f>
        <v>2701922.5280034388</v>
      </c>
      <c r="E53" s="5">
        <f>'Orig data'!D56</f>
        <v>2425524</v>
      </c>
      <c r="F53" s="5">
        <f t="shared" si="1"/>
        <v>2302.25</v>
      </c>
      <c r="G53" s="5">
        <f t="shared" si="2"/>
        <v>2425.5239999999999</v>
      </c>
      <c r="H53" s="44">
        <f t="shared" si="3"/>
        <v>5.2160677901878581E-2</v>
      </c>
      <c r="I53" s="5">
        <f t="shared" si="4"/>
        <v>399672.52800343884</v>
      </c>
      <c r="J53" s="26">
        <f t="shared" si="5"/>
        <v>0.14792153507775563</v>
      </c>
      <c r="K53">
        <f>covariates!R62</f>
        <v>2302250</v>
      </c>
      <c r="L53">
        <f>covariates!T62</f>
        <v>0.6011119546274849</v>
      </c>
      <c r="M53">
        <f>covariates!V62</f>
        <v>0.64364080472810037</v>
      </c>
      <c r="N53">
        <f>covariates!U62</f>
        <v>1.7184607398393745</v>
      </c>
      <c r="O53">
        <f>covariates!W62</f>
        <v>-0.38198985928266987</v>
      </c>
      <c r="P53">
        <f>covariates!X62</f>
        <v>-0.64688128425350599</v>
      </c>
      <c r="Q53">
        <f t="shared" si="0"/>
        <v>5.2160677901878581E-2</v>
      </c>
      <c r="R53">
        <f t="shared" si="6"/>
        <v>2002</v>
      </c>
      <c r="S53">
        <f t="shared" si="7"/>
        <v>-0.25473316908315397</v>
      </c>
      <c r="X53" s="46">
        <v>12</v>
      </c>
      <c r="Y53" s="46">
        <v>0.99936954832472702</v>
      </c>
      <c r="Z53" s="46">
        <v>-0.14540299490308817</v>
      </c>
      <c r="AA53" s="46">
        <v>-0.28771105927509127</v>
      </c>
      <c r="AW53" s="46">
        <v>21</v>
      </c>
      <c r="AX53" s="46">
        <v>1.1463509671033982</v>
      </c>
      <c r="AY53" s="46">
        <v>-0.438207370837147</v>
      </c>
      <c r="AZ53" s="46">
        <v>-0.93664699937839013</v>
      </c>
    </row>
    <row r="54" spans="1:52" x14ac:dyDescent="0.35">
      <c r="A54" t="s">
        <v>73</v>
      </c>
      <c r="B54">
        <v>2003</v>
      </c>
      <c r="C54" s="5">
        <f>'Orig data'!C57</f>
        <v>1494491</v>
      </c>
      <c r="D54" s="5">
        <f>'Orig data'!R57</f>
        <v>2006286.4153176486</v>
      </c>
      <c r="E54" s="5">
        <f>'Orig data'!D57</f>
        <v>1619282</v>
      </c>
      <c r="F54" s="5">
        <f t="shared" si="1"/>
        <v>1494.491</v>
      </c>
      <c r="G54" s="5">
        <f t="shared" si="2"/>
        <v>1619.2819999999999</v>
      </c>
      <c r="H54" s="44">
        <f t="shared" si="3"/>
        <v>8.0197160478462634E-2</v>
      </c>
      <c r="I54" s="5">
        <f t="shared" si="4"/>
        <v>511795.41531764856</v>
      </c>
      <c r="J54" s="26">
        <f t="shared" si="5"/>
        <v>0.25509588830895696</v>
      </c>
      <c r="K54">
        <f>covariates!R63</f>
        <v>1494491</v>
      </c>
      <c r="L54">
        <f>covariates!T63</f>
        <v>0.59346038490609498</v>
      </c>
      <c r="M54">
        <f>covariates!V63</f>
        <v>0.61044746962364571</v>
      </c>
      <c r="N54">
        <f>covariates!U63</f>
        <v>0.35941662532588237</v>
      </c>
      <c r="O54">
        <f>covariates!W63</f>
        <v>-0.90101697933423375</v>
      </c>
      <c r="P54">
        <f>covariates!X63</f>
        <v>-1.2814503982605907</v>
      </c>
      <c r="Q54">
        <f t="shared" si="0"/>
        <v>8.0197160478462634E-2</v>
      </c>
      <c r="R54">
        <f t="shared" si="6"/>
        <v>2003</v>
      </c>
      <c r="S54">
        <f t="shared" si="7"/>
        <v>0.1356761747879171</v>
      </c>
      <c r="X54" s="46">
        <v>13</v>
      </c>
      <c r="Y54" s="46">
        <v>0.97874147404678435</v>
      </c>
      <c r="Z54" s="46">
        <v>-0.28004250632589689</v>
      </c>
      <c r="AA54" s="46">
        <v>-0.55412425439225954</v>
      </c>
      <c r="AK54" t="s">
        <v>125</v>
      </c>
      <c r="AW54" s="46">
        <v>22</v>
      </c>
      <c r="AX54" s="46">
        <v>1.0376347391563894</v>
      </c>
      <c r="AY54" s="46">
        <v>-0.21302544618718178</v>
      </c>
      <c r="AZ54" s="46">
        <v>-0.45533155816454451</v>
      </c>
    </row>
    <row r="55" spans="1:52" ht="15" thickBot="1" x14ac:dyDescent="0.4">
      <c r="A55" t="s">
        <v>73</v>
      </c>
      <c r="B55">
        <v>2004</v>
      </c>
      <c r="C55" s="5">
        <f>'Orig data'!C58</f>
        <v>2716634</v>
      </c>
      <c r="D55" s="5">
        <f>'Orig data'!R58</f>
        <v>3352861.1030926574</v>
      </c>
      <c r="E55" s="5">
        <f>'Orig data'!D58</f>
        <v>1231521</v>
      </c>
      <c r="F55" s="5">
        <f t="shared" si="1"/>
        <v>2716.634</v>
      </c>
      <c r="G55" s="5">
        <f t="shared" si="2"/>
        <v>1231.521</v>
      </c>
      <c r="H55" s="44">
        <f t="shared" si="3"/>
        <v>-0.79114362316427123</v>
      </c>
      <c r="I55" s="5">
        <f t="shared" si="4"/>
        <v>636227.1030926574</v>
      </c>
      <c r="J55" s="26">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-0.79114362316427123</v>
      </c>
      <c r="R55">
        <f t="shared" si="6"/>
        <v>2004</v>
      </c>
      <c r="S55">
        <f t="shared" si="7"/>
        <v>-0.50758822156889194</v>
      </c>
      <c r="X55" s="46">
        <v>14</v>
      </c>
      <c r="Y55" s="46">
        <v>0.91127553699657171</v>
      </c>
      <c r="Z55" s="46">
        <v>0.36476604258358503</v>
      </c>
      <c r="AA55" s="46">
        <v>0.72176797024885331</v>
      </c>
      <c r="AW55" s="46">
        <v>23</v>
      </c>
      <c r="AX55" s="46">
        <v>1.1088526515044037</v>
      </c>
      <c r="AY55" s="46">
        <v>2.1224347833526114E-2</v>
      </c>
      <c r="AZ55" s="46">
        <v>4.5366013981137397E-2</v>
      </c>
    </row>
    <row r="56" spans="1:52" x14ac:dyDescent="0.35">
      <c r="A56" t="s">
        <v>73</v>
      </c>
      <c r="B56">
        <v>2005</v>
      </c>
      <c r="C56" s="5">
        <f>'Orig data'!C59</f>
        <v>1331383</v>
      </c>
      <c r="D56" s="5">
        <f>'Orig data'!R59</f>
        <v>1804337.1315494739</v>
      </c>
      <c r="E56" s="5">
        <f>'Orig data'!D59</f>
        <v>884912</v>
      </c>
      <c r="F56" s="5">
        <f t="shared" si="1"/>
        <v>1331.383</v>
      </c>
      <c r="G56" s="5">
        <f t="shared" si="2"/>
        <v>884.91200000000003</v>
      </c>
      <c r="H56" s="44">
        <f t="shared" si="3"/>
        <v>-0.40848532553504846</v>
      </c>
      <c r="I56" s="5">
        <f t="shared" si="4"/>
        <v>472954.13154947385</v>
      </c>
      <c r="J56" s="26">
        <f t="shared" si="5"/>
        <v>0.2621207108581336</v>
      </c>
      <c r="K56">
        <f>covariates!R65</f>
        <v>1331383</v>
      </c>
      <c r="L56">
        <f>covariates!T65</f>
        <v>0.38304221756783002</v>
      </c>
      <c r="M56">
        <f>covariates!V65</f>
        <v>0.79345873404265144</v>
      </c>
      <c r="N56">
        <f>covariates!U65</f>
        <v>-0.99962748918761002</v>
      </c>
      <c r="O56">
        <f>covariates!W65</f>
        <v>-0.3000215995717041</v>
      </c>
      <c r="P56">
        <f>covariates!X65</f>
        <v>-0.42723179176768761</v>
      </c>
      <c r="Q56">
        <f t="shared" si="0"/>
        <v>-0.40848532553504846</v>
      </c>
      <c r="R56">
        <f t="shared" si="6"/>
        <v>2005</v>
      </c>
      <c r="S56">
        <f t="shared" si="7"/>
        <v>0.21417231547212168</v>
      </c>
      <c r="X56" s="46">
        <v>15</v>
      </c>
      <c r="Y56" s="46">
        <v>0.99657869121653475</v>
      </c>
      <c r="Z56" s="46">
        <v>0.53096929983680552</v>
      </c>
      <c r="AA56" s="46">
        <v>1.0506368166654341</v>
      </c>
      <c r="AK56" s="48" t="s">
        <v>126</v>
      </c>
      <c r="AL56" s="48" t="s">
        <v>127</v>
      </c>
      <c r="AM56" s="48" t="s">
        <v>128</v>
      </c>
      <c r="AN56" s="48" t="s">
        <v>129</v>
      </c>
      <c r="AW56" s="46">
        <v>24</v>
      </c>
      <c r="AX56" s="46">
        <v>1.1207081016491696</v>
      </c>
      <c r="AY56" s="46">
        <v>3.0453149815511393E-2</v>
      </c>
      <c r="AZ56" s="46">
        <v>6.5092130563271081E-2</v>
      </c>
    </row>
    <row r="57" spans="1:52" x14ac:dyDescent="0.35">
      <c r="A57" t="s">
        <v>73</v>
      </c>
      <c r="B57">
        <v>2006</v>
      </c>
      <c r="C57" s="5">
        <f>'Orig data'!C60</f>
        <v>1970621</v>
      </c>
      <c r="D57" s="5">
        <f>'Orig data'!R60</f>
        <v>2683669.7926117284</v>
      </c>
      <c r="E57" s="5">
        <f>'Orig data'!D60</f>
        <v>744365</v>
      </c>
      <c r="F57" s="5">
        <f t="shared" si="1"/>
        <v>1970.6210000000001</v>
      </c>
      <c r="G57" s="5">
        <f t="shared" si="2"/>
        <v>744.36500000000001</v>
      </c>
      <c r="H57" s="44">
        <f t="shared" si="3"/>
        <v>-0.97357249455406303</v>
      </c>
      <c r="I57" s="5">
        <f t="shared" si="4"/>
        <v>713048.79261172842</v>
      </c>
      <c r="J57" s="26">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-1.5695016868528551</v>
      </c>
      <c r="Q57">
        <f t="shared" si="0"/>
        <v>-0.97357249455406303</v>
      </c>
      <c r="R57">
        <f t="shared" si="6"/>
        <v>2006</v>
      </c>
      <c r="S57">
        <f t="shared" si="7"/>
        <v>-4.5646125776605179E-2</v>
      </c>
      <c r="X57" s="46">
        <v>16</v>
      </c>
      <c r="Y57" s="46">
        <v>0.84799588560864747</v>
      </c>
      <c r="Z57" s="46">
        <v>-0.33263923457886446</v>
      </c>
      <c r="AA57" s="46">
        <v>-0.65819817948679715</v>
      </c>
      <c r="AK57" s="46">
        <v>1</v>
      </c>
      <c r="AL57" s="46">
        <v>0.91840214895512806</v>
      </c>
      <c r="AM57" s="46">
        <v>0.14828153019064072</v>
      </c>
      <c r="AN57" s="46">
        <v>0.32837453107820508</v>
      </c>
      <c r="AW57" s="46">
        <v>25</v>
      </c>
      <c r="AX57" s="46">
        <v>1.1852557052709332</v>
      </c>
      <c r="AY57" s="46">
        <v>-0.17121463145908145</v>
      </c>
      <c r="AZ57" s="46">
        <v>-0.36596296976808207</v>
      </c>
    </row>
    <row r="58" spans="1:52" x14ac:dyDescent="0.35">
      <c r="A58" t="s">
        <v>73</v>
      </c>
      <c r="B58">
        <v>2007</v>
      </c>
      <c r="C58" s="5">
        <f>'Orig data'!C61</f>
        <v>1057248</v>
      </c>
      <c r="D58" s="5">
        <f>'Orig data'!R61</f>
        <v>1382634.3049989361</v>
      </c>
      <c r="E58" s="5">
        <f>'Orig data'!D61</f>
        <v>1296356</v>
      </c>
      <c r="F58" s="5">
        <f t="shared" si="1"/>
        <v>1057.248</v>
      </c>
      <c r="G58" s="5">
        <f t="shared" si="2"/>
        <v>1296.356</v>
      </c>
      <c r="H58" s="44">
        <f t="shared" si="3"/>
        <v>0.20388794589883796</v>
      </c>
      <c r="I58" s="5">
        <f t="shared" si="4"/>
        <v>325386.30499893613</v>
      </c>
      <c r="J58" s="26">
        <f t="shared" si="5"/>
        <v>0.23533793702535574</v>
      </c>
      <c r="K58">
        <f>covariates!R67</f>
        <v>1057248</v>
      </c>
      <c r="L58">
        <f>covariates!T67</f>
        <v>-1.2505679179492311</v>
      </c>
      <c r="M58">
        <f>covariates!V67</f>
        <v>1.2091667292228285</v>
      </c>
      <c r="N58">
        <f>covariates!U67</f>
        <v>0.92774416412243355</v>
      </c>
      <c r="O58">
        <f>covariates!W67</f>
        <v>-0.77366612001453161</v>
      </c>
      <c r="P58">
        <f>covariates!X67</f>
        <v>-1.992928833338022</v>
      </c>
      <c r="Q58">
        <f t="shared" si="0"/>
        <v>0.20388794589883796</v>
      </c>
      <c r="R58">
        <f t="shared" si="6"/>
        <v>2007</v>
      </c>
      <c r="S58">
        <f t="shared" si="7"/>
        <v>0.48893111349925067</v>
      </c>
      <c r="X58" s="46">
        <v>17</v>
      </c>
      <c r="Y58" s="46">
        <v>0.97893986758469276</v>
      </c>
      <c r="Z58" s="46">
        <v>-7.7573414866435764E-2</v>
      </c>
      <c r="AA58" s="46">
        <v>-0.1534956647741946</v>
      </c>
      <c r="AK58" s="46">
        <v>2</v>
      </c>
      <c r="AL58" s="46">
        <v>0.80493424016059412</v>
      </c>
      <c r="AM58" s="46">
        <v>-0.3311964568027756</v>
      </c>
      <c r="AN58" s="46">
        <v>-0.73344590561986911</v>
      </c>
      <c r="AW58" s="46">
        <v>26</v>
      </c>
      <c r="AX58" s="46">
        <v>1.0403617727374421</v>
      </c>
      <c r="AY58" s="46">
        <v>-0.23566298741480352</v>
      </c>
      <c r="AZ58" s="46">
        <v>-0.50371820447688243</v>
      </c>
    </row>
    <row r="59" spans="1:52" x14ac:dyDescent="0.35">
      <c r="A59" t="s">
        <v>73</v>
      </c>
      <c r="B59">
        <v>2008</v>
      </c>
      <c r="C59" s="5">
        <f>'Orig data'!C62</f>
        <v>982016</v>
      </c>
      <c r="D59" s="5">
        <f>'Orig data'!R62</f>
        <v>1231940.0157277284</v>
      </c>
      <c r="E59" s="5">
        <f>'Orig data'!D62</f>
        <v>1641562</v>
      </c>
      <c r="F59" s="5">
        <f t="shared" si="1"/>
        <v>982.01599999999996</v>
      </c>
      <c r="G59" s="5">
        <f t="shared" si="2"/>
        <v>1641.5619999999999</v>
      </c>
      <c r="H59" s="44">
        <f t="shared" si="3"/>
        <v>0.51379590505962547</v>
      </c>
      <c r="I59" s="5">
        <f t="shared" si="4"/>
        <v>249924.01572772837</v>
      </c>
      <c r="J59" s="26">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-1.1563723933311598</v>
      </c>
      <c r="Q59">
        <f t="shared" si="0"/>
        <v>0.51379590505962547</v>
      </c>
      <c r="R59">
        <f t="shared" si="6"/>
        <v>2008</v>
      </c>
      <c r="S59">
        <f t="shared" si="7"/>
        <v>0.38237910246406592</v>
      </c>
      <c r="X59" s="46">
        <v>18</v>
      </c>
      <c r="Y59" s="46">
        <v>0.60986296931180894</v>
      </c>
      <c r="Z59" s="46">
        <v>-0.21536346442702842</v>
      </c>
      <c r="AA59" s="46">
        <v>-0.42614287636064219</v>
      </c>
      <c r="AK59" s="46">
        <v>3</v>
      </c>
      <c r="AL59" s="46">
        <v>1.1995270177321773</v>
      </c>
      <c r="AM59" s="46">
        <v>-0.37775479514822463</v>
      </c>
      <c r="AN59" s="46">
        <v>-0.83655094171108846</v>
      </c>
      <c r="AW59" s="46">
        <v>27</v>
      </c>
      <c r="AX59" s="46">
        <v>0.7565957124371695</v>
      </c>
      <c r="AY59" s="46">
        <v>-0.7831801364156098</v>
      </c>
      <c r="AZ59" s="46">
        <v>-1.674009552475229</v>
      </c>
    </row>
    <row r="60" spans="1:52" x14ac:dyDescent="0.35">
      <c r="A60" t="s">
        <v>73</v>
      </c>
      <c r="B60">
        <v>2009</v>
      </c>
      <c r="C60" s="5">
        <f>'Orig data'!C63</f>
        <v>474550</v>
      </c>
      <c r="D60" s="5">
        <f>'Orig data'!R63</f>
        <v>816921.59766111372</v>
      </c>
      <c r="E60" s="5">
        <f>'Orig data'!D63</f>
        <v>1613902</v>
      </c>
      <c r="F60" s="5">
        <f t="shared" si="1"/>
        <v>474.55</v>
      </c>
      <c r="G60" s="5">
        <f t="shared" si="2"/>
        <v>1613.902</v>
      </c>
      <c r="H60" s="44">
        <f t="shared" si="3"/>
        <v>1.224043141698661</v>
      </c>
      <c r="I60" s="5">
        <f t="shared" si="4"/>
        <v>342371.59766111372</v>
      </c>
      <c r="J60" s="26">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1.224043141698661</v>
      </c>
      <c r="R60">
        <f t="shared" si="6"/>
        <v>2009</v>
      </c>
      <c r="S60">
        <f t="shared" si="7"/>
        <v>0.54331377552882065</v>
      </c>
      <c r="X60" s="46">
        <v>19</v>
      </c>
      <c r="Y60" s="46">
        <v>0.87202152506178077</v>
      </c>
      <c r="Z60" s="46">
        <v>0.34154469454437464</v>
      </c>
      <c r="AA60" s="46">
        <v>0.67581954500073693</v>
      </c>
      <c r="AK60" s="46">
        <v>4</v>
      </c>
      <c r="AL60" s="46">
        <v>1.3528298921986428</v>
      </c>
      <c r="AM60" s="46">
        <v>0.41221606223776419</v>
      </c>
      <c r="AN60" s="46">
        <v>0.91286659886905985</v>
      </c>
      <c r="AW60" s="46">
        <v>28</v>
      </c>
      <c r="AX60" s="46">
        <v>1.0313273260646059</v>
      </c>
      <c r="AY60" s="46">
        <v>-0.460324256639429</v>
      </c>
      <c r="AZ60" s="46">
        <v>-0.98392076997409428</v>
      </c>
    </row>
    <row r="61" spans="1:52" x14ac:dyDescent="0.35">
      <c r="A61" t="s">
        <v>73</v>
      </c>
      <c r="B61">
        <v>2010</v>
      </c>
      <c r="C61" s="5">
        <f>'Orig data'!C64</f>
        <v>608718</v>
      </c>
      <c r="D61" s="5">
        <f>'Orig data'!R64</f>
        <v>661736.70499843312</v>
      </c>
      <c r="E61" s="5">
        <f>'Orig data'!D64</f>
        <v>1521759</v>
      </c>
      <c r="F61" s="5">
        <f t="shared" si="1"/>
        <v>608.71799999999996</v>
      </c>
      <c r="G61" s="5">
        <f t="shared" si="2"/>
        <v>1521.759</v>
      </c>
      <c r="H61" s="44">
        <f t="shared" si="3"/>
        <v>0.91626707532000706</v>
      </c>
      <c r="I61" s="5">
        <f t="shared" si="4"/>
        <v>53018.704998433124</v>
      </c>
      <c r="J61" s="26">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1.7651058721613537</v>
      </c>
      <c r="Q61">
        <f t="shared" si="0"/>
        <v>0.91626707532000706</v>
      </c>
      <c r="R61">
        <f t="shared" si="6"/>
        <v>2010</v>
      </c>
      <c r="S61">
        <f t="shared" si="7"/>
        <v>0.55243559657018859</v>
      </c>
      <c r="X61" s="46">
        <v>20</v>
      </c>
      <c r="Y61" s="46">
        <v>0.93442144975255736</v>
      </c>
      <c r="Z61" s="46">
        <v>0.12982821040117365</v>
      </c>
      <c r="AA61" s="46">
        <v>0.25689300253551911</v>
      </c>
      <c r="AK61" s="46">
        <v>5</v>
      </c>
      <c r="AL61" s="46">
        <v>1.3525439867970221</v>
      </c>
      <c r="AM61" s="46">
        <v>0.32690612660161067</v>
      </c>
      <c r="AN61" s="46">
        <v>0.72394482233480384</v>
      </c>
      <c r="AW61" s="46">
        <v>29</v>
      </c>
      <c r="AX61" s="46">
        <v>0.97598709180226206</v>
      </c>
      <c r="AY61" s="46">
        <v>-0.28493298011339818</v>
      </c>
      <c r="AZ61" s="46">
        <v>-0.60903042396869989</v>
      </c>
    </row>
    <row r="62" spans="1:52" x14ac:dyDescent="0.35">
      <c r="A62" t="s">
        <v>73</v>
      </c>
      <c r="B62">
        <v>2011</v>
      </c>
      <c r="C62" s="5">
        <f>'Orig data'!C65</f>
        <v>1079068</v>
      </c>
      <c r="D62" s="5">
        <f>'Orig data'!R65</f>
        <v>1420924.6212415406</v>
      </c>
      <c r="E62" s="5">
        <f>'Orig data'!D65</f>
        <v>1567636</v>
      </c>
      <c r="F62" s="5">
        <f t="shared" si="1"/>
        <v>1079.068</v>
      </c>
      <c r="G62" s="5">
        <f t="shared" si="2"/>
        <v>1567.636</v>
      </c>
      <c r="H62" s="44">
        <f t="shared" si="3"/>
        <v>0.37347104651547813</v>
      </c>
      <c r="I62" s="5">
        <f t="shared" si="4"/>
        <v>341856.62124154065</v>
      </c>
      <c r="J62" s="26">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0.37347104651547813</v>
      </c>
      <c r="R62">
        <f t="shared" si="6"/>
        <v>2011</v>
      </c>
      <c r="S62">
        <f t="shared" si="7"/>
        <v>0.32165190610155836</v>
      </c>
      <c r="X62" s="46">
        <v>21</v>
      </c>
      <c r="Y62" s="46">
        <v>0.9326619963582623</v>
      </c>
      <c r="Z62" s="46">
        <v>-0.22451840009201107</v>
      </c>
      <c r="AA62" s="46">
        <v>-0.44425788313559228</v>
      </c>
      <c r="AK62" s="46">
        <v>6</v>
      </c>
      <c r="AL62" s="46">
        <v>1.3253866299651536</v>
      </c>
      <c r="AM62" s="46">
        <v>1.4321539757927588</v>
      </c>
      <c r="AN62" s="46">
        <v>3.1715540676448839</v>
      </c>
      <c r="AW62" s="46">
        <v>30</v>
      </c>
      <c r="AX62" s="46">
        <v>0.93254379544639099</v>
      </c>
      <c r="AY62" s="46">
        <v>-0.19072421557672581</v>
      </c>
      <c r="AZ62" s="46">
        <v>-0.40766375948323952</v>
      </c>
    </row>
    <row r="63" spans="1:52" x14ac:dyDescent="0.35">
      <c r="A63" t="s">
        <v>73</v>
      </c>
      <c r="B63">
        <v>2012</v>
      </c>
      <c r="C63" s="5">
        <f>'Orig data'!C66</f>
        <v>1381072</v>
      </c>
      <c r="D63" s="5">
        <f>'Orig data'!R66</f>
        <v>1702019.9096711003</v>
      </c>
      <c r="E63" s="5">
        <f>'Orig data'!D66</f>
        <v>2530282</v>
      </c>
      <c r="F63" s="5">
        <f t="shared" si="1"/>
        <v>1381.0719999999999</v>
      </c>
      <c r="G63" s="5">
        <f t="shared" si="2"/>
        <v>2530.2820000000002</v>
      </c>
      <c r="H63" s="44">
        <f t="shared" si="3"/>
        <v>0.60547074977719351</v>
      </c>
      <c r="I63" s="5">
        <f t="shared" si="4"/>
        <v>320947.90967110032</v>
      </c>
      <c r="J63" s="26">
        <f t="shared" si="5"/>
        <v>0.18856883391753071</v>
      </c>
      <c r="K63">
        <f>covariates!R72</f>
        <v>1381072</v>
      </c>
      <c r="L63">
        <f>covariates!T72</f>
        <v>1.0142967195826196</v>
      </c>
      <c r="M63">
        <f>covariates!V72</f>
        <v>2.2082101296986836</v>
      </c>
      <c r="N63">
        <f>covariates!U72</f>
        <v>0.95245405711358799</v>
      </c>
      <c r="O63">
        <f>covariates!W72</f>
        <v>1.9800759442088329</v>
      </c>
      <c r="P63">
        <f>covariates!X72</f>
        <v>0.67542146885303633</v>
      </c>
      <c r="Q63">
        <f t="shared" si="0"/>
        <v>0.60547074977719351</v>
      </c>
      <c r="R63">
        <f t="shared" si="6"/>
        <v>2012</v>
      </c>
      <c r="S63">
        <f t="shared" si="7"/>
        <v>-8.1690767305741263E-2</v>
      </c>
      <c r="X63" s="46">
        <v>22</v>
      </c>
      <c r="Y63" s="46">
        <v>0.85188488431810661</v>
      </c>
      <c r="Z63" s="46">
        <v>-2.7275591348899009E-2</v>
      </c>
      <c r="AA63" s="46">
        <v>-5.3970616523935026E-2</v>
      </c>
      <c r="AK63" s="46">
        <v>7</v>
      </c>
      <c r="AL63" s="46">
        <v>1.0435935897835429</v>
      </c>
      <c r="AM63" s="46">
        <v>0.38538137079505419</v>
      </c>
      <c r="AN63" s="46">
        <v>0.85344025488812625</v>
      </c>
      <c r="AW63" s="46">
        <v>31</v>
      </c>
      <c r="AX63" s="46">
        <v>0.90766201689544901</v>
      </c>
      <c r="AY63" s="46">
        <v>0.32426830508853111</v>
      </c>
      <c r="AZ63" s="46">
        <v>0.69310777309486127</v>
      </c>
    </row>
    <row r="64" spans="1:52" x14ac:dyDescent="0.35">
      <c r="A64" t="s">
        <v>73</v>
      </c>
      <c r="B64">
        <v>2013</v>
      </c>
      <c r="C64" s="5">
        <f>'Orig data'!C67</f>
        <v>1167839</v>
      </c>
      <c r="D64" s="5">
        <f>'Orig data'!R67</f>
        <v>1601307.957646556</v>
      </c>
      <c r="E64" s="5">
        <f>'Orig data'!D67</f>
        <v>1408307</v>
      </c>
      <c r="F64" s="5">
        <f t="shared" si="1"/>
        <v>1167.8389999999999</v>
      </c>
      <c r="G64" s="5">
        <f t="shared" si="2"/>
        <v>1408.307</v>
      </c>
      <c r="H64" s="44">
        <f t="shared" si="3"/>
        <v>0.18723324130222524</v>
      </c>
      <c r="I64" s="5">
        <f t="shared" si="4"/>
        <v>433468.95764655597</v>
      </c>
      <c r="J64" s="26">
        <f t="shared" si="5"/>
        <v>0.27069681105165166</v>
      </c>
      <c r="K64">
        <f>covariates!R73</f>
        <v>1167839</v>
      </c>
      <c r="L64">
        <f>covariates!T73</f>
        <v>0.66615029725931241</v>
      </c>
      <c r="M64">
        <f>covariates!V73</f>
        <v>2.4203010242976566</v>
      </c>
      <c r="N64">
        <f>covariates!U73</f>
        <v>-0.67839888030260287</v>
      </c>
      <c r="O64">
        <f>covariates!W73</f>
        <v>0.69707987068050337</v>
      </c>
      <c r="P64">
        <f>covariates!X73</f>
        <v>7.4628104676789861E-2</v>
      </c>
      <c r="Q64">
        <f t="shared" si="0"/>
        <v>0.18723324130222524</v>
      </c>
      <c r="R64">
        <f t="shared" si="6"/>
        <v>2013</v>
      </c>
      <c r="S64">
        <f t="shared" si="7"/>
        <v>3.3662149657688101E-2</v>
      </c>
      <c r="X64" s="46">
        <v>23</v>
      </c>
      <c r="Y64" s="46">
        <v>0.94664358376223845</v>
      </c>
      <c r="Z64" s="46">
        <v>0.18343341557569137</v>
      </c>
      <c r="AA64" s="46">
        <v>0.36296241584917527</v>
      </c>
      <c r="AK64" s="46">
        <v>8</v>
      </c>
      <c r="AL64" s="46">
        <v>1.1644317144994767</v>
      </c>
      <c r="AM64" s="46">
        <v>5.3730294885782515E-2</v>
      </c>
      <c r="AN64" s="46">
        <v>0.11898757967447891</v>
      </c>
      <c r="AW64" s="46">
        <v>32</v>
      </c>
      <c r="AX64" s="46">
        <v>0.79699719250539869</v>
      </c>
      <c r="AY64" s="46">
        <v>0.68331079292933494</v>
      </c>
      <c r="AZ64" s="46">
        <v>1.4605436750583185</v>
      </c>
    </row>
    <row r="65" spans="1:52" x14ac:dyDescent="0.35">
      <c r="A65" t="s">
        <v>73</v>
      </c>
      <c r="B65">
        <v>2014</v>
      </c>
      <c r="C65" s="5">
        <f>'Orig data'!C68</f>
        <v>1165580</v>
      </c>
      <c r="D65" s="5">
        <f>'Orig data'!R68</f>
        <v>1507866.1449047895</v>
      </c>
      <c r="E65" s="5">
        <f>'Orig data'!D68</f>
        <v>810777</v>
      </c>
      <c r="F65" s="5">
        <f t="shared" si="1"/>
        <v>1165.58</v>
      </c>
      <c r="G65" s="5">
        <f t="shared" si="2"/>
        <v>810.77700000000004</v>
      </c>
      <c r="H65" s="44">
        <f t="shared" si="3"/>
        <v>-0.36298104905823131</v>
      </c>
      <c r="I65" s="5">
        <f t="shared" si="4"/>
        <v>342286.14490478951</v>
      </c>
      <c r="J65" s="26">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-0.33057418006754624</v>
      </c>
      <c r="Q65">
        <f t="shared" si="0"/>
        <v>-0.36298104905823131</v>
      </c>
      <c r="R65">
        <f t="shared" si="6"/>
        <v>2014</v>
      </c>
      <c r="S65">
        <f t="shared" si="7"/>
        <v>-0.19969646414430609</v>
      </c>
      <c r="X65" s="46">
        <v>24</v>
      </c>
      <c r="Y65" s="46">
        <v>0.89611390240228384</v>
      </c>
      <c r="Z65" s="46">
        <v>0.25504734906239712</v>
      </c>
      <c r="AA65" s="46">
        <v>0.50466596656385476</v>
      </c>
      <c r="AK65" s="46">
        <v>9</v>
      </c>
      <c r="AL65" s="46">
        <v>1.2826939977622824</v>
      </c>
      <c r="AM65" s="46">
        <v>-0.41735242348551027</v>
      </c>
      <c r="AN65" s="46">
        <v>-0.92424124690518694</v>
      </c>
      <c r="AW65" s="46">
        <v>33</v>
      </c>
      <c r="AX65" s="46">
        <v>0.82584889966498953</v>
      </c>
      <c r="AY65" s="46">
        <v>-5.3148062611820368E-2</v>
      </c>
      <c r="AZ65" s="46">
        <v>-0.11360140582079958</v>
      </c>
    </row>
    <row r="66" spans="1:52" x14ac:dyDescent="0.35">
      <c r="A66" t="s">
        <v>73</v>
      </c>
      <c r="B66">
        <v>2015</v>
      </c>
      <c r="C66" s="5">
        <f>'Orig data'!C69</f>
        <v>950865</v>
      </c>
      <c r="D66" s="5">
        <f>'Orig data'!R69</f>
        <v>1452703.6357440299</v>
      </c>
      <c r="E66" s="5">
        <f>'Orig data'!D69</f>
        <v>438554</v>
      </c>
      <c r="F66" s="5">
        <f t="shared" si="1"/>
        <v>950.86500000000001</v>
      </c>
      <c r="G66" s="5">
        <f t="shared" si="2"/>
        <v>438.55399999999997</v>
      </c>
      <c r="H66" s="44">
        <f t="shared" si="3"/>
        <v>-0.77388914531012754</v>
      </c>
      <c r="I66" s="5">
        <f t="shared" si="4"/>
        <v>501838.63574402989</v>
      </c>
      <c r="J66" s="26">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-0.90509417160994998</v>
      </c>
      <c r="Q66">
        <f t="shared" ref="Q66:Q67" si="8">H66</f>
        <v>-0.77388914531012754</v>
      </c>
      <c r="R66">
        <f t="shared" si="6"/>
        <v>2015</v>
      </c>
      <c r="S66">
        <f t="shared" si="7"/>
        <v>-0.1374635865443179</v>
      </c>
      <c r="X66" s="46">
        <v>25</v>
      </c>
      <c r="Y66" s="46">
        <v>0.99254711611133095</v>
      </c>
      <c r="Z66" s="46">
        <v>2.149395770052076E-2</v>
      </c>
      <c r="AA66" s="46">
        <v>4.2530412404177327E-2</v>
      </c>
      <c r="AK66" s="46">
        <v>10</v>
      </c>
      <c r="AL66" s="46">
        <v>0.85307352755828503</v>
      </c>
      <c r="AM66" s="46">
        <v>-0.3950224455744698</v>
      </c>
      <c r="AN66" s="46">
        <v>-0.87479074544288538</v>
      </c>
      <c r="AW66" s="46">
        <v>34</v>
      </c>
      <c r="AX66" s="46">
        <v>0.8233882178994627</v>
      </c>
      <c r="AY66" s="46">
        <v>-0.14838753536381077</v>
      </c>
      <c r="AZ66" s="46">
        <v>-0.31717115912073601</v>
      </c>
    </row>
    <row r="67" spans="1:52" x14ac:dyDescent="0.35">
      <c r="A67" t="s">
        <v>73</v>
      </c>
      <c r="B67">
        <v>2016</v>
      </c>
      <c r="C67" s="5">
        <f>'Orig data'!C70</f>
        <v>1975386</v>
      </c>
      <c r="D67" s="5">
        <f>'Orig data'!R70</f>
        <v>2944872.5193175911</v>
      </c>
      <c r="E67" s="5">
        <f>'Orig data'!D70</f>
        <v>597944</v>
      </c>
      <c r="F67" s="5">
        <f t="shared" ref="F67:F68" si="9">C67/1000</f>
        <v>1975.386</v>
      </c>
      <c r="G67" s="5">
        <f t="shared" ref="G67:G68" si="10">E67/1000</f>
        <v>597.94399999999996</v>
      </c>
      <c r="H67" s="44">
        <f t="shared" ref="H67:H68" si="11">LN(E67/C67)</f>
        <v>-1.1950219971960248</v>
      </c>
      <c r="I67" s="5">
        <f t="shared" ref="I67:I68" si="12">D67-C67</f>
        <v>969486.5193175911</v>
      </c>
      <c r="J67" s="26">
        <f t="shared" ref="J67:J68" si="13">I67/D67</f>
        <v>0.32921171050971271</v>
      </c>
      <c r="K67">
        <f>covariates!R76</f>
        <v>1975386</v>
      </c>
      <c r="L67">
        <f>covariates!T76</f>
        <v>2.0204781379455889</v>
      </c>
      <c r="M67">
        <f>covariates!V76</f>
        <v>2.6378516138507848</v>
      </c>
      <c r="N67">
        <f>covariates!U76</f>
        <v>-0.85136813124068367</v>
      </c>
      <c r="O67">
        <f>covariates!W76</f>
        <v>1.9272459314137895</v>
      </c>
      <c r="P67">
        <f>covariates!X76</f>
        <v>-1.3051184806509919</v>
      </c>
      <c r="Q67">
        <f t="shared" si="8"/>
        <v>-1.1950219971960248</v>
      </c>
      <c r="R67">
        <f t="shared" ref="R67" si="14">B67</f>
        <v>2016</v>
      </c>
      <c r="S67">
        <f t="shared" ref="S67" si="15">$AX$23+K67*$AX$24+L67*$AX$25+M67*$AX$26</f>
        <v>-0.54788870116802824</v>
      </c>
      <c r="X67" s="46">
        <v>26</v>
      </c>
      <c r="Y67" s="46">
        <v>0.90213426655110807</v>
      </c>
      <c r="Z67" s="46">
        <v>-9.7435481228469456E-2</v>
      </c>
      <c r="AA67" s="46">
        <v>-0.19279702962037015</v>
      </c>
      <c r="AK67" s="46">
        <v>11</v>
      </c>
      <c r="AL67" s="46">
        <v>0.99294374227065585</v>
      </c>
      <c r="AM67" s="46">
        <v>-0.48098037570738328</v>
      </c>
      <c r="AN67" s="46">
        <v>-1.0651475280007592</v>
      </c>
      <c r="AW67" s="46">
        <v>35</v>
      </c>
      <c r="AX67" s="46">
        <v>0.5604032462929891</v>
      </c>
      <c r="AY67" s="46">
        <v>-0.6877018579448535</v>
      </c>
      <c r="AZ67" s="46">
        <v>-1.4699293635349948</v>
      </c>
    </row>
    <row r="68" spans="1:52" x14ac:dyDescent="0.35">
      <c r="A68" t="s">
        <v>73</v>
      </c>
      <c r="B68">
        <v>2017</v>
      </c>
      <c r="C68" s="5">
        <f>'Orig data'!C71</f>
        <v>659667</v>
      </c>
      <c r="D68" s="5">
        <f>'Orig data'!R71</f>
        <v>1072321.8899999999</v>
      </c>
      <c r="E68" s="5">
        <f>'Orig data'!D71</f>
        <v>599216</v>
      </c>
      <c r="F68" s="5">
        <f t="shared" si="9"/>
        <v>659.66700000000003</v>
      </c>
      <c r="G68" s="5">
        <f t="shared" si="10"/>
        <v>599.21600000000001</v>
      </c>
      <c r="H68" s="44">
        <f t="shared" si="11"/>
        <v>-9.6113028123834918E-2</v>
      </c>
      <c r="I68" s="5">
        <f t="shared" si="12"/>
        <v>412654.8899999999</v>
      </c>
      <c r="J68" s="26">
        <f t="shared" si="13"/>
        <v>0.38482371184271913</v>
      </c>
      <c r="Q68" t="s">
        <v>12</v>
      </c>
      <c r="R68" t="s">
        <v>12</v>
      </c>
      <c r="X68" s="46">
        <v>27</v>
      </c>
      <c r="Y68" s="46">
        <v>0.74505512117297634</v>
      </c>
      <c r="Z68" s="46">
        <v>-0.77163954515141664</v>
      </c>
      <c r="AA68" s="46">
        <v>-1.5268545951342611</v>
      </c>
      <c r="AK68" s="46">
        <v>12</v>
      </c>
      <c r="AL68" s="46">
        <v>0.89918117565180022</v>
      </c>
      <c r="AM68" s="46">
        <v>-4.5214622230161372E-2</v>
      </c>
      <c r="AN68" s="46">
        <v>-0.10012933069694317</v>
      </c>
      <c r="AW68" s="46">
        <v>36</v>
      </c>
      <c r="AX68" s="46">
        <v>0.56804283875009676</v>
      </c>
      <c r="AY68" s="46">
        <v>-0.10645815738956205</v>
      </c>
      <c r="AZ68" s="46">
        <v>-0.22754914753668701</v>
      </c>
    </row>
    <row r="69" spans="1:52" x14ac:dyDescent="0.35">
      <c r="X69" s="46">
        <v>28</v>
      </c>
      <c r="Y69" s="46">
        <v>0.8908507099210734</v>
      </c>
      <c r="Z69" s="46">
        <v>-0.31984764049589653</v>
      </c>
      <c r="AA69" s="46">
        <v>-0.63288726284522023</v>
      </c>
      <c r="AK69" s="46">
        <v>13</v>
      </c>
      <c r="AL69" s="46">
        <v>1.1013556401966929</v>
      </c>
      <c r="AM69" s="46">
        <v>-0.40265667247580539</v>
      </c>
      <c r="AN69" s="46">
        <v>-0.89169700258527984</v>
      </c>
      <c r="AW69" s="46">
        <v>37</v>
      </c>
      <c r="AX69" s="46">
        <v>0.77682643815166774</v>
      </c>
      <c r="AY69" s="46">
        <v>0.17764600576253964</v>
      </c>
      <c r="AZ69" s="46">
        <v>0.37970972038002487</v>
      </c>
    </row>
    <row r="70" spans="1:52" x14ac:dyDescent="0.35">
      <c r="X70" s="46">
        <v>29</v>
      </c>
      <c r="Y70" s="46">
        <v>0.95360313199877611</v>
      </c>
      <c r="Z70" s="46">
        <v>-0.26254902030991223</v>
      </c>
      <c r="AA70" s="46">
        <v>-0.51950963455291232</v>
      </c>
      <c r="AK70" s="46">
        <v>14</v>
      </c>
      <c r="AL70" s="46">
        <v>0.95222577499222072</v>
      </c>
      <c r="AM70" s="46">
        <v>0.32381580458793602</v>
      </c>
      <c r="AN70" s="46">
        <v>0.71710119831220043</v>
      </c>
      <c r="AW70" s="46">
        <v>38</v>
      </c>
      <c r="AX70" s="46">
        <v>0.80312183649092062</v>
      </c>
      <c r="AY70" s="46">
        <v>-0.98524671952912457</v>
      </c>
      <c r="AZ70" s="46">
        <v>-2.1059170723929053</v>
      </c>
    </row>
    <row r="71" spans="1:52" x14ac:dyDescent="0.35">
      <c r="X71" s="46">
        <v>30</v>
      </c>
      <c r="Y71" s="46">
        <v>0.9192950042261554</v>
      </c>
      <c r="Z71" s="46">
        <v>-0.17747542435649022</v>
      </c>
      <c r="AA71" s="46">
        <v>-0.3511732503923663</v>
      </c>
      <c r="AK71" s="46">
        <v>15</v>
      </c>
      <c r="AL71" s="46">
        <v>1.0718357418699331</v>
      </c>
      <c r="AM71" s="46">
        <v>0.45571224918340714</v>
      </c>
      <c r="AN71" s="46">
        <v>1.0091903957276587</v>
      </c>
      <c r="AW71" s="46">
        <v>39</v>
      </c>
      <c r="AX71" s="46">
        <v>0.72180916285016139</v>
      </c>
      <c r="AY71" s="46">
        <v>0.39111171174771975</v>
      </c>
      <c r="AZ71" s="46">
        <v>0.83598231250744937</v>
      </c>
    </row>
    <row r="72" spans="1:52" x14ac:dyDescent="0.35">
      <c r="X72" s="46">
        <v>31</v>
      </c>
      <c r="Y72" s="46">
        <v>0.84457101857044203</v>
      </c>
      <c r="Z72" s="46">
        <v>0.38735930341353808</v>
      </c>
      <c r="AA72" s="46">
        <v>0.76647359003472304</v>
      </c>
      <c r="AK72" s="46">
        <v>16</v>
      </c>
      <c r="AL72" s="46">
        <v>0.83053427881199227</v>
      </c>
      <c r="AM72" s="46">
        <v>-0.31517762778220926</v>
      </c>
      <c r="AN72" s="46">
        <v>-0.6979716596953256</v>
      </c>
      <c r="AW72" s="46">
        <v>40</v>
      </c>
      <c r="AX72" s="46">
        <v>0.68161964316882107</v>
      </c>
      <c r="AY72" s="46">
        <v>0.38864602309204899</v>
      </c>
      <c r="AZ72" s="46">
        <v>0.83071202260720567</v>
      </c>
    </row>
    <row r="73" spans="1:52" x14ac:dyDescent="0.35">
      <c r="X73" s="46">
        <v>32</v>
      </c>
      <c r="Y73" s="46">
        <v>0.91316482591720449</v>
      </c>
      <c r="Z73" s="46">
        <v>0.56714315951752914</v>
      </c>
      <c r="AA73" s="46">
        <v>1.122214568511235</v>
      </c>
      <c r="AK73" s="46">
        <v>17</v>
      </c>
      <c r="AL73" s="46">
        <v>0.82690496543631153</v>
      </c>
      <c r="AM73" s="46">
        <v>7.446148728194546E-2</v>
      </c>
      <c r="AN73" s="46">
        <v>0.16489751581439974</v>
      </c>
      <c r="AW73" s="46">
        <v>41</v>
      </c>
      <c r="AX73" s="46">
        <v>0.50632270089666631</v>
      </c>
      <c r="AY73" s="46">
        <v>0.32445404360629115</v>
      </c>
      <c r="AZ73" s="46">
        <v>0.69350478016709882</v>
      </c>
    </row>
    <row r="74" spans="1:52" x14ac:dyDescent="0.35">
      <c r="X74" s="46">
        <v>33</v>
      </c>
      <c r="Y74" s="46">
        <v>0.88581624638112144</v>
      </c>
      <c r="Z74" s="46">
        <v>-0.11311540932795228</v>
      </c>
      <c r="AA74" s="46">
        <v>-0.22382313555351321</v>
      </c>
      <c r="AK74" s="46">
        <v>18</v>
      </c>
      <c r="AL74" s="46">
        <v>0.6865189699227966</v>
      </c>
      <c r="AM74" s="46">
        <v>-0.29201946503801607</v>
      </c>
      <c r="AN74" s="46">
        <v>-0.64668711453329308</v>
      </c>
      <c r="AW74" s="46">
        <v>42</v>
      </c>
      <c r="AX74" s="46">
        <v>0.53742815147503087</v>
      </c>
      <c r="AY74" s="46">
        <v>4.4238878101547918E-3</v>
      </c>
      <c r="AZ74" s="46">
        <v>9.4558456081014573E-3</v>
      </c>
    </row>
    <row r="75" spans="1:52" x14ac:dyDescent="0.35">
      <c r="X75" s="46">
        <v>34</v>
      </c>
      <c r="Y75" s="46">
        <v>0.78091520818097881</v>
      </c>
      <c r="Z75" s="46">
        <v>-0.10591452564532688</v>
      </c>
      <c r="AA75" s="46">
        <v>-0.20957464037343992</v>
      </c>
      <c r="AK75" s="46">
        <v>19</v>
      </c>
      <c r="AL75" s="46">
        <v>0.87451144175737117</v>
      </c>
      <c r="AM75" s="46">
        <v>0.33905477784878424</v>
      </c>
      <c r="AN75" s="46">
        <v>0.75084842692665255</v>
      </c>
      <c r="AW75" s="46">
        <v>43</v>
      </c>
      <c r="AX75" s="46">
        <v>0.56248191684927296</v>
      </c>
      <c r="AY75" s="46">
        <v>-1.6827596231572928E-2</v>
      </c>
      <c r="AZ75" s="46">
        <v>-3.5968170701791806E-2</v>
      </c>
    </row>
    <row r="76" spans="1:52" x14ac:dyDescent="0.35">
      <c r="X76" s="46">
        <v>35</v>
      </c>
      <c r="Y76" s="46">
        <v>0.41237828008772348</v>
      </c>
      <c r="Z76" s="46">
        <v>-0.53967689173958788</v>
      </c>
      <c r="AA76" s="46">
        <v>-1.0678666577134432</v>
      </c>
      <c r="AK76" s="46">
        <v>20</v>
      </c>
      <c r="AL76" s="46">
        <v>1.1738797147903244</v>
      </c>
      <c r="AM76" s="46">
        <v>-0.10963005463659337</v>
      </c>
      <c r="AN76" s="46">
        <v>-0.24277951365275019</v>
      </c>
      <c r="AW76" s="46">
        <v>44</v>
      </c>
      <c r="AX76" s="46">
        <v>0.11720418153452228</v>
      </c>
      <c r="AY76" s="46">
        <v>0.6086367059212241</v>
      </c>
      <c r="AZ76" s="46">
        <v>1.3009314362366644</v>
      </c>
    </row>
    <row r="77" spans="1:52" x14ac:dyDescent="0.35">
      <c r="X77" s="46">
        <v>36</v>
      </c>
      <c r="Y77" s="46">
        <v>0.60295195772063115</v>
      </c>
      <c r="Z77" s="46">
        <v>-0.14136727636009644</v>
      </c>
      <c r="AA77" s="46">
        <v>-0.27972552322946742</v>
      </c>
      <c r="AK77" s="46">
        <v>21</v>
      </c>
      <c r="AL77" s="46">
        <v>1.1644769619220401</v>
      </c>
      <c r="AM77" s="46">
        <v>-0.45633336565578886</v>
      </c>
      <c r="AN77" s="46">
        <v>-1.0105658794450243</v>
      </c>
      <c r="AW77" s="46">
        <v>45</v>
      </c>
      <c r="AX77" s="46">
        <v>7.6500799630855348E-2</v>
      </c>
      <c r="AY77" s="46">
        <v>0.57128948157189907</v>
      </c>
      <c r="AZ77" s="46">
        <v>1.221103555762908</v>
      </c>
    </row>
    <row r="78" spans="1:52" x14ac:dyDescent="0.35">
      <c r="X78" s="46">
        <v>37</v>
      </c>
      <c r="Y78" s="46">
        <v>0.84781387318854806</v>
      </c>
      <c r="Z78" s="46">
        <v>0.10665857072565932</v>
      </c>
      <c r="AA78" s="46">
        <v>0.21104689339239283</v>
      </c>
      <c r="AK78" s="46">
        <v>22</v>
      </c>
      <c r="AL78" s="46">
        <v>1.0453719287290162</v>
      </c>
      <c r="AM78" s="46">
        <v>-0.22076263575980859</v>
      </c>
      <c r="AN78" s="46">
        <v>-0.48888642371045182</v>
      </c>
      <c r="AW78" s="46">
        <v>46</v>
      </c>
      <c r="AX78" s="46">
        <v>0.27094423352269886</v>
      </c>
      <c r="AY78" s="46">
        <v>-8.3023717999251428E-2</v>
      </c>
      <c r="AZ78" s="46">
        <v>-0.17745917005612452</v>
      </c>
    </row>
    <row r="79" spans="1:52" x14ac:dyDescent="0.35">
      <c r="X79" s="46">
        <v>38</v>
      </c>
      <c r="Y79" s="46">
        <v>0.8125823357379558</v>
      </c>
      <c r="Z79" s="46">
        <v>-0.99470721877615986</v>
      </c>
      <c r="AA79" s="46">
        <v>-1.968241904325388</v>
      </c>
      <c r="AK79" s="46">
        <v>23</v>
      </c>
      <c r="AL79" s="46">
        <v>1.2003328825938973</v>
      </c>
      <c r="AM79" s="46">
        <v>-7.0255883255967433E-2</v>
      </c>
      <c r="AN79" s="46">
        <v>-0.15558406154834503</v>
      </c>
      <c r="AW79" s="46">
        <v>47</v>
      </c>
      <c r="AX79" s="46">
        <v>0.33454600748363272</v>
      </c>
      <c r="AY79" s="46">
        <v>0.67089434525364322</v>
      </c>
      <c r="AZ79" s="46">
        <v>1.4340041204265515</v>
      </c>
    </row>
    <row r="80" spans="1:52" x14ac:dyDescent="0.35">
      <c r="X80" s="46">
        <v>39</v>
      </c>
      <c r="Y80" s="46">
        <v>0.79099141575768683</v>
      </c>
      <c r="Z80" s="46">
        <v>0.3219294588401943</v>
      </c>
      <c r="AA80" s="46">
        <v>0.63700658763254969</v>
      </c>
      <c r="AK80" s="46">
        <v>24</v>
      </c>
      <c r="AL80" s="46">
        <v>1.035149677193538</v>
      </c>
      <c r="AM80" s="46">
        <v>0.11601157427114295</v>
      </c>
      <c r="AN80" s="46">
        <v>0.25691160761527826</v>
      </c>
      <c r="AW80" s="46">
        <v>48</v>
      </c>
      <c r="AX80" s="46">
        <v>-0.619375536465676</v>
      </c>
      <c r="AY80" s="46">
        <v>0.37361624885883177</v>
      </c>
      <c r="AZ80" s="46">
        <v>0.79858660922133795</v>
      </c>
    </row>
    <row r="81" spans="24:52" x14ac:dyDescent="0.35">
      <c r="X81" s="46">
        <v>40</v>
      </c>
      <c r="Y81" s="46">
        <v>0.66213754307245076</v>
      </c>
      <c r="Z81" s="46">
        <v>0.40812812318841929</v>
      </c>
      <c r="AA81" s="46">
        <v>0.80756916128693279</v>
      </c>
      <c r="AK81" s="46">
        <v>25</v>
      </c>
      <c r="AL81" s="46">
        <v>1.1381814593210826</v>
      </c>
      <c r="AM81" s="46">
        <v>-0.1241403855092309</v>
      </c>
      <c r="AN81" s="46">
        <v>-0.27491313872369449</v>
      </c>
      <c r="AW81" s="46">
        <v>49</v>
      </c>
      <c r="AX81" s="46">
        <v>-0.42008592951734886</v>
      </c>
      <c r="AY81" s="46">
        <v>0.12895036661284509</v>
      </c>
      <c r="AZ81" s="46">
        <v>0.27562515373925806</v>
      </c>
    </row>
    <row r="82" spans="24:52" x14ac:dyDescent="0.35">
      <c r="X82" s="46">
        <v>41</v>
      </c>
      <c r="Y82" s="46">
        <v>0.62936256658513479</v>
      </c>
      <c r="Z82" s="46">
        <v>0.20141417791782268</v>
      </c>
      <c r="AA82" s="46">
        <v>0.39854121657110175</v>
      </c>
      <c r="AK82" s="46">
        <v>26</v>
      </c>
      <c r="AL82" s="46">
        <v>0.99393419944406391</v>
      </c>
      <c r="AM82" s="46">
        <v>-0.1892354141214253</v>
      </c>
      <c r="AN82" s="46">
        <v>-0.41906831077087953</v>
      </c>
      <c r="AW82" s="46">
        <v>50</v>
      </c>
      <c r="AX82" s="46">
        <v>0.65803181433639513</v>
      </c>
      <c r="AY82" s="46">
        <v>0.79348748528942703</v>
      </c>
      <c r="AZ82" s="46">
        <v>1.6960410107224135</v>
      </c>
    </row>
    <row r="83" spans="24:52" x14ac:dyDescent="0.35">
      <c r="X83" s="46">
        <v>42</v>
      </c>
      <c r="Y83" s="46">
        <v>0.64940516757842404</v>
      </c>
      <c r="Z83" s="46">
        <v>-0.10755312829323838</v>
      </c>
      <c r="AA83" s="46">
        <v>-0.212816967698787</v>
      </c>
      <c r="AK83" s="46">
        <v>27</v>
      </c>
      <c r="AL83" s="46">
        <v>0.74584124773775684</v>
      </c>
      <c r="AM83" s="46">
        <v>-0.77242567171619714</v>
      </c>
      <c r="AN83" s="46">
        <v>-1.7105631255387697</v>
      </c>
      <c r="AW83" s="46">
        <v>51</v>
      </c>
      <c r="AX83" s="46">
        <v>-0.54757929958619711</v>
      </c>
      <c r="AY83" s="46">
        <v>0.16973522119259288</v>
      </c>
      <c r="AZ83" s="46">
        <v>0.36280080208407234</v>
      </c>
    </row>
    <row r="84" spans="24:52" x14ac:dyDescent="0.35">
      <c r="X84" s="46">
        <v>43</v>
      </c>
      <c r="Y84" s="46">
        <v>0.63010821079947565</v>
      </c>
      <c r="Z84" s="46">
        <v>-8.4453890181775626E-2</v>
      </c>
      <c r="AA84" s="46">
        <v>-0.16711016317302027</v>
      </c>
      <c r="AK84" s="46">
        <v>28</v>
      </c>
      <c r="AL84" s="46">
        <v>0.9968233877021021</v>
      </c>
      <c r="AM84" s="46">
        <v>-0.42582031827692524</v>
      </c>
      <c r="AN84" s="46">
        <v>-0.9429936901648126</v>
      </c>
      <c r="AW84" s="46">
        <v>52</v>
      </c>
      <c r="AX84" s="46">
        <v>-0.25765446292209326</v>
      </c>
      <c r="AY84" s="46">
        <v>0.30981514082397182</v>
      </c>
      <c r="AZ84" s="46">
        <v>0.66221483554782623</v>
      </c>
    </row>
    <row r="85" spans="24:52" x14ac:dyDescent="0.35">
      <c r="X85" s="46">
        <v>44</v>
      </c>
      <c r="Y85" s="46">
        <v>9.787477244133802E-2</v>
      </c>
      <c r="Z85" s="46">
        <v>0.62796611501440835</v>
      </c>
      <c r="AA85" s="46">
        <v>1.2425658512747868</v>
      </c>
      <c r="AK85" s="46">
        <v>29</v>
      </c>
      <c r="AL85" s="46">
        <v>1.0287000549141894</v>
      </c>
      <c r="AM85" s="46">
        <v>-0.33764594322532548</v>
      </c>
      <c r="AN85" s="46">
        <v>-0.7477285143640412</v>
      </c>
      <c r="AW85" s="46">
        <v>53</v>
      </c>
      <c r="AX85" s="46">
        <v>0.13284693925268881</v>
      </c>
      <c r="AY85" s="46">
        <v>-5.2649778774226177E-2</v>
      </c>
      <c r="AZ85" s="46">
        <v>-0.11253634828781071</v>
      </c>
    </row>
    <row r="86" spans="24:52" x14ac:dyDescent="0.35">
      <c r="X86" s="46">
        <v>45</v>
      </c>
      <c r="Y86" s="46">
        <v>0.12064877315225375</v>
      </c>
      <c r="Z86" s="46">
        <v>0.52714150805050064</v>
      </c>
      <c r="AA86" s="46">
        <v>1.0430627083724358</v>
      </c>
      <c r="AK86" s="46">
        <v>30</v>
      </c>
      <c r="AL86" s="46">
        <v>0.94417548809952567</v>
      </c>
      <c r="AM86" s="46">
        <v>-0.20235590822986049</v>
      </c>
      <c r="AN86" s="46">
        <v>-0.44812409468970305</v>
      </c>
      <c r="AW86" s="46">
        <v>54</v>
      </c>
      <c r="AX86" s="46">
        <v>-0.5103814171447747</v>
      </c>
      <c r="AY86" s="46">
        <v>-0.28076220601949653</v>
      </c>
      <c r="AZ86" s="46">
        <v>-0.60011559665149827</v>
      </c>
    </row>
    <row r="87" spans="24:52" x14ac:dyDescent="0.35">
      <c r="X87" s="46">
        <v>46</v>
      </c>
      <c r="Y87" s="46">
        <v>0.3890333670857623</v>
      </c>
      <c r="Z87" s="46">
        <v>-0.20111285156231487</v>
      </c>
      <c r="AA87" s="46">
        <v>-0.39794497764914255</v>
      </c>
      <c r="AK87" s="46">
        <v>31</v>
      </c>
      <c r="AL87" s="46">
        <v>0.78211337910437506</v>
      </c>
      <c r="AM87" s="46">
        <v>0.44981694287960505</v>
      </c>
      <c r="AN87" s="46">
        <v>0.99613503785143143</v>
      </c>
      <c r="AW87" s="46">
        <v>55</v>
      </c>
      <c r="AX87" s="46">
        <v>0.21083551700266573</v>
      </c>
      <c r="AY87" s="46">
        <v>-0.61932084253771413</v>
      </c>
      <c r="AZ87" s="46">
        <v>-1.3237682600072604</v>
      </c>
    </row>
    <row r="88" spans="24:52" x14ac:dyDescent="0.35">
      <c r="X88" s="46">
        <v>47</v>
      </c>
      <c r="Y88" s="46">
        <v>0.47419394490998079</v>
      </c>
      <c r="Z88" s="46">
        <v>0.53124640782729515</v>
      </c>
      <c r="AA88" s="46">
        <v>1.0511851343498841</v>
      </c>
      <c r="AK88" s="46">
        <v>32</v>
      </c>
      <c r="AL88" s="46">
        <v>0.84413942344661108</v>
      </c>
      <c r="AM88" s="46">
        <v>0.63616856198812255</v>
      </c>
      <c r="AN88" s="46">
        <v>1.4088170857217881</v>
      </c>
      <c r="AW88" s="46">
        <v>56</v>
      </c>
      <c r="AX88" s="46">
        <v>-4.9686659404209937E-2</v>
      </c>
      <c r="AY88" s="46">
        <v>-0.92388583514985312</v>
      </c>
      <c r="AZ88" s="46">
        <v>-1.9747611584171725</v>
      </c>
    </row>
    <row r="89" spans="24:52" x14ac:dyDescent="0.35">
      <c r="X89" s="46">
        <v>48</v>
      </c>
      <c r="Y89" s="46">
        <v>-1.0518151730300564</v>
      </c>
      <c r="Z89" s="46">
        <v>0.80605588542321227</v>
      </c>
      <c r="AA89" s="46">
        <v>1.5949547172986638</v>
      </c>
      <c r="AK89" s="46">
        <v>33</v>
      </c>
      <c r="AL89" s="46">
        <v>0.86513751864025124</v>
      </c>
      <c r="AM89" s="46">
        <v>-9.243668158708207E-2</v>
      </c>
      <c r="AN89" s="46">
        <v>-0.20470419971764839</v>
      </c>
      <c r="AW89" s="46">
        <v>57</v>
      </c>
      <c r="AX89" s="46">
        <v>0.48444139162649824</v>
      </c>
      <c r="AY89" s="46">
        <v>-0.28055344572766028</v>
      </c>
      <c r="AZ89" s="46">
        <v>-0.59966938165387229</v>
      </c>
    </row>
    <row r="90" spans="24:52" x14ac:dyDescent="0.35">
      <c r="X90" s="46">
        <v>49</v>
      </c>
      <c r="Y90" s="46">
        <v>-0.70369397139129464</v>
      </c>
      <c r="Z90" s="46">
        <v>0.41255840848679087</v>
      </c>
      <c r="AA90" s="46">
        <v>0.81633543241453166</v>
      </c>
      <c r="AK90" s="46">
        <v>34</v>
      </c>
      <c r="AL90" s="46">
        <v>0.83077435753410633</v>
      </c>
      <c r="AM90" s="46">
        <v>-0.1557736749984544</v>
      </c>
      <c r="AN90" s="46">
        <v>-0.34496614255451497</v>
      </c>
      <c r="AW90" s="46">
        <v>58</v>
      </c>
      <c r="AX90" s="46">
        <v>0.37739354609003495</v>
      </c>
      <c r="AY90" s="46">
        <v>0.13640235896959052</v>
      </c>
      <c r="AZ90" s="46">
        <v>0.29155342593377176</v>
      </c>
    </row>
    <row r="91" spans="24:52" x14ac:dyDescent="0.35">
      <c r="X91" s="46">
        <v>50</v>
      </c>
      <c r="Y91" s="46">
        <v>0.68401725609261099</v>
      </c>
      <c r="Z91" s="46">
        <v>0.76750204353321116</v>
      </c>
      <c r="AA91" s="46">
        <v>1.5186676594104151</v>
      </c>
      <c r="AK91" s="46">
        <v>35</v>
      </c>
      <c r="AL91" s="46">
        <v>0.62433730739353643</v>
      </c>
      <c r="AM91" s="46">
        <v>-0.75163591904540084</v>
      </c>
      <c r="AN91" s="46">
        <v>-1.6645235056634717</v>
      </c>
      <c r="AW91" s="46">
        <v>59</v>
      </c>
      <c r="AX91" s="46">
        <v>0.53765669771716862</v>
      </c>
      <c r="AY91" s="46">
        <v>0.6863864439814924</v>
      </c>
      <c r="AZ91" s="46">
        <v>1.4671177299940783</v>
      </c>
    </row>
    <row r="92" spans="24:52" x14ac:dyDescent="0.35">
      <c r="X92" s="46">
        <v>51</v>
      </c>
      <c r="Y92" s="46">
        <v>-0.80358056741769612</v>
      </c>
      <c r="Z92" s="46">
        <v>0.42573648902409189</v>
      </c>
      <c r="AA92" s="46">
        <v>0.84241109552674176</v>
      </c>
      <c r="AK92" s="46">
        <v>36</v>
      </c>
      <c r="AL92" s="46">
        <v>0.54929566477334935</v>
      </c>
      <c r="AM92" s="46">
        <v>-8.7710983412814636E-2</v>
      </c>
      <c r="AN92" s="46">
        <v>-0.1942389791335534</v>
      </c>
      <c r="AW92" s="46">
        <v>60</v>
      </c>
      <c r="AX92" s="46">
        <v>0.54625530663449773</v>
      </c>
      <c r="AY92" s="46">
        <v>0.37001176868550933</v>
      </c>
      <c r="AZ92" s="46">
        <v>0.79088220769059325</v>
      </c>
    </row>
    <row r="93" spans="24:52" x14ac:dyDescent="0.35">
      <c r="X93" s="46">
        <v>52</v>
      </c>
      <c r="Y93" s="46">
        <v>-0.28809530524904692</v>
      </c>
      <c r="Z93" s="46">
        <v>0.34025598315092548</v>
      </c>
      <c r="AA93" s="46">
        <v>0.67326955268210376</v>
      </c>
      <c r="AK93" s="46">
        <v>37</v>
      </c>
      <c r="AL93" s="46">
        <v>0.75360794636648076</v>
      </c>
      <c r="AM93" s="46">
        <v>0.20086449754772662</v>
      </c>
      <c r="AN93" s="46">
        <v>0.44482131461479352</v>
      </c>
      <c r="AW93" s="46">
        <v>61</v>
      </c>
      <c r="AX93" s="46">
        <v>0.31494725881733049</v>
      </c>
      <c r="AY93" s="46">
        <v>5.8523787698147645E-2</v>
      </c>
      <c r="AZ93" s="46">
        <v>0.12509175743668516</v>
      </c>
    </row>
    <row r="94" spans="24:52" x14ac:dyDescent="0.35">
      <c r="X94" s="46">
        <v>53</v>
      </c>
      <c r="Y94" s="46">
        <v>0.20197859624144487</v>
      </c>
      <c r="Z94" s="46">
        <v>-0.12178143576298224</v>
      </c>
      <c r="AA94" s="46">
        <v>-0.24097073039494146</v>
      </c>
      <c r="AK94" s="46">
        <v>38</v>
      </c>
      <c r="AL94" s="46">
        <v>0.65285869131529928</v>
      </c>
      <c r="AM94" s="46">
        <v>-0.83498357435350323</v>
      </c>
      <c r="AN94" s="46">
        <v>-1.8490997451524913</v>
      </c>
      <c r="AW94" s="46">
        <v>62</v>
      </c>
      <c r="AX94" s="46">
        <v>-8.895123338036609E-2</v>
      </c>
      <c r="AY94" s="46">
        <v>0.69442198315755954</v>
      </c>
      <c r="AZ94" s="46">
        <v>1.484293305209238</v>
      </c>
    </row>
    <row r="95" spans="24:52" x14ac:dyDescent="0.35">
      <c r="X95" s="46">
        <v>54</v>
      </c>
      <c r="Y95" s="46">
        <v>-0.5395054208840766</v>
      </c>
      <c r="Z95" s="46">
        <v>-0.25163820228019462</v>
      </c>
      <c r="AA95" s="46">
        <v>-0.49792023734015145</v>
      </c>
      <c r="AK95" s="46">
        <v>39</v>
      </c>
      <c r="AL95" s="46">
        <v>0.60579562793371056</v>
      </c>
      <c r="AM95" s="46">
        <v>0.50712524666417058</v>
      </c>
      <c r="AN95" s="46">
        <v>1.1230462408714541</v>
      </c>
      <c r="AW95" s="46">
        <v>63</v>
      </c>
      <c r="AX95" s="46">
        <v>2.5813471282976952E-2</v>
      </c>
      <c r="AY95" s="46">
        <v>0.16141977001924829</v>
      </c>
      <c r="AZ95" s="46">
        <v>0.34502692855220685</v>
      </c>
    </row>
    <row r="96" spans="24:52" x14ac:dyDescent="0.35">
      <c r="X96" s="46">
        <v>55</v>
      </c>
      <c r="Y96" s="46">
        <v>0.30093753563340597</v>
      </c>
      <c r="Z96" s="46">
        <v>-0.70942286116845443</v>
      </c>
      <c r="AA96" s="46">
        <v>-1.4037455211756924</v>
      </c>
      <c r="AK96" s="46">
        <v>40</v>
      </c>
      <c r="AL96" s="46">
        <v>0.59972919374121358</v>
      </c>
      <c r="AM96" s="46">
        <v>0.47053647251965647</v>
      </c>
      <c r="AN96" s="46">
        <v>1.0420191464181927</v>
      </c>
      <c r="AW96" s="46">
        <v>64</v>
      </c>
      <c r="AX96" s="46">
        <v>-0.20808154850674598</v>
      </c>
      <c r="AY96" s="46">
        <v>-0.15489950055148533</v>
      </c>
      <c r="AZ96" s="46">
        <v>-0.3310901688385316</v>
      </c>
    </row>
    <row r="97" spans="24:52" x14ac:dyDescent="0.35">
      <c r="X97" s="46">
        <v>56</v>
      </c>
      <c r="Y97" s="46">
        <v>-8.6893315698462814E-2</v>
      </c>
      <c r="Z97" s="46">
        <v>-0.88667917885560021</v>
      </c>
      <c r="AA97" s="46">
        <v>-1.7544852219566953</v>
      </c>
      <c r="AK97" s="46">
        <v>41</v>
      </c>
      <c r="AL97" s="46">
        <v>0.43071685033503682</v>
      </c>
      <c r="AM97" s="46">
        <v>0.40005989416792065</v>
      </c>
      <c r="AN97" s="46">
        <v>0.88594634801576333</v>
      </c>
      <c r="AW97" s="46">
        <v>65</v>
      </c>
      <c r="AX97" s="46">
        <v>-0.14511051722259449</v>
      </c>
      <c r="AY97" s="46">
        <v>-0.62877862808753304</v>
      </c>
      <c r="AZ97" s="46">
        <v>-1.3439838178585097</v>
      </c>
    </row>
    <row r="98" spans="24:52" ht="15" thickBot="1" x14ac:dyDescent="0.4">
      <c r="X98" s="46">
        <v>57</v>
      </c>
      <c r="Y98" s="46">
        <v>0.46725745157998899</v>
      </c>
      <c r="Z98" s="46">
        <v>-0.26336950568115103</v>
      </c>
      <c r="AA98" s="46">
        <v>-0.52113314110747933</v>
      </c>
      <c r="AK98" s="46">
        <v>42</v>
      </c>
      <c r="AL98" s="46">
        <v>0.48744648366027621</v>
      </c>
      <c r="AM98" s="46">
        <v>5.4405555624909452E-2</v>
      </c>
      <c r="AN98" s="46">
        <v>0.12048296772639104</v>
      </c>
      <c r="AW98" s="47">
        <v>66</v>
      </c>
      <c r="AX98" s="47">
        <v>-0.48215516962128785</v>
      </c>
      <c r="AY98" s="47">
        <v>-0.71286682757473696</v>
      </c>
      <c r="AZ98" s="47">
        <v>-1.5237182654611523</v>
      </c>
    </row>
    <row r="99" spans="24:52" x14ac:dyDescent="0.35">
      <c r="X99" s="46">
        <v>58</v>
      </c>
      <c r="Y99" s="46">
        <v>0.51290131287640628</v>
      </c>
      <c r="Z99" s="46">
        <v>8.9459218321918943E-4</v>
      </c>
      <c r="AA99" s="46">
        <v>1.7701428008739251E-3</v>
      </c>
      <c r="AK99" s="46">
        <v>43</v>
      </c>
      <c r="AL99" s="46">
        <v>0.85264053870689782</v>
      </c>
      <c r="AM99" s="46">
        <v>-0.30698621808919779</v>
      </c>
      <c r="AN99" s="46">
        <v>-0.67983150216286792</v>
      </c>
    </row>
    <row r="100" spans="24:52" x14ac:dyDescent="0.35">
      <c r="X100" s="46">
        <v>59</v>
      </c>
      <c r="Y100" s="46">
        <v>0.82078502880377302</v>
      </c>
      <c r="Z100" s="46">
        <v>0.403258112894888</v>
      </c>
      <c r="AA100" s="46">
        <v>0.797932799799562</v>
      </c>
      <c r="AK100" s="46">
        <v>44</v>
      </c>
      <c r="AL100" s="46">
        <v>0.29754777021642326</v>
      </c>
      <c r="AM100" s="46">
        <v>0.42829311723932312</v>
      </c>
      <c r="AN100" s="46">
        <v>0.94846978822425476</v>
      </c>
    </row>
    <row r="101" spans="24:52" x14ac:dyDescent="0.35">
      <c r="X101" s="46">
        <v>60</v>
      </c>
      <c r="Y101" s="46">
        <v>0.73938422087074318</v>
      </c>
      <c r="Z101" s="46">
        <v>0.17688285444926388</v>
      </c>
      <c r="AA101" s="46">
        <v>0.35000072354162115</v>
      </c>
      <c r="AK101" s="46">
        <v>45</v>
      </c>
      <c r="AL101" s="46">
        <v>0.14873568308439464</v>
      </c>
      <c r="AM101" s="46">
        <v>0.49905459811835973</v>
      </c>
      <c r="AN101" s="46">
        <v>1.1051735130386595</v>
      </c>
    </row>
    <row r="102" spans="24:52" x14ac:dyDescent="0.35">
      <c r="X102" s="46">
        <v>61</v>
      </c>
      <c r="Y102" s="46">
        <v>0.45401908155808579</v>
      </c>
      <c r="Z102" s="46">
        <v>-8.0548035042607657E-2</v>
      </c>
      <c r="AA102" s="46">
        <v>-0.15938158976767833</v>
      </c>
      <c r="AK102" s="46">
        <v>46</v>
      </c>
      <c r="AL102" s="46">
        <v>0.59280559963022195</v>
      </c>
      <c r="AM102" s="46">
        <v>-0.40488508410677448</v>
      </c>
      <c r="AN102" s="46">
        <v>-0.8966318965226967</v>
      </c>
    </row>
    <row r="103" spans="24:52" x14ac:dyDescent="0.35">
      <c r="X103" s="46">
        <v>62</v>
      </c>
      <c r="Y103" s="46">
        <v>0.27079081849232667</v>
      </c>
      <c r="Z103" s="46">
        <v>0.33467993128486684</v>
      </c>
      <c r="AA103" s="46">
        <v>0.66223613627946465</v>
      </c>
      <c r="AK103" s="46">
        <v>47</v>
      </c>
      <c r="AL103" s="46">
        <v>0.53913932261229325</v>
      </c>
      <c r="AM103" s="46">
        <v>0.4663010301249827</v>
      </c>
      <c r="AN103" s="46">
        <v>1.0326396140619267</v>
      </c>
    </row>
    <row r="104" spans="24:52" x14ac:dyDescent="0.35">
      <c r="X104" s="46">
        <v>63</v>
      </c>
      <c r="Y104" s="46">
        <v>0.40016099974257835</v>
      </c>
      <c r="Z104" s="46">
        <v>-0.21292775844035311</v>
      </c>
      <c r="AA104" s="46">
        <v>-0.42132330885464891</v>
      </c>
      <c r="AK104" s="46">
        <v>48</v>
      </c>
      <c r="AL104" s="46">
        <v>-0.47489210089149209</v>
      </c>
      <c r="AM104" s="46">
        <v>0.22913281328464785</v>
      </c>
      <c r="AN104" s="46">
        <v>0.50742246873390617</v>
      </c>
    </row>
    <row r="105" spans="24:52" x14ac:dyDescent="0.35">
      <c r="X105" s="46">
        <v>64</v>
      </c>
      <c r="Y105" s="46">
        <v>0.4015315532659276</v>
      </c>
      <c r="Z105" s="46">
        <v>-0.76451260232415885</v>
      </c>
      <c r="AA105" s="46">
        <v>-1.5127524078196875</v>
      </c>
      <c r="AK105" s="46">
        <v>49</v>
      </c>
      <c r="AL105" s="46">
        <v>-0.43693566318817256</v>
      </c>
      <c r="AM105" s="46">
        <v>0.1458001002836688</v>
      </c>
      <c r="AN105" s="46">
        <v>0.32287931949617105</v>
      </c>
    </row>
    <row r="106" spans="24:52" x14ac:dyDescent="0.35">
      <c r="X106" s="46">
        <v>65</v>
      </c>
      <c r="Y106" s="46">
        <v>0.53180087587147074</v>
      </c>
      <c r="Z106" s="46">
        <v>-1.3056900211815983</v>
      </c>
      <c r="AA106" s="46">
        <v>-2.5835881807623999</v>
      </c>
      <c r="AK106" s="46">
        <v>50</v>
      </c>
      <c r="AL106" s="46">
        <v>0.64753848633934397</v>
      </c>
      <c r="AM106" s="46">
        <v>0.80398081328647819</v>
      </c>
      <c r="AN106" s="46">
        <v>1.780443068124508</v>
      </c>
    </row>
    <row r="107" spans="24:52" ht="15" thickBot="1" x14ac:dyDescent="0.4">
      <c r="X107" s="47">
        <v>66</v>
      </c>
      <c r="Y107" s="47">
        <v>-8.9784279637709741E-2</v>
      </c>
      <c r="Z107" s="47">
        <v>-1.105237717558315</v>
      </c>
      <c r="AA107" s="47">
        <v>-2.1869502391022162</v>
      </c>
      <c r="AK107" s="46">
        <v>51</v>
      </c>
      <c r="AL107" s="46">
        <v>-0.6314170188083631</v>
      </c>
      <c r="AM107" s="46">
        <v>0.25357294041475886</v>
      </c>
      <c r="AN107" s="46">
        <v>0.56154596796893419</v>
      </c>
    </row>
    <row r="108" spans="24:52" x14ac:dyDescent="0.35">
      <c r="AK108" s="46">
        <v>52</v>
      </c>
      <c r="AL108" s="46">
        <v>-0.41002987686032277</v>
      </c>
      <c r="AM108" s="46">
        <v>0.46219055476220133</v>
      </c>
      <c r="AN108" s="46">
        <v>1.0235368254811339</v>
      </c>
    </row>
    <row r="109" spans="24:52" x14ac:dyDescent="0.35">
      <c r="AK109" s="46">
        <v>53</v>
      </c>
      <c r="AL109" s="46">
        <v>8.4805839791144907E-2</v>
      </c>
      <c r="AM109" s="46">
        <v>-4.6086793126822734E-3</v>
      </c>
      <c r="AN109" s="46">
        <v>-1.0206078304197239E-2</v>
      </c>
    </row>
    <row r="110" spans="24:52" x14ac:dyDescent="0.35">
      <c r="AK110" s="46">
        <v>54</v>
      </c>
      <c r="AL110" s="46">
        <v>-0.67874647273084721</v>
      </c>
      <c r="AM110" s="46">
        <v>-0.11239715043342402</v>
      </c>
      <c r="AN110" s="46">
        <v>-0.24890734213930901</v>
      </c>
    </row>
    <row r="111" spans="24:52" x14ac:dyDescent="0.35">
      <c r="AK111" s="46">
        <v>55</v>
      </c>
      <c r="AL111" s="46">
        <v>0.33153450466131107</v>
      </c>
      <c r="AM111" s="46">
        <v>-0.74001983019635953</v>
      </c>
      <c r="AN111" s="46">
        <v>-1.6387992787562999</v>
      </c>
    </row>
    <row r="112" spans="24:52" x14ac:dyDescent="0.35">
      <c r="AK112" s="46">
        <v>56</v>
      </c>
      <c r="AL112" s="46">
        <v>-7.4507690606865989E-2</v>
      </c>
      <c r="AM112" s="46">
        <v>-0.89906480394719701</v>
      </c>
      <c r="AN112" s="46">
        <v>-1.9910098245244141</v>
      </c>
    </row>
    <row r="113" spans="37:40" x14ac:dyDescent="0.35">
      <c r="AK113" s="46">
        <v>57</v>
      </c>
      <c r="AL113" s="46">
        <v>0.43403941981326277</v>
      </c>
      <c r="AM113" s="46">
        <v>-0.23015147391442481</v>
      </c>
      <c r="AN113" s="46">
        <v>-0.50967832761397558</v>
      </c>
    </row>
    <row r="114" spans="37:40" x14ac:dyDescent="0.35">
      <c r="AK114" s="46">
        <v>58</v>
      </c>
      <c r="AL114" s="46">
        <v>0.31114422223277965</v>
      </c>
      <c r="AM114" s="46">
        <v>0.20265168282684581</v>
      </c>
      <c r="AN114" s="46">
        <v>0.44877909767264385</v>
      </c>
    </row>
    <row r="115" spans="37:40" x14ac:dyDescent="0.35">
      <c r="AK115" s="46">
        <v>59</v>
      </c>
      <c r="AL115" s="46">
        <v>0.59827958235707646</v>
      </c>
      <c r="AM115" s="46">
        <v>0.62576355934158456</v>
      </c>
      <c r="AN115" s="46">
        <v>1.3857748507210323</v>
      </c>
    </row>
    <row r="116" spans="37:40" x14ac:dyDescent="0.35">
      <c r="AK116" s="46">
        <v>60</v>
      </c>
      <c r="AL116" s="46">
        <v>0.73971740120912921</v>
      </c>
      <c r="AM116" s="46">
        <v>0.17654967411087785</v>
      </c>
      <c r="AN116" s="46">
        <v>0.39097530470338165</v>
      </c>
    </row>
    <row r="117" spans="37:40" x14ac:dyDescent="0.35">
      <c r="AK117" s="46">
        <v>61</v>
      </c>
      <c r="AL117" s="46">
        <v>0.57327983347944744</v>
      </c>
      <c r="AM117" s="46">
        <v>-0.19980878696396931</v>
      </c>
      <c r="AN117" s="46">
        <v>-0.44248340734171709</v>
      </c>
    </row>
    <row r="118" spans="37:40" x14ac:dyDescent="0.35">
      <c r="AK118" s="46">
        <v>62</v>
      </c>
      <c r="AL118" s="46">
        <v>-2.7361713315328107E-2</v>
      </c>
      <c r="AM118" s="46">
        <v>0.63283246309252161</v>
      </c>
      <c r="AN118" s="46">
        <v>1.4014291803699546</v>
      </c>
    </row>
    <row r="119" spans="37:40" x14ac:dyDescent="0.35">
      <c r="AK119" s="46">
        <v>63</v>
      </c>
      <c r="AL119" s="46">
        <v>-0.22627094334138947</v>
      </c>
      <c r="AM119" s="46">
        <v>0.41350418464361471</v>
      </c>
      <c r="AN119" s="46">
        <v>0.91571919008826752</v>
      </c>
    </row>
    <row r="120" spans="37:40" x14ac:dyDescent="0.35">
      <c r="AK120" s="46">
        <v>64</v>
      </c>
      <c r="AL120" s="46">
        <v>-0.35589542068514052</v>
      </c>
      <c r="AM120" s="46">
        <v>-7.085628373090791E-3</v>
      </c>
      <c r="AN120" s="46">
        <v>-1.5691366897931928E-2</v>
      </c>
    </row>
    <row r="121" spans="37:40" x14ac:dyDescent="0.35">
      <c r="AK121" s="46">
        <v>65</v>
      </c>
      <c r="AL121" s="46">
        <v>-0.1441439667180876</v>
      </c>
      <c r="AM121" s="46">
        <v>-0.62974517859203993</v>
      </c>
      <c r="AN121" s="46">
        <v>-1.3945922830244304</v>
      </c>
    </row>
    <row r="122" spans="37:40" ht="15" thickBot="1" x14ac:dyDescent="0.4">
      <c r="AK122" s="47">
        <v>66</v>
      </c>
      <c r="AL122" s="47">
        <v>-0.49196617255532682</v>
      </c>
      <c r="AM122" s="47">
        <v>-0.70305582464069794</v>
      </c>
      <c r="AN122" s="47">
        <v>-1.556941221481688</v>
      </c>
    </row>
  </sheetData>
  <sortState xmlns:xlrd2="http://schemas.microsoft.com/office/spreadsheetml/2017/richdata2" ref="BC33:BC98">
    <sortCondition ref="BC33"/>
  </sortState>
  <conditionalFormatting sqref="S2:S67">
    <cfRule type="colorScale" priority="3">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20FC-7764-4A85-9873-5BC1C9C6D0BA}">
  <dimension ref="A1:BE162"/>
  <sheetViews>
    <sheetView zoomScale="85" zoomScaleNormal="85" workbookViewId="0">
      <selection activeCell="V5" sqref="V5"/>
    </sheetView>
  </sheetViews>
  <sheetFormatPr defaultRowHeight="14.5" x14ac:dyDescent="0.35"/>
  <cols>
    <col min="1" max="1" width="14.26953125" customWidth="1"/>
    <col min="3" max="3" width="11.26953125" customWidth="1"/>
    <col min="4" max="4" width="11.453125" customWidth="1"/>
    <col min="5" max="5" width="11.7265625" customWidth="1"/>
    <col min="9" max="9" width="10.1796875" customWidth="1"/>
    <col min="24" max="24" width="17.453125" customWidth="1"/>
    <col min="37" max="37" width="16.7265625" customWidth="1"/>
    <col min="49" max="49" width="19.7265625" customWidth="1"/>
    <col min="50" max="50" width="10.7265625" customWidth="1"/>
  </cols>
  <sheetData>
    <row r="1" spans="1:50" x14ac:dyDescent="0.35">
      <c r="A1" t="s">
        <v>51</v>
      </c>
      <c r="B1" t="s">
        <v>72</v>
      </c>
      <c r="C1" t="s">
        <v>83</v>
      </c>
      <c r="D1" t="s">
        <v>88</v>
      </c>
      <c r="E1" t="s">
        <v>62</v>
      </c>
      <c r="F1" t="s">
        <v>84</v>
      </c>
      <c r="G1" t="s">
        <v>85</v>
      </c>
      <c r="H1" t="s">
        <v>86</v>
      </c>
      <c r="I1" t="s">
        <v>87</v>
      </c>
      <c r="J1" t="s">
        <v>23</v>
      </c>
      <c r="K1" t="str">
        <f>covariates!R9</f>
        <v>spawners</v>
      </c>
      <c r="L1" t="str">
        <f>covariates!T9</f>
        <v>smolt.sst</v>
      </c>
      <c r="M1" t="str">
        <f>covariates!V9</f>
        <v>SSLs, control stopped 1970</v>
      </c>
      <c r="N1" t="str">
        <f>covariates!U9</f>
        <v>NPGO</v>
      </c>
      <c r="O1" t="str">
        <f>covariates!W9</f>
        <v>adult.sst</v>
      </c>
      <c r="P1" t="str">
        <f>covariates!X9</f>
        <v>PDO adult</v>
      </c>
      <c r="Q1" t="str">
        <f>H1</f>
        <v>lnRSC</v>
      </c>
      <c r="R1" t="s">
        <v>1</v>
      </c>
      <c r="S1" t="s">
        <v>132</v>
      </c>
    </row>
    <row r="2" spans="1:50" x14ac:dyDescent="0.35">
      <c r="A2" t="s">
        <v>52</v>
      </c>
      <c r="B2">
        <v>1951</v>
      </c>
      <c r="C2" s="5">
        <f>'Orig data'!G5</f>
        <v>171725</v>
      </c>
      <c r="D2" s="5">
        <f>'Orig data'!Q5</f>
        <v>1187739</v>
      </c>
      <c r="E2" s="5">
        <f>'Orig data'!AB5</f>
        <v>457007.21211789281</v>
      </c>
      <c r="F2" s="5">
        <f>C2/1000</f>
        <v>171.72499999999999</v>
      </c>
      <c r="G2" s="5">
        <f>E2/1000</f>
        <v>457.00721211789283</v>
      </c>
      <c r="H2" s="44">
        <f>LN(E2/C2)</f>
        <v>0.97880481210932424</v>
      </c>
      <c r="I2" s="5">
        <f>D2-C2</f>
        <v>1016014</v>
      </c>
      <c r="J2" s="26">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0.97880481210932424</v>
      </c>
      <c r="R2">
        <f>B2</f>
        <v>1951</v>
      </c>
      <c r="S2">
        <f>$AX$23+$K2*$AX$24+$L2*$AX$25+$M2*$AX$26</f>
        <v>1.1234382309633071</v>
      </c>
      <c r="T2">
        <f>$AL$45+$K2*$AL$46+$L2*$AL$47+$M2*$AL$48+$N2*$AL$49+$O2*$AL$50</f>
        <v>0.92313749049199545</v>
      </c>
    </row>
    <row r="3" spans="1:50" x14ac:dyDescent="0.35">
      <c r="A3" t="s">
        <v>52</v>
      </c>
      <c r="B3">
        <v>1952</v>
      </c>
      <c r="C3" s="5">
        <f>'Orig data'!G6</f>
        <v>176250</v>
      </c>
      <c r="D3" s="5">
        <f>'Orig data'!Q6</f>
        <v>927000</v>
      </c>
      <c r="E3" s="5">
        <f>'Orig data'!AB6</f>
        <v>298716.92108672787</v>
      </c>
      <c r="F3" s="5">
        <f t="shared" ref="F3:F66" si="1">C3/1000</f>
        <v>176.25</v>
      </c>
      <c r="G3" s="5">
        <f t="shared" ref="G3:G66" si="2">E3/1000</f>
        <v>298.71692108672789</v>
      </c>
      <c r="H3" s="44">
        <f t="shared" ref="H3:H66" si="3">LN(E3/C3)</f>
        <v>0.52759293102705396</v>
      </c>
      <c r="I3" s="5">
        <f t="shared" ref="I3:I66" si="4">D3-C3</f>
        <v>750750</v>
      </c>
      <c r="J3" s="26">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-1.2495899854078174</v>
      </c>
      <c r="Q3">
        <f t="shared" si="0"/>
        <v>0.52759293102705396</v>
      </c>
      <c r="R3">
        <f t="shared" ref="R3:R66" si="6">B3</f>
        <v>1952</v>
      </c>
      <c r="S3">
        <f t="shared" ref="S3:S66" si="7">$AX$23+K3*$AX$24+L3*$AX$25+M3*$AX$26</f>
        <v>1.015304022223338</v>
      </c>
      <c r="T3">
        <f t="shared" ref="T3:T66" si="8">$AL$45+$K3*$AL$46+$L3*$AL$47+$M3*$AL$48+$N3*$AL$49+$O3*$AL$50</f>
        <v>1.0470865707095611</v>
      </c>
    </row>
    <row r="4" spans="1:50" x14ac:dyDescent="0.35">
      <c r="A4" t="s">
        <v>52</v>
      </c>
      <c r="B4">
        <v>1953</v>
      </c>
      <c r="C4" s="5">
        <f>'Orig data'!G7</f>
        <v>137625</v>
      </c>
      <c r="D4" s="5">
        <f>'Orig data'!Q7</f>
        <v>918122</v>
      </c>
      <c r="E4" s="5">
        <f>'Orig data'!AB7</f>
        <v>339247.35388798552</v>
      </c>
      <c r="F4" s="5">
        <f t="shared" si="1"/>
        <v>137.625</v>
      </c>
      <c r="G4" s="5">
        <f t="shared" si="2"/>
        <v>339.24735388798553</v>
      </c>
      <c r="H4" s="44">
        <f t="shared" si="3"/>
        <v>0.90219690375368433</v>
      </c>
      <c r="I4" s="5">
        <f t="shared" si="4"/>
        <v>780497</v>
      </c>
      <c r="J4" s="26">
        <f t="shared" si="5"/>
        <v>0.85010162048180959</v>
      </c>
      <c r="K4">
        <f>covariates!R13</f>
        <v>137625</v>
      </c>
      <c r="L4">
        <f>covariates!T13</f>
        <v>-1.1472717267104489</v>
      </c>
      <c r="M4">
        <f>covariates!V13</f>
        <v>-0.15610450774264295</v>
      </c>
      <c r="N4">
        <f>covariates!U13</f>
        <v>0.90303427113127921</v>
      </c>
      <c r="O4">
        <f>covariates!W13</f>
        <v>0.94352578357800954</v>
      </c>
      <c r="P4">
        <f>covariates!X13</f>
        <v>1.0113248502778918</v>
      </c>
      <c r="Q4">
        <f t="shared" si="0"/>
        <v>0.90219690375368433</v>
      </c>
      <c r="R4">
        <f t="shared" si="6"/>
        <v>1953</v>
      </c>
      <c r="S4">
        <f t="shared" si="7"/>
        <v>1.1503835293583833</v>
      </c>
      <c r="T4">
        <f t="shared" si="8"/>
        <v>1.3475403551717773</v>
      </c>
    </row>
    <row r="5" spans="1:50" x14ac:dyDescent="0.35">
      <c r="A5" t="s">
        <v>52</v>
      </c>
      <c r="B5">
        <v>1954</v>
      </c>
      <c r="C5" s="5">
        <f>'Orig data'!G8</f>
        <v>86375</v>
      </c>
      <c r="D5" s="5">
        <f>'Orig data'!Q8</f>
        <v>1096517</v>
      </c>
      <c r="E5" s="5">
        <f>'Orig data'!AB8</f>
        <v>544674.7468592932</v>
      </c>
      <c r="F5" s="5">
        <f t="shared" si="1"/>
        <v>86.375</v>
      </c>
      <c r="G5" s="5">
        <f t="shared" si="2"/>
        <v>544.67474685929324</v>
      </c>
      <c r="H5" s="44">
        <f t="shared" si="3"/>
        <v>1.8414905396689467</v>
      </c>
      <c r="I5" s="5">
        <f t="shared" si="4"/>
        <v>1010142</v>
      </c>
      <c r="J5" s="26">
        <f t="shared" si="5"/>
        <v>0.92122785146057928</v>
      </c>
      <c r="K5">
        <f>covariates!R14</f>
        <v>86375</v>
      </c>
      <c r="L5">
        <f>covariates!T14</f>
        <v>-1.4571603004267986</v>
      </c>
      <c r="M5">
        <f>covariates!V14</f>
        <v>-0.47382880251686166</v>
      </c>
      <c r="N5">
        <f>covariates!U14</f>
        <v>3.8188016440875022E-2</v>
      </c>
      <c r="O5">
        <f>covariates!W14</f>
        <v>0.87421149888705485</v>
      </c>
      <c r="P5">
        <f>covariates!X14</f>
        <v>1.0277653862439076</v>
      </c>
      <c r="Q5">
        <f t="shared" si="0"/>
        <v>1.8414905396689467</v>
      </c>
      <c r="R5">
        <f t="shared" si="6"/>
        <v>1954</v>
      </c>
      <c r="S5">
        <f t="shared" si="7"/>
        <v>1.266371346456908</v>
      </c>
      <c r="T5">
        <f t="shared" si="8"/>
        <v>1.4002067316038223</v>
      </c>
    </row>
    <row r="6" spans="1:50" x14ac:dyDescent="0.35">
      <c r="A6" t="s">
        <v>52</v>
      </c>
      <c r="B6">
        <v>1955</v>
      </c>
      <c r="C6" s="5">
        <f>'Orig data'!G9</f>
        <v>110500</v>
      </c>
      <c r="D6" s="5">
        <f>'Orig data'!Q9</f>
        <v>397099</v>
      </c>
      <c r="E6" s="5">
        <f>'Orig data'!AB9</f>
        <v>606789.30472412845</v>
      </c>
      <c r="F6" s="5">
        <f t="shared" si="1"/>
        <v>110.5</v>
      </c>
      <c r="G6" s="5">
        <f t="shared" si="2"/>
        <v>606.78930472412844</v>
      </c>
      <c r="H6" s="44">
        <f t="shared" si="3"/>
        <v>1.7031661006594034</v>
      </c>
      <c r="I6" s="5">
        <f t="shared" si="4"/>
        <v>286599</v>
      </c>
      <c r="J6" s="26">
        <f t="shared" si="5"/>
        <v>0.72173186031694869</v>
      </c>
      <c r="K6">
        <f>covariates!R15</f>
        <v>110500</v>
      </c>
      <c r="L6">
        <f>covariates!T15</f>
        <v>-1.6331464040188008</v>
      </c>
      <c r="M6">
        <f>covariates!V15</f>
        <v>-0.6324361183778815</v>
      </c>
      <c r="N6">
        <f>covariates!U15</f>
        <v>-0.15949112748836022</v>
      </c>
      <c r="O6">
        <f>covariates!W15</f>
        <v>-0.3588799607274441</v>
      </c>
      <c r="P6">
        <f>covariates!X15</f>
        <v>1.0857902136565754</v>
      </c>
      <c r="Q6">
        <f t="shared" si="0"/>
        <v>1.7031661006594034</v>
      </c>
      <c r="R6">
        <f t="shared" si="6"/>
        <v>1955</v>
      </c>
      <c r="S6">
        <f t="shared" si="7"/>
        <v>1.3029937117644204</v>
      </c>
      <c r="T6">
        <f t="shared" si="8"/>
        <v>1.2918934679339478</v>
      </c>
    </row>
    <row r="7" spans="1:50" x14ac:dyDescent="0.35">
      <c r="A7" t="s">
        <v>52</v>
      </c>
      <c r="B7">
        <v>1956</v>
      </c>
      <c r="C7" s="5">
        <f>'Orig data'!G10</f>
        <v>32950</v>
      </c>
      <c r="D7" s="5">
        <f>'Orig data'!Q10</f>
        <v>282627</v>
      </c>
      <c r="E7" s="5">
        <f>'Orig data'!AB10</f>
        <v>400464.07254387828</v>
      </c>
      <c r="F7" s="5">
        <f t="shared" si="1"/>
        <v>32.950000000000003</v>
      </c>
      <c r="G7" s="5">
        <f t="shared" si="2"/>
        <v>400.46407254387827</v>
      </c>
      <c r="H7" s="44">
        <f t="shared" si="3"/>
        <v>2.4976327950288582</v>
      </c>
      <c r="I7" s="5">
        <f t="shared" si="4"/>
        <v>249677</v>
      </c>
      <c r="J7" s="26">
        <f t="shared" si="5"/>
        <v>0.88341524341269584</v>
      </c>
      <c r="K7">
        <f>covariates!R16</f>
        <v>32950</v>
      </c>
      <c r="L7">
        <f>covariates!T16</f>
        <v>-0.93685355937218384</v>
      </c>
      <c r="M7">
        <f>covariates!V16</f>
        <v>-0.61854863050825093</v>
      </c>
      <c r="N7">
        <f>covariates!U16</f>
        <v>-1.3702758840549263</v>
      </c>
      <c r="O7">
        <f>covariates!W16</f>
        <v>-0.59361317908774636</v>
      </c>
      <c r="P7">
        <f>covariates!X16</f>
        <v>0.59134866969738575</v>
      </c>
      <c r="Q7">
        <f t="shared" si="0"/>
        <v>2.4976327950288582</v>
      </c>
      <c r="R7">
        <f t="shared" si="6"/>
        <v>1956</v>
      </c>
      <c r="S7">
        <f t="shared" si="7"/>
        <v>1.2403377742482689</v>
      </c>
      <c r="T7">
        <f t="shared" si="8"/>
        <v>1.1063576991801085</v>
      </c>
      <c r="AW7" t="s">
        <v>102</v>
      </c>
    </row>
    <row r="8" spans="1:50" ht="15" thickBot="1" x14ac:dyDescent="0.4">
      <c r="A8" t="s">
        <v>52</v>
      </c>
      <c r="B8">
        <v>1957</v>
      </c>
      <c r="C8" s="5">
        <f>'Orig data'!G11</f>
        <v>84655</v>
      </c>
      <c r="D8" s="5">
        <f>'Orig data'!Q11</f>
        <v>308363</v>
      </c>
      <c r="E8" s="5">
        <f>'Orig data'!AB11</f>
        <v>267911.40112163423</v>
      </c>
      <c r="F8" s="5">
        <f t="shared" si="1"/>
        <v>84.655000000000001</v>
      </c>
      <c r="G8" s="5">
        <f t="shared" si="2"/>
        <v>267.91140112163424</v>
      </c>
      <c r="H8" s="44">
        <f t="shared" si="3"/>
        <v>1.1520721594430823</v>
      </c>
      <c r="I8" s="5">
        <f t="shared" si="4"/>
        <v>223708</v>
      </c>
      <c r="J8" s="26">
        <f t="shared" si="5"/>
        <v>0.72546965751403381</v>
      </c>
      <c r="K8">
        <f>covariates!R17</f>
        <v>84655</v>
      </c>
      <c r="L8">
        <f>covariates!T17</f>
        <v>0.79622698252296464</v>
      </c>
      <c r="M8">
        <f>covariates!V17</f>
        <v>-0.63022439690672305</v>
      </c>
      <c r="N8">
        <f>covariates!U17</f>
        <v>-0.45600984338221306</v>
      </c>
      <c r="O8">
        <f>covariates!W17</f>
        <v>0.12052565437309411</v>
      </c>
      <c r="P8">
        <f>covariates!X17</f>
        <v>-0.78767908160996614</v>
      </c>
      <c r="Q8">
        <f t="shared" si="0"/>
        <v>1.1520721594430823</v>
      </c>
      <c r="R8">
        <f t="shared" si="6"/>
        <v>1957</v>
      </c>
      <c r="S8">
        <f t="shared" si="7"/>
        <v>0.97165770599246826</v>
      </c>
      <c r="T8">
        <f t="shared" si="8"/>
        <v>0.98368115022833791</v>
      </c>
    </row>
    <row r="9" spans="1:50" x14ac:dyDescent="0.35">
      <c r="A9" t="s">
        <v>52</v>
      </c>
      <c r="B9">
        <v>1958</v>
      </c>
      <c r="C9" s="5">
        <f>'Orig data'!G12</f>
        <v>89400</v>
      </c>
      <c r="D9" s="5">
        <f>'Orig data'!Q12</f>
        <v>559829</v>
      </c>
      <c r="E9" s="5">
        <f>'Orig data'!AB12</f>
        <v>261839.36777785598</v>
      </c>
      <c r="F9" s="5">
        <f t="shared" si="1"/>
        <v>89.4</v>
      </c>
      <c r="G9" s="5">
        <f t="shared" si="2"/>
        <v>261.83936777785595</v>
      </c>
      <c r="H9" s="44">
        <f t="shared" si="3"/>
        <v>1.0746105334743974</v>
      </c>
      <c r="I9" s="5">
        <f t="shared" si="4"/>
        <v>470429</v>
      </c>
      <c r="J9" s="26">
        <f t="shared" si="5"/>
        <v>0.84030837988028484</v>
      </c>
      <c r="K9">
        <f>covariates!R18</f>
        <v>89400</v>
      </c>
      <c r="L9">
        <f>covariates!T18</f>
        <v>-0.16021923265095964</v>
      </c>
      <c r="M9">
        <f>covariates!V18</f>
        <v>-0.64877421733348783</v>
      </c>
      <c r="N9">
        <f>covariates!U18</f>
        <v>-0.3571702714175955</v>
      </c>
      <c r="O9">
        <f>covariates!W18</f>
        <v>0.49073089373909129</v>
      </c>
      <c r="P9">
        <f>covariates!X18</f>
        <v>2.3031264886805868E-2</v>
      </c>
      <c r="Q9">
        <f t="shared" si="0"/>
        <v>1.0746105334743974</v>
      </c>
      <c r="R9">
        <f t="shared" si="6"/>
        <v>1958</v>
      </c>
      <c r="S9">
        <f t="shared" si="7"/>
        <v>1.1073797660570346</v>
      </c>
      <c r="T9">
        <f t="shared" si="8"/>
        <v>1.17072557258515</v>
      </c>
      <c r="AW9" s="49" t="s">
        <v>103</v>
      </c>
      <c r="AX9" s="49"/>
    </row>
    <row r="10" spans="1:50" x14ac:dyDescent="0.35">
      <c r="A10" t="s">
        <v>52</v>
      </c>
      <c r="B10">
        <v>1959</v>
      </c>
      <c r="C10" s="5">
        <f>'Orig data'!G13</f>
        <v>152300</v>
      </c>
      <c r="D10" s="5">
        <f>'Orig data'!Q13</f>
        <v>651622</v>
      </c>
      <c r="E10" s="5">
        <f>'Orig data'!AB13</f>
        <v>334077.81684886321</v>
      </c>
      <c r="F10" s="5">
        <f t="shared" si="1"/>
        <v>152.30000000000001</v>
      </c>
      <c r="G10" s="5">
        <f t="shared" si="2"/>
        <v>334.07781684886322</v>
      </c>
      <c r="H10" s="44">
        <f t="shared" si="3"/>
        <v>0.78552169051632736</v>
      </c>
      <c r="I10" s="5">
        <f t="shared" si="4"/>
        <v>499322</v>
      </c>
      <c r="J10" s="26">
        <f t="shared" si="5"/>
        <v>0.76627554011374688</v>
      </c>
      <c r="K10">
        <f>covariates!R19</f>
        <v>152300</v>
      </c>
      <c r="L10">
        <f>covariates!T19</f>
        <v>-0.35916004540713437</v>
      </c>
      <c r="M10">
        <f>covariates!V19</f>
        <v>-0.66732403776025306</v>
      </c>
      <c r="N10">
        <f>covariates!U19</f>
        <v>0.73006502019319841</v>
      </c>
      <c r="O10">
        <f>covariates!W19</f>
        <v>0.8550132034622554</v>
      </c>
      <c r="P10">
        <f>covariates!X19</f>
        <v>0.15222651509944574</v>
      </c>
      <c r="Q10">
        <f t="shared" si="0"/>
        <v>0.78552169051632736</v>
      </c>
      <c r="R10">
        <f t="shared" si="6"/>
        <v>1959</v>
      </c>
      <c r="S10">
        <f t="shared" si="7"/>
        <v>1.1075347711697505</v>
      </c>
      <c r="T10">
        <f t="shared" si="8"/>
        <v>1.2972907904704543</v>
      </c>
      <c r="AW10" s="46" t="s">
        <v>104</v>
      </c>
      <c r="AX10" s="50">
        <v>0.77922209955559607</v>
      </c>
    </row>
    <row r="11" spans="1:50" x14ac:dyDescent="0.35">
      <c r="A11" t="s">
        <v>52</v>
      </c>
      <c r="B11">
        <v>1960</v>
      </c>
      <c r="C11" s="5">
        <f>'Orig data'!G14</f>
        <v>144782</v>
      </c>
      <c r="D11" s="5">
        <f>'Orig data'!Q14</f>
        <v>390714</v>
      </c>
      <c r="E11" s="5">
        <f>'Orig data'!AB14</f>
        <v>341713.55149719119</v>
      </c>
      <c r="F11" s="5">
        <f t="shared" si="1"/>
        <v>144.78200000000001</v>
      </c>
      <c r="G11" s="5">
        <f t="shared" si="2"/>
        <v>341.71355149719119</v>
      </c>
      <c r="H11" s="44">
        <f t="shared" si="3"/>
        <v>0.85874365455198176</v>
      </c>
      <c r="I11" s="5">
        <f t="shared" si="4"/>
        <v>245932</v>
      </c>
      <c r="J11" s="26">
        <f t="shared" si="5"/>
        <v>0.62944250781901856</v>
      </c>
      <c r="K11">
        <f>covariates!R20</f>
        <v>144782</v>
      </c>
      <c r="L11">
        <f>covariates!T20</f>
        <v>0.31800387493600252</v>
      </c>
      <c r="M11">
        <f>covariates!V20</f>
        <v>-0.68587385818701796</v>
      </c>
      <c r="N11">
        <f>covariates!U20</f>
        <v>1.2736826659985954</v>
      </c>
      <c r="O11">
        <f>covariates!W20</f>
        <v>-0.39676862648266104</v>
      </c>
      <c r="P11">
        <f>covariates!X20</f>
        <v>-0.30670833768597178</v>
      </c>
      <c r="Q11">
        <f t="shared" si="0"/>
        <v>0.85874365455198176</v>
      </c>
      <c r="R11">
        <f t="shared" si="6"/>
        <v>1960</v>
      </c>
      <c r="S11">
        <f t="shared" si="7"/>
        <v>1.0181734284760582</v>
      </c>
      <c r="T11">
        <f t="shared" si="8"/>
        <v>1.1135509580079894</v>
      </c>
      <c r="AW11" s="46" t="s">
        <v>105</v>
      </c>
      <c r="AX11" s="50">
        <v>0.60718708043583125</v>
      </c>
    </row>
    <row r="12" spans="1:50" x14ac:dyDescent="0.35">
      <c r="A12" t="s">
        <v>52</v>
      </c>
      <c r="B12">
        <v>1961</v>
      </c>
      <c r="C12" s="5">
        <f>'Orig data'!G15</f>
        <v>103920</v>
      </c>
      <c r="D12" s="5">
        <f>'Orig data'!Q15</f>
        <v>253644</v>
      </c>
      <c r="E12" s="5">
        <f>'Orig data'!AB15</f>
        <v>225157.1117145376</v>
      </c>
      <c r="F12" s="5">
        <f t="shared" si="1"/>
        <v>103.92</v>
      </c>
      <c r="G12" s="5">
        <f t="shared" si="2"/>
        <v>225.15711171453759</v>
      </c>
      <c r="H12" s="44">
        <f t="shared" si="3"/>
        <v>0.77317706044885048</v>
      </c>
      <c r="I12" s="5">
        <f t="shared" si="4"/>
        <v>149724</v>
      </c>
      <c r="J12" s="26">
        <f t="shared" si="5"/>
        <v>0.59029190518995123</v>
      </c>
      <c r="K12">
        <f>covariates!R21</f>
        <v>103920</v>
      </c>
      <c r="L12">
        <f>covariates!T21</f>
        <v>-0.61548763107374671</v>
      </c>
      <c r="M12">
        <f>covariates!V21</f>
        <v>-0.70442367861378297</v>
      </c>
      <c r="N12">
        <f>covariates!U21</f>
        <v>-6.0651555523742504E-2</v>
      </c>
      <c r="O12">
        <f>covariates!W21</f>
        <v>-0.39606328894993104</v>
      </c>
      <c r="P12">
        <f>covariates!X21</f>
        <v>-0.10122219620501262</v>
      </c>
      <c r="Q12">
        <f t="shared" si="0"/>
        <v>0.77317706044885048</v>
      </c>
      <c r="R12">
        <f t="shared" si="6"/>
        <v>1961</v>
      </c>
      <c r="S12">
        <f t="shared" si="7"/>
        <v>1.1729342054285323</v>
      </c>
      <c r="T12">
        <f t="shared" si="8"/>
        <v>1.1658180335577497</v>
      </c>
      <c r="AW12" s="46" t="s">
        <v>106</v>
      </c>
      <c r="AX12" s="50">
        <v>0.58818000368272627</v>
      </c>
    </row>
    <row r="13" spans="1:50" x14ac:dyDescent="0.35">
      <c r="A13" t="s">
        <v>52</v>
      </c>
      <c r="B13">
        <v>1962</v>
      </c>
      <c r="C13" s="5">
        <f>'Orig data'!G16</f>
        <v>130357</v>
      </c>
      <c r="D13" s="5">
        <f>'Orig data'!Q16</f>
        <v>249239</v>
      </c>
      <c r="E13" s="5">
        <f>'Orig data'!AB16</f>
        <v>381286.83850328019</v>
      </c>
      <c r="F13" s="5">
        <f t="shared" si="1"/>
        <v>130.357</v>
      </c>
      <c r="G13" s="5">
        <f t="shared" si="2"/>
        <v>381.28683850328019</v>
      </c>
      <c r="H13" s="44">
        <f t="shared" si="3"/>
        <v>1.0732751083257228</v>
      </c>
      <c r="I13" s="5">
        <f t="shared" si="4"/>
        <v>118882</v>
      </c>
      <c r="J13" s="26">
        <f t="shared" si="5"/>
        <v>0.47697992689747593</v>
      </c>
      <c r="K13">
        <f>covariates!R22</f>
        <v>130357</v>
      </c>
      <c r="L13">
        <f>covariates!T22</f>
        <v>0.27974602632904771</v>
      </c>
      <c r="M13">
        <f>covariates!V22</f>
        <v>-0.72297349904054808</v>
      </c>
      <c r="N13">
        <f>covariates!U22</f>
        <v>-0.45600984338221306</v>
      </c>
      <c r="O13">
        <f>covariates!W22</f>
        <v>-0.3590096859316973</v>
      </c>
      <c r="P13">
        <f>covariates!X22</f>
        <v>-0.17622041618659259</v>
      </c>
      <c r="Q13">
        <f t="shared" si="0"/>
        <v>1.0732751083257228</v>
      </c>
      <c r="R13">
        <f t="shared" si="6"/>
        <v>1962</v>
      </c>
      <c r="S13">
        <f t="shared" si="7"/>
        <v>1.0361347183918213</v>
      </c>
      <c r="T13">
        <f t="shared" si="8"/>
        <v>0.99942021466637621</v>
      </c>
      <c r="AW13" s="46" t="s">
        <v>107</v>
      </c>
      <c r="AX13" s="50">
        <v>0.44670938543827354</v>
      </c>
    </row>
    <row r="14" spans="1:50" ht="15" thickBot="1" x14ac:dyDescent="0.4">
      <c r="A14" t="s">
        <v>52</v>
      </c>
      <c r="B14">
        <v>1963</v>
      </c>
      <c r="C14" s="5">
        <f>'Orig data'!G17</f>
        <v>192245</v>
      </c>
      <c r="D14" s="5">
        <f>'Orig data'!Q17</f>
        <v>339884</v>
      </c>
      <c r="E14" s="5">
        <f>'Orig data'!AB17</f>
        <v>443223.01796618348</v>
      </c>
      <c r="F14" s="5">
        <f t="shared" si="1"/>
        <v>192.245</v>
      </c>
      <c r="G14" s="5">
        <f t="shared" si="2"/>
        <v>443.22301796618348</v>
      </c>
      <c r="H14" s="44">
        <f t="shared" si="3"/>
        <v>0.83530246968352773</v>
      </c>
      <c r="I14" s="5">
        <f t="shared" si="4"/>
        <v>147639</v>
      </c>
      <c r="J14" s="26">
        <f t="shared" si="5"/>
        <v>0.43438055336526582</v>
      </c>
      <c r="K14">
        <f>covariates!R23</f>
        <v>192245</v>
      </c>
      <c r="L14">
        <f>covariates!T23</f>
        <v>-0.51601722469565936</v>
      </c>
      <c r="M14">
        <f>covariates!V23</f>
        <v>-0.7415233194673132</v>
      </c>
      <c r="N14">
        <f>covariates!U23</f>
        <v>0.53238587626396305</v>
      </c>
      <c r="O14">
        <f>covariates!W23</f>
        <v>0.49333066915708146</v>
      </c>
      <c r="P14">
        <f>covariates!X23</f>
        <v>-6.0290395923992553E-2</v>
      </c>
      <c r="Q14">
        <f t="shared" si="0"/>
        <v>0.83530246968352773</v>
      </c>
      <c r="R14">
        <f t="shared" si="6"/>
        <v>1963</v>
      </c>
      <c r="S14">
        <f t="shared" si="7"/>
        <v>1.1212053210775017</v>
      </c>
      <c r="T14">
        <f t="shared" si="8"/>
        <v>1.2578935391721329</v>
      </c>
      <c r="AW14" s="47" t="s">
        <v>108</v>
      </c>
      <c r="AX14" s="47">
        <v>66</v>
      </c>
    </row>
    <row r="15" spans="1:50" x14ac:dyDescent="0.35">
      <c r="A15" t="s">
        <v>52</v>
      </c>
      <c r="B15">
        <v>1964</v>
      </c>
      <c r="C15" s="5">
        <f>'Orig data'!G18</f>
        <v>246741</v>
      </c>
      <c r="D15" s="5">
        <f>'Orig data'!Q18</f>
        <v>371556</v>
      </c>
      <c r="E15" s="5">
        <f>'Orig data'!AB18</f>
        <v>987701.82797867933</v>
      </c>
      <c r="F15" s="5">
        <f t="shared" si="1"/>
        <v>246.74100000000001</v>
      </c>
      <c r="G15" s="5">
        <f t="shared" si="2"/>
        <v>987.70182797867938</v>
      </c>
      <c r="H15" s="44">
        <f t="shared" si="3"/>
        <v>1.3870416551709261</v>
      </c>
      <c r="I15" s="5">
        <f t="shared" si="4"/>
        <v>124815</v>
      </c>
      <c r="J15" s="26">
        <f t="shared" si="5"/>
        <v>0.33592513645318606</v>
      </c>
      <c r="K15">
        <f>covariates!R24</f>
        <v>246741</v>
      </c>
      <c r="L15">
        <f>covariates!T24</f>
        <v>-0.63079077051652921</v>
      </c>
      <c r="M15">
        <f>covariates!V24</f>
        <v>-0.7600731398940781</v>
      </c>
      <c r="N15">
        <f>covariates!U24</f>
        <v>-0.77723845226722044</v>
      </c>
      <c r="O15">
        <f>covariates!W24</f>
        <v>2.2873874054561309E-2</v>
      </c>
      <c r="P15">
        <f>covariates!X24</f>
        <v>-0.19486840546877593</v>
      </c>
      <c r="Q15">
        <f t="shared" si="0"/>
        <v>1.3870416551709261</v>
      </c>
      <c r="R15">
        <f t="shared" si="6"/>
        <v>1964</v>
      </c>
      <c r="S15">
        <f t="shared" si="7"/>
        <v>1.1135613698376186</v>
      </c>
      <c r="T15">
        <f t="shared" si="8"/>
        <v>1.0942121061044936</v>
      </c>
    </row>
    <row r="16" spans="1:50" ht="15" thickBot="1" x14ac:dyDescent="0.4">
      <c r="A16" t="s">
        <v>52</v>
      </c>
      <c r="B16">
        <v>1965</v>
      </c>
      <c r="C16" s="5">
        <f>'Orig data'!G19</f>
        <v>129459</v>
      </c>
      <c r="D16" s="5">
        <f>'Orig data'!Q19</f>
        <v>170472</v>
      </c>
      <c r="E16" s="5">
        <f>'Orig data'!AB19</f>
        <v>661146.40932591667</v>
      </c>
      <c r="F16" s="5">
        <f t="shared" si="1"/>
        <v>129.459</v>
      </c>
      <c r="G16" s="5">
        <f t="shared" si="2"/>
        <v>661.14640932591669</v>
      </c>
      <c r="H16" s="44">
        <f t="shared" si="3"/>
        <v>1.6306110833419334</v>
      </c>
      <c r="I16" s="5">
        <f t="shared" si="4"/>
        <v>41013</v>
      </c>
      <c r="J16" s="26">
        <f t="shared" si="5"/>
        <v>0.2405849640996762</v>
      </c>
      <c r="K16">
        <f>covariates!R25</f>
        <v>129459</v>
      </c>
      <c r="L16">
        <f>covariates!T25</f>
        <v>-0.73791274661600914</v>
      </c>
      <c r="M16">
        <f>covariates!V25</f>
        <v>-0.77859612886262075</v>
      </c>
      <c r="N16">
        <f>covariates!U25</f>
        <v>-0.82665823824952933</v>
      </c>
      <c r="O16">
        <f>covariates!W25</f>
        <v>-0.69640221160453175</v>
      </c>
      <c r="P16">
        <f>covariates!X25</f>
        <v>0.9373485616547218</v>
      </c>
      <c r="Q16">
        <f t="shared" si="0"/>
        <v>1.6306110833419334</v>
      </c>
      <c r="R16">
        <f t="shared" si="6"/>
        <v>1965</v>
      </c>
      <c r="S16">
        <f t="shared" si="7"/>
        <v>1.1887697649610882</v>
      </c>
      <c r="T16">
        <f t="shared" si="8"/>
        <v>1.0901757903907352</v>
      </c>
      <c r="AW16" t="s">
        <v>109</v>
      </c>
    </row>
    <row r="17" spans="1:57" x14ac:dyDescent="0.35">
      <c r="A17" t="s">
        <v>52</v>
      </c>
      <c r="B17">
        <v>1966</v>
      </c>
      <c r="C17" s="5">
        <f>'Orig data'!G20</f>
        <v>360810</v>
      </c>
      <c r="D17" s="5">
        <f>'Orig data'!Q20</f>
        <v>419759</v>
      </c>
      <c r="E17" s="5">
        <f>'Orig data'!AB20</f>
        <v>675103.6941361347</v>
      </c>
      <c r="F17" s="5">
        <f t="shared" si="1"/>
        <v>360.81</v>
      </c>
      <c r="G17" s="5">
        <f t="shared" si="2"/>
        <v>675.10369413613466</v>
      </c>
      <c r="H17" s="44">
        <f t="shared" si="3"/>
        <v>0.62651479602582794</v>
      </c>
      <c r="I17" s="5">
        <f t="shared" si="4"/>
        <v>58949</v>
      </c>
      <c r="J17" s="26">
        <f t="shared" si="5"/>
        <v>0.14043534504322719</v>
      </c>
      <c r="K17">
        <f>covariates!R26</f>
        <v>360810</v>
      </c>
      <c r="L17">
        <f>covariates!T26</f>
        <v>-0.26734120875043688</v>
      </c>
      <c r="M17">
        <f>covariates!V26</f>
        <v>-0.79469093294657822</v>
      </c>
      <c r="N17">
        <f>covariates!U26</f>
        <v>-0.75252855927606599</v>
      </c>
      <c r="O17">
        <f>covariates!W26</f>
        <v>-1.2391505667387155</v>
      </c>
      <c r="P17">
        <f>covariates!X26</f>
        <v>-0.98622252264071231</v>
      </c>
      <c r="Q17">
        <f t="shared" si="0"/>
        <v>0.62651479602582794</v>
      </c>
      <c r="R17">
        <f t="shared" si="6"/>
        <v>1966</v>
      </c>
      <c r="S17">
        <f t="shared" si="7"/>
        <v>1.0115446874491065</v>
      </c>
      <c r="T17">
        <f t="shared" si="8"/>
        <v>0.85418980450265791</v>
      </c>
      <c r="AW17" s="48"/>
      <c r="AX17" s="48" t="s">
        <v>113</v>
      </c>
      <c r="AY17" s="48" t="s">
        <v>114</v>
      </c>
      <c r="AZ17" s="48" t="s">
        <v>115</v>
      </c>
      <c r="BA17" s="48" t="s">
        <v>116</v>
      </c>
      <c r="BB17" s="48" t="s">
        <v>117</v>
      </c>
    </row>
    <row r="18" spans="1:57" x14ac:dyDescent="0.35">
      <c r="A18" t="s">
        <v>52</v>
      </c>
      <c r="B18">
        <v>1967</v>
      </c>
      <c r="C18" s="5">
        <f>'Orig data'!G21</f>
        <v>213873</v>
      </c>
      <c r="D18" s="5">
        <f>'Orig data'!Q21</f>
        <v>323003</v>
      </c>
      <c r="E18" s="5">
        <f>'Orig data'!AB21</f>
        <v>545326.67988816742</v>
      </c>
      <c r="F18" s="5">
        <f t="shared" si="1"/>
        <v>213.87299999999999</v>
      </c>
      <c r="G18" s="5">
        <f t="shared" si="2"/>
        <v>545.3266798881674</v>
      </c>
      <c r="H18" s="44">
        <f t="shared" si="3"/>
        <v>0.9360026468140249</v>
      </c>
      <c r="I18" s="5">
        <f t="shared" si="4"/>
        <v>109130</v>
      </c>
      <c r="J18" s="26">
        <f t="shared" si="5"/>
        <v>0.33786063906527186</v>
      </c>
      <c r="K18">
        <f>covariates!R27</f>
        <v>213873</v>
      </c>
      <c r="L18">
        <f>covariates!T27</f>
        <v>-0.14109030834747954</v>
      </c>
      <c r="M18">
        <f>covariates!V27</f>
        <v>-0.79827728449633573</v>
      </c>
      <c r="N18">
        <f>covariates!U27</f>
        <v>-0.57955930833798519</v>
      </c>
      <c r="O18">
        <f>covariates!W27</f>
        <v>-1.6371068921321423</v>
      </c>
      <c r="P18">
        <f>covariates!X27</f>
        <v>-1.5253400203638667</v>
      </c>
      <c r="Q18">
        <f t="shared" si="0"/>
        <v>0.9360026468140249</v>
      </c>
      <c r="R18">
        <f t="shared" si="6"/>
        <v>1967</v>
      </c>
      <c r="S18">
        <f t="shared" si="7"/>
        <v>1.0660183370923466</v>
      </c>
      <c r="T18">
        <f t="shared" si="8"/>
        <v>0.88176882707756066</v>
      </c>
      <c r="X18" t="s">
        <v>102</v>
      </c>
      <c r="AW18" s="46" t="s">
        <v>110</v>
      </c>
      <c r="AX18" s="46">
        <v>3</v>
      </c>
      <c r="AY18" s="46">
        <v>19.123994176643535</v>
      </c>
      <c r="AZ18" s="46">
        <v>6.374664725547845</v>
      </c>
      <c r="BA18" s="46">
        <v>31.945316385205995</v>
      </c>
      <c r="BB18" s="46">
        <v>1.3154675136919917E-12</v>
      </c>
    </row>
    <row r="19" spans="1:57" ht="15" thickBot="1" x14ac:dyDescent="0.4">
      <c r="A19" t="s">
        <v>52</v>
      </c>
      <c r="B19">
        <v>1968</v>
      </c>
      <c r="C19" s="5">
        <f>'Orig data'!G22</f>
        <v>670328</v>
      </c>
      <c r="D19" s="5">
        <f>'Orig data'!Q22</f>
        <v>1153257</v>
      </c>
      <c r="E19" s="5">
        <f>'Orig data'!AB22</f>
        <v>1265058.668922991</v>
      </c>
      <c r="F19" s="5">
        <f t="shared" si="1"/>
        <v>670.32799999999997</v>
      </c>
      <c r="G19" s="5">
        <f t="shared" si="2"/>
        <v>1265.058668922991</v>
      </c>
      <c r="H19" s="44">
        <f t="shared" si="3"/>
        <v>0.63510663384920163</v>
      </c>
      <c r="I19" s="5">
        <f t="shared" si="4"/>
        <v>482929</v>
      </c>
      <c r="J19" s="26">
        <f t="shared" si="5"/>
        <v>0.41875228158164224</v>
      </c>
      <c r="K19">
        <f>covariates!R28</f>
        <v>670328</v>
      </c>
      <c r="L19">
        <f>covariates!T28</f>
        <v>-0.64226812509861675</v>
      </c>
      <c r="M19">
        <f>covariates!V28</f>
        <v>-0.8084595891266686</v>
      </c>
      <c r="N19">
        <f>covariates!U28</f>
        <v>-1.2467264190991543</v>
      </c>
      <c r="O19">
        <f>covariates!W28</f>
        <v>-0.76440085384472822</v>
      </c>
      <c r="P19">
        <f>covariates!X28</f>
        <v>-0.47782904726060038</v>
      </c>
      <c r="Q19">
        <f t="shared" si="0"/>
        <v>0.63510663384920163</v>
      </c>
      <c r="R19">
        <f t="shared" si="6"/>
        <v>1968</v>
      </c>
      <c r="S19">
        <f t="shared" si="7"/>
        <v>0.91537524233282863</v>
      </c>
      <c r="T19">
        <f t="shared" si="8"/>
        <v>0.76561251221160509</v>
      </c>
      <c r="AW19" s="46" t="s">
        <v>111</v>
      </c>
      <c r="AX19" s="46">
        <v>62</v>
      </c>
      <c r="AY19" s="46">
        <v>12.372055052395682</v>
      </c>
      <c r="AZ19" s="46">
        <v>0.19954927503864003</v>
      </c>
      <c r="BA19" s="46"/>
      <c r="BB19" s="46"/>
    </row>
    <row r="20" spans="1:57" ht="15" thickBot="1" x14ac:dyDescent="0.4">
      <c r="A20" t="s">
        <v>52</v>
      </c>
      <c r="B20">
        <v>1969</v>
      </c>
      <c r="C20" s="5">
        <f>'Orig data'!G23</f>
        <v>309220</v>
      </c>
      <c r="D20" s="5">
        <f>'Orig data'!Q23</f>
        <v>578493</v>
      </c>
      <c r="E20" s="5">
        <f>'Orig data'!AB23</f>
        <v>1384571.6850271896</v>
      </c>
      <c r="F20" s="5">
        <f t="shared" si="1"/>
        <v>309.22000000000003</v>
      </c>
      <c r="G20" s="5">
        <f t="shared" si="2"/>
        <v>1384.5716850271895</v>
      </c>
      <c r="H20" s="44">
        <f t="shared" si="3"/>
        <v>1.4990931204305671</v>
      </c>
      <c r="I20" s="5">
        <f t="shared" si="4"/>
        <v>269273</v>
      </c>
      <c r="J20" s="26">
        <f t="shared" si="5"/>
        <v>0.4654732209378506</v>
      </c>
      <c r="K20">
        <f>covariates!R29</f>
        <v>309220</v>
      </c>
      <c r="L20">
        <f>covariates!T29</f>
        <v>-0.77234481036226899</v>
      </c>
      <c r="M20">
        <f>covariates!V29</f>
        <v>-0.81065089369362886</v>
      </c>
      <c r="N20">
        <f>covariates!U29</f>
        <v>1.3478123449720623E-2</v>
      </c>
      <c r="O20">
        <f>covariates!W29</f>
        <v>-1.3810567244139678</v>
      </c>
      <c r="P20">
        <f>covariates!X29</f>
        <v>-0.8735165664819865</v>
      </c>
      <c r="Q20">
        <f t="shared" si="0"/>
        <v>1.4990931204305671</v>
      </c>
      <c r="R20">
        <f t="shared" si="6"/>
        <v>1969</v>
      </c>
      <c r="S20">
        <f t="shared" si="7"/>
        <v>1.11055363550949</v>
      </c>
      <c r="T20">
        <f t="shared" si="8"/>
        <v>1.0016677634624636</v>
      </c>
      <c r="X20" s="49" t="s">
        <v>103</v>
      </c>
      <c r="Y20" s="49"/>
      <c r="AW20" s="47" t="s">
        <v>9</v>
      </c>
      <c r="AX20" s="47">
        <v>65</v>
      </c>
      <c r="AY20" s="47">
        <v>31.496049229039215</v>
      </c>
      <c r="AZ20" s="47"/>
      <c r="BA20" s="47"/>
      <c r="BB20" s="47"/>
    </row>
    <row r="21" spans="1:57" ht="15" thickBot="1" x14ac:dyDescent="0.4">
      <c r="A21" t="s">
        <v>52</v>
      </c>
      <c r="B21">
        <v>1970</v>
      </c>
      <c r="C21" s="5">
        <f>'Orig data'!G24</f>
        <v>284250</v>
      </c>
      <c r="D21" s="5">
        <f>'Orig data'!Q24</f>
        <v>739355</v>
      </c>
      <c r="E21" s="5">
        <f>'Orig data'!AB24</f>
        <v>772488.96786137787</v>
      </c>
      <c r="F21" s="5">
        <f t="shared" si="1"/>
        <v>284.25</v>
      </c>
      <c r="G21" s="5">
        <f t="shared" si="2"/>
        <v>772.48896786137789</v>
      </c>
      <c r="H21" s="44">
        <f t="shared" si="3"/>
        <v>0.9997635949536845</v>
      </c>
      <c r="I21" s="5">
        <f t="shared" si="4"/>
        <v>455105</v>
      </c>
      <c r="J21" s="26">
        <f t="shared" si="5"/>
        <v>0.61554327758654503</v>
      </c>
      <c r="K21">
        <f>covariates!R30</f>
        <v>284250</v>
      </c>
      <c r="L21">
        <f>covariates!T30</f>
        <v>-1.2964773362775812</v>
      </c>
      <c r="M21">
        <f>covariates!V30</f>
        <v>-0.77487521455467079</v>
      </c>
      <c r="N21">
        <f>covariates!U30</f>
        <v>3.8188016440875022E-2</v>
      </c>
      <c r="O21">
        <f>covariates!W30</f>
        <v>-0.8637116502112524</v>
      </c>
      <c r="P21">
        <f>covariates!X30</f>
        <v>-0.38442873962724455</v>
      </c>
      <c r="Q21">
        <f t="shared" si="0"/>
        <v>0.9997635949536845</v>
      </c>
      <c r="R21">
        <f t="shared" si="6"/>
        <v>1970</v>
      </c>
      <c r="S21">
        <f t="shared" si="7"/>
        <v>1.1915895091901483</v>
      </c>
      <c r="T21">
        <f t="shared" si="8"/>
        <v>1.1417751073813891</v>
      </c>
      <c r="X21" s="46" t="s">
        <v>104</v>
      </c>
      <c r="Y21" s="50">
        <v>0.71685151523194357</v>
      </c>
    </row>
    <row r="22" spans="1:57" x14ac:dyDescent="0.35">
      <c r="A22" t="s">
        <v>52</v>
      </c>
      <c r="B22">
        <v>1971</v>
      </c>
      <c r="C22" s="5">
        <f>'Orig data'!G25</f>
        <v>290125</v>
      </c>
      <c r="D22" s="5">
        <f>'Orig data'!Q25</f>
        <v>376364</v>
      </c>
      <c r="E22" s="5">
        <f>'Orig data'!AB25</f>
        <v>579652.29497526027</v>
      </c>
      <c r="F22" s="5">
        <f t="shared" si="1"/>
        <v>290.125</v>
      </c>
      <c r="G22" s="5">
        <f t="shared" si="2"/>
        <v>579.65229497526025</v>
      </c>
      <c r="H22" s="44">
        <f t="shared" si="3"/>
        <v>0.69211656775706698</v>
      </c>
      <c r="I22" s="5">
        <f t="shared" si="4"/>
        <v>86239</v>
      </c>
      <c r="J22" s="26">
        <f t="shared" si="5"/>
        <v>0.22913721822490993</v>
      </c>
      <c r="K22">
        <f>covariates!R31</f>
        <v>290125</v>
      </c>
      <c r="L22">
        <f>covariates!T31</f>
        <v>-1.438031376123321</v>
      </c>
      <c r="M22">
        <f>covariates!V31</f>
        <v>-0.74016060878810297</v>
      </c>
      <c r="N22">
        <f>covariates!U31</f>
        <v>-0.43129995039105873</v>
      </c>
      <c r="O22">
        <f>covariates!W31</f>
        <v>-1.580358255509571</v>
      </c>
      <c r="P22">
        <f>covariates!X31</f>
        <v>-0.77705579827523164</v>
      </c>
      <c r="Q22">
        <f t="shared" si="0"/>
        <v>0.69211656775706698</v>
      </c>
      <c r="R22">
        <f t="shared" si="6"/>
        <v>1971</v>
      </c>
      <c r="S22">
        <f t="shared" si="7"/>
        <v>1.2035943436478724</v>
      </c>
      <c r="T22">
        <f t="shared" si="8"/>
        <v>1.0369783186031469</v>
      </c>
      <c r="X22" s="46" t="s">
        <v>105</v>
      </c>
      <c r="Y22" s="50">
        <v>0.51387609489033337</v>
      </c>
      <c r="AW22" s="48"/>
      <c r="AX22" s="48" t="s">
        <v>118</v>
      </c>
      <c r="AY22" s="48" t="s">
        <v>107</v>
      </c>
      <c r="AZ22" s="48" t="s">
        <v>119</v>
      </c>
      <c r="BA22" s="48" t="s">
        <v>120</v>
      </c>
      <c r="BB22" s="48" t="s">
        <v>121</v>
      </c>
      <c r="BC22" s="48" t="s">
        <v>122</v>
      </c>
      <c r="BD22" s="48" t="s">
        <v>123</v>
      </c>
      <c r="BE22" s="48" t="s">
        <v>124</v>
      </c>
    </row>
    <row r="23" spans="1:57" x14ac:dyDescent="0.35">
      <c r="A23" t="s">
        <v>52</v>
      </c>
      <c r="B23">
        <v>1972</v>
      </c>
      <c r="C23" s="5">
        <f>'Orig data'!G26</f>
        <v>423290</v>
      </c>
      <c r="D23" s="5">
        <f>'Orig data'!Q26</f>
        <v>1349820</v>
      </c>
      <c r="E23" s="5">
        <f>'Orig data'!AB26</f>
        <v>911324.26470989024</v>
      </c>
      <c r="F23" s="5">
        <f t="shared" si="1"/>
        <v>423.29</v>
      </c>
      <c r="G23" s="5">
        <f t="shared" si="2"/>
        <v>911.32426470989026</v>
      </c>
      <c r="H23" s="44">
        <f t="shared" si="3"/>
        <v>0.76684125428570438</v>
      </c>
      <c r="I23" s="5">
        <f t="shared" si="4"/>
        <v>926530</v>
      </c>
      <c r="J23" s="26">
        <f t="shared" si="5"/>
        <v>0.68641003985716609</v>
      </c>
      <c r="K23">
        <f>covariates!R32</f>
        <v>423290</v>
      </c>
      <c r="L23">
        <f>covariates!T32</f>
        <v>-1.1090138781034913</v>
      </c>
      <c r="M23">
        <f>covariates!V32</f>
        <v>-0.70635501767622533</v>
      </c>
      <c r="N23">
        <f>covariates!U32</f>
        <v>-0.38188016440874983</v>
      </c>
      <c r="O23">
        <f>covariates!W32</f>
        <v>-1.8072179410195979</v>
      </c>
      <c r="P23">
        <f>covariates!X32</f>
        <v>1.287615101625466</v>
      </c>
      <c r="Q23">
        <f t="shared" si="0"/>
        <v>0.76684125428570438</v>
      </c>
      <c r="R23">
        <f t="shared" si="6"/>
        <v>1972</v>
      </c>
      <c r="S23">
        <f t="shared" si="7"/>
        <v>1.0869714222407254</v>
      </c>
      <c r="T23">
        <f t="shared" si="8"/>
        <v>0.89473206945840134</v>
      </c>
      <c r="X23" s="46" t="s">
        <v>106</v>
      </c>
      <c r="Y23" s="50">
        <v>0.50628040887299486</v>
      </c>
      <c r="AW23" s="46" t="s">
        <v>112</v>
      </c>
      <c r="AX23" s="46">
        <v>1.0322043462064407</v>
      </c>
      <c r="AY23" s="46">
        <v>8.4420914266478256E-2</v>
      </c>
      <c r="AZ23" s="46">
        <v>12.22687950225513</v>
      </c>
      <c r="BA23" s="46">
        <v>3.5999458138758378E-18</v>
      </c>
      <c r="BB23" s="46">
        <v>0.86344934314583388</v>
      </c>
      <c r="BC23" s="46">
        <v>1.2009593492670476</v>
      </c>
      <c r="BD23" s="46">
        <v>0.86344934314583388</v>
      </c>
      <c r="BE23" s="46">
        <v>1.2009593492670476</v>
      </c>
    </row>
    <row r="24" spans="1:57" x14ac:dyDescent="0.35">
      <c r="A24" t="s">
        <v>52</v>
      </c>
      <c r="B24">
        <v>1973</v>
      </c>
      <c r="C24" s="5">
        <f>'Orig data'!G27</f>
        <v>267080</v>
      </c>
      <c r="D24" s="5">
        <f>'Orig data'!Q27</f>
        <v>1506960</v>
      </c>
      <c r="E24" s="5">
        <f>'Orig data'!AB27</f>
        <v>813139.91537652921</v>
      </c>
      <c r="F24" s="5">
        <f t="shared" si="1"/>
        <v>267.08</v>
      </c>
      <c r="G24" s="5">
        <f t="shared" si="2"/>
        <v>813.13991537652919</v>
      </c>
      <c r="H24" s="44">
        <f t="shared" si="3"/>
        <v>1.1133549533851508</v>
      </c>
      <c r="I24" s="5">
        <f t="shared" si="4"/>
        <v>1239880</v>
      </c>
      <c r="J24" s="26">
        <f t="shared" si="5"/>
        <v>0.82276901842119232</v>
      </c>
      <c r="K24">
        <f>covariates!R33</f>
        <v>267080</v>
      </c>
      <c r="L24">
        <f>covariates!T33</f>
        <v>-1.1166654478248839</v>
      </c>
      <c r="M24">
        <f>covariates!V33</f>
        <v>-0.67676423990970602</v>
      </c>
      <c r="N24">
        <f>covariates!U33</f>
        <v>-0.30775048543528666</v>
      </c>
      <c r="O24">
        <f>covariates!W33</f>
        <v>-0.57709048836825949</v>
      </c>
      <c r="P24">
        <f>covariates!X33</f>
        <v>0.73516174994958516</v>
      </c>
      <c r="Q24">
        <f t="shared" si="0"/>
        <v>1.1133549533851508</v>
      </c>
      <c r="R24">
        <f t="shared" si="6"/>
        <v>1973</v>
      </c>
      <c r="S24">
        <f t="shared" si="7"/>
        <v>1.1599975653836636</v>
      </c>
      <c r="T24">
        <f t="shared" si="8"/>
        <v>1.1103096837745086</v>
      </c>
      <c r="X24" s="46" t="s">
        <v>107</v>
      </c>
      <c r="Y24" s="50">
        <v>0.4891156312472742</v>
      </c>
      <c r="AW24" s="46" t="s">
        <v>30</v>
      </c>
      <c r="AX24" s="46">
        <v>-4.8864608066654181E-7</v>
      </c>
      <c r="AY24" s="46">
        <v>8.0286394612595689E-8</v>
      </c>
      <c r="AZ24" s="46">
        <v>-6.0862875089159978</v>
      </c>
      <c r="BA24" s="46">
        <v>7.9516118147480308E-8</v>
      </c>
      <c r="BB24" s="46">
        <v>-6.4913629670242273E-7</v>
      </c>
      <c r="BC24" s="46">
        <v>-3.281558646306609E-7</v>
      </c>
      <c r="BD24" s="46">
        <v>-6.4913629670242273E-7</v>
      </c>
      <c r="BE24" s="46">
        <v>-3.281558646306609E-7</v>
      </c>
    </row>
    <row r="25" spans="1:57" ht="15" thickBot="1" x14ac:dyDescent="0.4">
      <c r="A25" t="s">
        <v>52</v>
      </c>
      <c r="B25">
        <v>1974</v>
      </c>
      <c r="C25" s="5">
        <f>'Orig data'!G28</f>
        <v>350315</v>
      </c>
      <c r="D25" s="5">
        <f>'Orig data'!Q28</f>
        <v>717854</v>
      </c>
      <c r="E25" s="5">
        <f>'Orig data'!AB28</f>
        <v>1019571.2613318693</v>
      </c>
      <c r="F25" s="5">
        <f t="shared" si="1"/>
        <v>350.315</v>
      </c>
      <c r="G25" s="5">
        <f t="shared" si="2"/>
        <v>1019.5712613318693</v>
      </c>
      <c r="H25" s="44">
        <f t="shared" si="3"/>
        <v>1.068304736160173</v>
      </c>
      <c r="I25" s="5">
        <f t="shared" si="4"/>
        <v>367539</v>
      </c>
      <c r="J25" s="26">
        <f t="shared" si="5"/>
        <v>0.51199686844400116</v>
      </c>
      <c r="K25">
        <f>covariates!R34</f>
        <v>350315</v>
      </c>
      <c r="L25">
        <f>covariates!T34</f>
        <v>-1.5375017825014083</v>
      </c>
      <c r="M25">
        <f>covariates!V34</f>
        <v>-0.67459109858987365</v>
      </c>
      <c r="N25">
        <f>covariates!U34</f>
        <v>0.70535512720204396</v>
      </c>
      <c r="O25">
        <f>covariates!W34</f>
        <v>-0.45059028086191533</v>
      </c>
      <c r="P25">
        <f>covariates!X34</f>
        <v>-0.11173288203127058</v>
      </c>
      <c r="Q25">
        <f t="shared" si="0"/>
        <v>1.068304736160173</v>
      </c>
      <c r="R25">
        <f t="shared" si="6"/>
        <v>1974</v>
      </c>
      <c r="S25">
        <f t="shared" si="7"/>
        <v>1.1785305756550011</v>
      </c>
      <c r="T25">
        <f t="shared" si="8"/>
        <v>1.2227415898317193</v>
      </c>
      <c r="X25" s="47" t="s">
        <v>108</v>
      </c>
      <c r="Y25" s="47">
        <v>66</v>
      </c>
      <c r="AW25" s="46" t="s">
        <v>90</v>
      </c>
      <c r="AX25" s="58">
        <v>-0.1414509279916617</v>
      </c>
      <c r="AY25" s="46">
        <v>6.1024212010248706E-2</v>
      </c>
      <c r="AZ25" s="46">
        <v>-2.3179476363890736</v>
      </c>
      <c r="BA25" s="58">
        <v>2.3766246166817658E-2</v>
      </c>
      <c r="BB25" s="46">
        <v>-0.26343658964955513</v>
      </c>
      <c r="BC25" s="46">
        <v>-1.9465266333768286E-2</v>
      </c>
      <c r="BD25" s="46">
        <v>-0.26343658964955513</v>
      </c>
      <c r="BE25" s="46">
        <v>-1.9465266333768286E-2</v>
      </c>
    </row>
    <row r="26" spans="1:57" ht="15" thickBot="1" x14ac:dyDescent="0.4">
      <c r="A26" t="s">
        <v>52</v>
      </c>
      <c r="B26">
        <v>1975</v>
      </c>
      <c r="C26" s="5">
        <f>'Orig data'!G29</f>
        <v>191420</v>
      </c>
      <c r="D26" s="5">
        <f>'Orig data'!Q29</f>
        <v>486199</v>
      </c>
      <c r="E26" s="5">
        <f>'Orig data'!AB29</f>
        <v>482340.97376990766</v>
      </c>
      <c r="F26" s="5">
        <f t="shared" si="1"/>
        <v>191.42</v>
      </c>
      <c r="G26" s="5">
        <f t="shared" si="2"/>
        <v>482.34097376990769</v>
      </c>
      <c r="H26" s="44">
        <f t="shared" si="3"/>
        <v>0.92418131164356232</v>
      </c>
      <c r="I26" s="5">
        <f t="shared" si="4"/>
        <v>294779</v>
      </c>
      <c r="J26" s="26">
        <f t="shared" si="5"/>
        <v>0.60629289653002161</v>
      </c>
      <c r="K26">
        <f>covariates!R35</f>
        <v>191420</v>
      </c>
      <c r="L26">
        <f>covariates!T35</f>
        <v>-1.438031376123321</v>
      </c>
      <c r="M26">
        <f>covariates!V35</f>
        <v>-0.68217551350500072</v>
      </c>
      <c r="N26">
        <f>covariates!U35</f>
        <v>1.2242628800162865</v>
      </c>
      <c r="O26">
        <f>covariates!W35</f>
        <v>0.43611339617925066</v>
      </c>
      <c r="P26">
        <f>covariates!X35</f>
        <v>0.73195731274107856</v>
      </c>
      <c r="Q26">
        <f t="shared" si="0"/>
        <v>0.92418131164356232</v>
      </c>
      <c r="R26">
        <f t="shared" si="6"/>
        <v>1975</v>
      </c>
      <c r="S26">
        <f t="shared" si="7"/>
        <v>1.2432283950839988</v>
      </c>
      <c r="T26">
        <f t="shared" si="8"/>
        <v>1.4290367866623004</v>
      </c>
      <c r="AW26" s="47" t="s">
        <v>92</v>
      </c>
      <c r="AX26" s="59">
        <v>-0.14827534410502693</v>
      </c>
      <c r="AY26" s="47">
        <v>6.4888437592199935E-2</v>
      </c>
      <c r="AZ26" s="47">
        <v>-2.2850811270396609</v>
      </c>
      <c r="BA26" s="59">
        <v>2.5740930992882074E-2</v>
      </c>
      <c r="BB26" s="47">
        <v>-0.27798548263663259</v>
      </c>
      <c r="BC26" s="47">
        <v>-1.8565205573421284E-2</v>
      </c>
      <c r="BD26" s="47">
        <v>-0.27798548263663259</v>
      </c>
      <c r="BE26" s="47">
        <v>-1.8565205573421284E-2</v>
      </c>
    </row>
    <row r="27" spans="1:57" ht="15" thickBot="1" x14ac:dyDescent="0.4">
      <c r="A27" t="s">
        <v>52</v>
      </c>
      <c r="B27">
        <v>1976</v>
      </c>
      <c r="C27" s="5">
        <f>'Orig data'!G30</f>
        <v>340517</v>
      </c>
      <c r="D27" s="5">
        <f>'Orig data'!Q30</f>
        <v>1003722</v>
      </c>
      <c r="E27" s="5">
        <f>'Orig data'!AB30</f>
        <v>790637.35533950652</v>
      </c>
      <c r="F27" s="5">
        <f t="shared" si="1"/>
        <v>340.517</v>
      </c>
      <c r="G27" s="5">
        <f t="shared" si="2"/>
        <v>790.63735533950648</v>
      </c>
      <c r="H27" s="44">
        <f t="shared" si="3"/>
        <v>0.84237434817882784</v>
      </c>
      <c r="I27" s="5">
        <f t="shared" si="4"/>
        <v>663205</v>
      </c>
      <c r="J27" s="26">
        <f t="shared" si="5"/>
        <v>0.66074570448789605</v>
      </c>
      <c r="K27">
        <f>covariates!R36</f>
        <v>340517</v>
      </c>
      <c r="L27">
        <f>covariates!T36</f>
        <v>-0.82973158327270669</v>
      </c>
      <c r="M27">
        <f>covariates!V36</f>
        <v>-0.68972168413232626</v>
      </c>
      <c r="N27">
        <f>covariates!U36</f>
        <v>1.4960717029189849</v>
      </c>
      <c r="O27">
        <f>covariates!W36</f>
        <v>-5.8828972898451432E-2</v>
      </c>
      <c r="P27">
        <f>covariates!X36</f>
        <v>1.2394640264143406</v>
      </c>
      <c r="Q27">
        <f t="shared" si="0"/>
        <v>0.84237434817882784</v>
      </c>
      <c r="R27">
        <f t="shared" si="6"/>
        <v>1976</v>
      </c>
      <c r="S27">
        <f t="shared" si="7"/>
        <v>1.0854470712454465</v>
      </c>
      <c r="T27">
        <f t="shared" si="8"/>
        <v>1.2345167651573936</v>
      </c>
      <c r="X27" t="s">
        <v>109</v>
      </c>
    </row>
    <row r="28" spans="1:57" x14ac:dyDescent="0.35">
      <c r="A28" t="s">
        <v>52</v>
      </c>
      <c r="B28">
        <v>1977</v>
      </c>
      <c r="C28" s="5">
        <f>'Orig data'!G31</f>
        <v>599341</v>
      </c>
      <c r="D28" s="5">
        <f>'Orig data'!Q31</f>
        <v>722536</v>
      </c>
      <c r="E28" s="5">
        <f>'Orig data'!AB31</f>
        <v>573665.96733916632</v>
      </c>
      <c r="F28" s="5">
        <f t="shared" si="1"/>
        <v>599.34100000000001</v>
      </c>
      <c r="G28" s="5">
        <f t="shared" si="2"/>
        <v>573.66596733916629</v>
      </c>
      <c r="H28" s="44">
        <f t="shared" si="3"/>
        <v>-4.3783429778572559E-2</v>
      </c>
      <c r="I28" s="5">
        <f t="shared" si="4"/>
        <v>123195</v>
      </c>
      <c r="J28" s="26">
        <f t="shared" si="5"/>
        <v>0.1705036150447867</v>
      </c>
      <c r="K28">
        <f>covariates!R37</f>
        <v>599341</v>
      </c>
      <c r="L28">
        <f>covariates!T37</f>
        <v>0.47486105422452751</v>
      </c>
      <c r="M28">
        <f>covariates!V37</f>
        <v>-0.69205874739779571</v>
      </c>
      <c r="N28">
        <f>covariates!U37</f>
        <v>0.92774416412243355</v>
      </c>
      <c r="O28">
        <f>covariates!W37</f>
        <v>-0.13059937285680528</v>
      </c>
      <c r="P28">
        <f>covariates!X37</f>
        <v>0.64127989854472345</v>
      </c>
      <c r="Q28">
        <f t="shared" si="0"/>
        <v>-4.3783429778572559E-2</v>
      </c>
      <c r="R28">
        <f t="shared" si="6"/>
        <v>1977</v>
      </c>
      <c r="S28">
        <f t="shared" si="7"/>
        <v>0.77478442769781874</v>
      </c>
      <c r="T28">
        <f t="shared" si="8"/>
        <v>0.86220133964313295</v>
      </c>
      <c r="X28" s="48"/>
      <c r="Y28" s="48" t="s">
        <v>113</v>
      </c>
      <c r="Z28" s="48" t="s">
        <v>114</v>
      </c>
      <c r="AA28" s="48" t="s">
        <v>115</v>
      </c>
      <c r="AB28" s="48" t="s">
        <v>116</v>
      </c>
      <c r="AC28" s="48" t="s">
        <v>117</v>
      </c>
    </row>
    <row r="29" spans="1:57" x14ac:dyDescent="0.35">
      <c r="A29" t="s">
        <v>52</v>
      </c>
      <c r="B29">
        <v>1978</v>
      </c>
      <c r="C29" s="5">
        <f>'Orig data'!G32</f>
        <v>358990</v>
      </c>
      <c r="D29" s="5">
        <f>'Orig data'!Q32</f>
        <v>1185223</v>
      </c>
      <c r="E29" s="5">
        <f>'Orig data'!AB32</f>
        <v>666342.58408459742</v>
      </c>
      <c r="F29" s="5">
        <f t="shared" si="1"/>
        <v>358.99</v>
      </c>
      <c r="G29" s="5">
        <f t="shared" si="2"/>
        <v>666.34258408459743</v>
      </c>
      <c r="H29" s="44">
        <f t="shared" si="3"/>
        <v>0.6185093958572383</v>
      </c>
      <c r="I29" s="5">
        <f t="shared" si="4"/>
        <v>826233</v>
      </c>
      <c r="J29" s="26">
        <f t="shared" si="5"/>
        <v>0.69711185152498734</v>
      </c>
      <c r="K29">
        <f>covariates!R38</f>
        <v>358990</v>
      </c>
      <c r="L29">
        <f>covariates!T38</f>
        <v>-0.82973158327270669</v>
      </c>
      <c r="M29">
        <f>covariates!V38</f>
        <v>-0.68849257550252763</v>
      </c>
      <c r="N29">
        <f>covariates!U38</f>
        <v>-0.62897909432029397</v>
      </c>
      <c r="O29">
        <f>covariates!W38</f>
        <v>-0.86534444938425259</v>
      </c>
      <c r="P29">
        <f>covariates!X38</f>
        <v>1.0457396123553988</v>
      </c>
      <c r="Q29">
        <f t="shared" si="0"/>
        <v>0.6185093958572383</v>
      </c>
      <c r="R29">
        <f t="shared" si="6"/>
        <v>1978</v>
      </c>
      <c r="S29">
        <f t="shared" si="7"/>
        <v>1.0762380656922674</v>
      </c>
      <c r="T29">
        <f t="shared" si="8"/>
        <v>0.9672393552564712</v>
      </c>
      <c r="X29" s="46" t="s">
        <v>110</v>
      </c>
      <c r="Y29" s="46">
        <v>1</v>
      </c>
      <c r="Z29" s="46">
        <v>16.185066782292367</v>
      </c>
      <c r="AA29" s="46">
        <v>16.185066782292367</v>
      </c>
      <c r="AB29" s="46">
        <v>67.653677853102053</v>
      </c>
      <c r="AC29" s="46">
        <v>1.2930193982916909E-11</v>
      </c>
      <c r="AK29" t="s">
        <v>102</v>
      </c>
    </row>
    <row r="30" spans="1:57" ht="15" thickBot="1" x14ac:dyDescent="0.4">
      <c r="A30" t="s">
        <v>52</v>
      </c>
      <c r="B30">
        <v>1979</v>
      </c>
      <c r="C30" s="5">
        <f>'Orig data'!G33</f>
        <v>255634</v>
      </c>
      <c r="D30" s="5">
        <f>'Orig data'!Q33</f>
        <v>308732</v>
      </c>
      <c r="E30" s="5">
        <f>'Orig data'!AB33</f>
        <v>518168.16439239652</v>
      </c>
      <c r="F30" s="5">
        <f t="shared" si="1"/>
        <v>255.63399999999999</v>
      </c>
      <c r="G30" s="5">
        <f t="shared" si="2"/>
        <v>518.16816439239653</v>
      </c>
      <c r="H30" s="44">
        <f t="shared" si="3"/>
        <v>0.70655309725769067</v>
      </c>
      <c r="I30" s="5">
        <f t="shared" si="4"/>
        <v>53098</v>
      </c>
      <c r="J30" s="26">
        <f t="shared" si="5"/>
        <v>0.17198735472837282</v>
      </c>
      <c r="K30">
        <f>covariates!R39</f>
        <v>255634</v>
      </c>
      <c r="L30">
        <f>covariates!T39</f>
        <v>-1.4839407944522176E-2</v>
      </c>
      <c r="M30">
        <f>covariates!V39</f>
        <v>-0.6582991024123237</v>
      </c>
      <c r="N30">
        <f>covariates!U39</f>
        <v>-1.3455659910637718</v>
      </c>
      <c r="O30">
        <f>covariates!W39</f>
        <v>-0.11917064295329061</v>
      </c>
      <c r="P30">
        <f>covariates!X39</f>
        <v>1.7608580065748596</v>
      </c>
      <c r="Q30">
        <f t="shared" si="0"/>
        <v>0.70655309725769067</v>
      </c>
      <c r="R30">
        <f t="shared" si="6"/>
        <v>1979</v>
      </c>
      <c r="S30">
        <f t="shared" si="7"/>
        <v>1.0069983679801471</v>
      </c>
      <c r="T30">
        <f t="shared" si="8"/>
        <v>0.92141723717236768</v>
      </c>
      <c r="X30" s="46" t="s">
        <v>111</v>
      </c>
      <c r="Y30" s="46">
        <v>64</v>
      </c>
      <c r="Z30" s="46">
        <v>15.310982446746848</v>
      </c>
      <c r="AA30" s="46">
        <v>0.23923410073041951</v>
      </c>
      <c r="AB30" s="46"/>
      <c r="AC30" s="46"/>
      <c r="AW30" t="s">
        <v>125</v>
      </c>
    </row>
    <row r="31" spans="1:57" ht="15" thickBot="1" x14ac:dyDescent="0.4">
      <c r="A31" t="s">
        <v>52</v>
      </c>
      <c r="B31">
        <v>1980</v>
      </c>
      <c r="C31" s="5">
        <f>'Orig data'!G34</f>
        <v>314011</v>
      </c>
      <c r="D31" s="5">
        <f>'Orig data'!Q34</f>
        <v>909353</v>
      </c>
      <c r="E31" s="5">
        <f>'Orig data'!AB34</f>
        <v>760537.66313594871</v>
      </c>
      <c r="F31" s="5">
        <f t="shared" si="1"/>
        <v>314.01100000000002</v>
      </c>
      <c r="G31" s="5">
        <f t="shared" si="2"/>
        <v>760.53766313594872</v>
      </c>
      <c r="H31" s="44">
        <f t="shared" si="3"/>
        <v>0.88459761750741206</v>
      </c>
      <c r="I31" s="5">
        <f t="shared" si="4"/>
        <v>595342</v>
      </c>
      <c r="J31" s="26">
        <f t="shared" si="5"/>
        <v>0.6546874536071251</v>
      </c>
      <c r="K31">
        <f>covariates!R40</f>
        <v>314011</v>
      </c>
      <c r="L31">
        <f>covariates!T40</f>
        <v>9.6108353015652709E-2</v>
      </c>
      <c r="M31">
        <f>covariates!V40</f>
        <v>-0.63811957898072502</v>
      </c>
      <c r="N31">
        <f>covariates!U40</f>
        <v>-0.62897909432029397</v>
      </c>
      <c r="O31">
        <f>covariates!W40</f>
        <v>-0.30043060523395776</v>
      </c>
      <c r="P31">
        <f>covariates!X40</f>
        <v>0.99525166266150833</v>
      </c>
      <c r="Q31">
        <f t="shared" si="0"/>
        <v>0.88459761750741206</v>
      </c>
      <c r="R31">
        <f t="shared" si="6"/>
        <v>1980</v>
      </c>
      <c r="S31">
        <f t="shared" si="7"/>
        <v>0.95978688620196695</v>
      </c>
      <c r="T31">
        <f t="shared" si="8"/>
        <v>0.90934001738606018</v>
      </c>
      <c r="X31" s="47" t="s">
        <v>9</v>
      </c>
      <c r="Y31" s="47">
        <v>65</v>
      </c>
      <c r="Z31" s="47">
        <v>31.496049229039215</v>
      </c>
      <c r="AA31" s="47"/>
      <c r="AB31" s="47"/>
      <c r="AC31" s="47"/>
      <c r="AK31" s="49" t="s">
        <v>103</v>
      </c>
      <c r="AL31" s="49"/>
    </row>
    <row r="32" spans="1:57" ht="15" thickBot="1" x14ac:dyDescent="0.4">
      <c r="A32" t="s">
        <v>52</v>
      </c>
      <c r="B32">
        <v>1981</v>
      </c>
      <c r="C32" s="5">
        <f>'Orig data'!G35</f>
        <v>436996</v>
      </c>
      <c r="D32" s="5">
        <f>'Orig data'!Q35</f>
        <v>500271</v>
      </c>
      <c r="E32" s="5">
        <f>'Orig data'!AB35</f>
        <v>1671325.9801148491</v>
      </c>
      <c r="F32" s="5">
        <f t="shared" si="1"/>
        <v>436.99599999999998</v>
      </c>
      <c r="G32" s="5">
        <f t="shared" si="2"/>
        <v>1671.325980114849</v>
      </c>
      <c r="H32" s="44">
        <f t="shared" si="3"/>
        <v>1.3414485486926537</v>
      </c>
      <c r="I32" s="5">
        <f t="shared" si="4"/>
        <v>63275</v>
      </c>
      <c r="J32" s="26">
        <f t="shared" si="5"/>
        <v>0.12648144705569581</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1.3414485486926537</v>
      </c>
      <c r="R32">
        <f t="shared" si="6"/>
        <v>1981</v>
      </c>
      <c r="S32">
        <f t="shared" si="7"/>
        <v>0.93881642214842609</v>
      </c>
      <c r="T32">
        <f t="shared" si="8"/>
        <v>0.89042836503616496</v>
      </c>
      <c r="AK32" s="46" t="s">
        <v>104</v>
      </c>
      <c r="AL32" s="50">
        <v>0.78855777839253638</v>
      </c>
      <c r="AW32" s="48" t="s">
        <v>126</v>
      </c>
      <c r="AX32" s="48" t="s">
        <v>127</v>
      </c>
      <c r="AY32" s="48" t="s">
        <v>128</v>
      </c>
      <c r="AZ32" s="48" t="s">
        <v>129</v>
      </c>
    </row>
    <row r="33" spans="1:52" x14ac:dyDescent="0.35">
      <c r="A33" t="s">
        <v>52</v>
      </c>
      <c r="B33">
        <v>1982</v>
      </c>
      <c r="C33" s="5">
        <f>'Orig data'!G36</f>
        <v>326439</v>
      </c>
      <c r="D33" s="5">
        <f>'Orig data'!Q36</f>
        <v>724011</v>
      </c>
      <c r="E33" s="5">
        <f>'Orig data'!AB36</f>
        <v>1462818.3804338966</v>
      </c>
      <c r="F33" s="5">
        <f t="shared" si="1"/>
        <v>326.43900000000002</v>
      </c>
      <c r="G33" s="5">
        <f t="shared" si="2"/>
        <v>1462.8183804338967</v>
      </c>
      <c r="H33" s="44">
        <f t="shared" si="3"/>
        <v>1.4998771501905774</v>
      </c>
      <c r="I33" s="5">
        <f t="shared" si="4"/>
        <v>397572</v>
      </c>
      <c r="J33" s="26">
        <f t="shared" si="5"/>
        <v>0.54912425363703032</v>
      </c>
      <c r="K33">
        <f>covariates!R42</f>
        <v>326439</v>
      </c>
      <c r="L33">
        <f>covariates!T42</f>
        <v>1.0984639865179271</v>
      </c>
      <c r="M33">
        <f>covariates!V42</f>
        <v>-0.58645118194482659</v>
      </c>
      <c r="N33">
        <f>covariates!U42</f>
        <v>0.28528694635241914</v>
      </c>
      <c r="O33">
        <f>covariates!W42</f>
        <v>-0.30433541110847406</v>
      </c>
      <c r="P33">
        <f>covariates!X42</f>
        <v>1.9247806789274147</v>
      </c>
      <c r="Q33">
        <f t="shared" si="0"/>
        <v>1.4998771501905774</v>
      </c>
      <c r="R33">
        <f t="shared" si="6"/>
        <v>1982</v>
      </c>
      <c r="S33">
        <f t="shared" si="7"/>
        <v>0.80426870882502355</v>
      </c>
      <c r="T33">
        <f t="shared" si="8"/>
        <v>0.82168599470999582</v>
      </c>
      <c r="X33" s="48"/>
      <c r="Y33" s="48" t="s">
        <v>118</v>
      </c>
      <c r="Z33" s="48" t="s">
        <v>107</v>
      </c>
      <c r="AA33" s="48" t="s">
        <v>119</v>
      </c>
      <c r="AB33" s="48" t="s">
        <v>120</v>
      </c>
      <c r="AC33" s="48" t="s">
        <v>121</v>
      </c>
      <c r="AD33" s="48" t="s">
        <v>122</v>
      </c>
      <c r="AE33" s="48" t="s">
        <v>123</v>
      </c>
      <c r="AF33" s="48" t="s">
        <v>124</v>
      </c>
      <c r="AK33" s="46" t="s">
        <v>105</v>
      </c>
      <c r="AL33" s="50">
        <v>0.6218233698633725</v>
      </c>
      <c r="AW33" s="46">
        <v>1</v>
      </c>
      <c r="AX33" s="46">
        <v>1.1215653886066623</v>
      </c>
      <c r="AY33" s="46">
        <v>-0.14276057649733809</v>
      </c>
      <c r="AZ33" s="46">
        <v>-0.32722317141492352</v>
      </c>
    </row>
    <row r="34" spans="1:52" x14ac:dyDescent="0.35">
      <c r="A34" t="s">
        <v>52</v>
      </c>
      <c r="B34">
        <v>1983</v>
      </c>
      <c r="C34" s="5">
        <f>'Orig data'!G37</f>
        <v>371770</v>
      </c>
      <c r="D34" s="5">
        <f>'Orig data'!Q37</f>
        <v>470101</v>
      </c>
      <c r="E34" s="5">
        <f>'Orig data'!AB37</f>
        <v>673139.64376411797</v>
      </c>
      <c r="F34" s="5">
        <f t="shared" si="1"/>
        <v>371.77</v>
      </c>
      <c r="G34" s="5">
        <f t="shared" si="2"/>
        <v>673.13964376411798</v>
      </c>
      <c r="H34" s="44">
        <f t="shared" si="3"/>
        <v>0.59367741908002314</v>
      </c>
      <c r="I34" s="5">
        <f t="shared" si="4"/>
        <v>98331</v>
      </c>
      <c r="J34" s="26">
        <f t="shared" si="5"/>
        <v>0.20916994433111183</v>
      </c>
      <c r="K34">
        <f>covariates!R43</f>
        <v>371770</v>
      </c>
      <c r="L34">
        <f>covariates!T43</f>
        <v>0.65084715781652991</v>
      </c>
      <c r="M34">
        <f>covariates!V43</f>
        <v>-0.55211166104157927</v>
      </c>
      <c r="N34">
        <f>covariates!U43</f>
        <v>1.3478123449720623E-2</v>
      </c>
      <c r="O34">
        <f>covariates!W43</f>
        <v>-0.95495528497240845</v>
      </c>
      <c r="P34">
        <f>covariates!X43</f>
        <v>0.93910201499354218</v>
      </c>
      <c r="Q34">
        <f t="shared" si="0"/>
        <v>0.59367741908002314</v>
      </c>
      <c r="R34">
        <f t="shared" si="6"/>
        <v>1983</v>
      </c>
      <c r="S34">
        <f t="shared" si="7"/>
        <v>0.84034200486849497</v>
      </c>
      <c r="T34">
        <f t="shared" si="8"/>
        <v>0.76391453657526209</v>
      </c>
      <c r="X34" s="46" t="s">
        <v>112</v>
      </c>
      <c r="Y34" s="46">
        <v>1.1470852007008079</v>
      </c>
      <c r="Z34" s="46">
        <v>8.5969062546344913E-2</v>
      </c>
      <c r="AA34" s="46">
        <v>13.342999990053722</v>
      </c>
      <c r="AB34" s="46">
        <v>3.7594570379346764E-20</v>
      </c>
      <c r="AC34" s="46">
        <v>0.97534225509808192</v>
      </c>
      <c r="AD34" s="46">
        <v>1.3188281463035338</v>
      </c>
      <c r="AE34" s="46">
        <v>0.97534225509808192</v>
      </c>
      <c r="AF34" s="46">
        <v>1.3188281463035338</v>
      </c>
      <c r="AK34" s="46" t="s">
        <v>106</v>
      </c>
      <c r="AL34" s="50">
        <v>0.59030865068532024</v>
      </c>
      <c r="AW34" s="46">
        <v>2</v>
      </c>
      <c r="AX34" s="46">
        <v>1.0135869970044853</v>
      </c>
      <c r="AY34" s="46">
        <v>-0.48599406597743133</v>
      </c>
      <c r="AZ34" s="46">
        <v>-1.1139526293586655</v>
      </c>
    </row>
    <row r="35" spans="1:52" ht="15" thickBot="1" x14ac:dyDescent="0.4">
      <c r="A35" t="s">
        <v>52</v>
      </c>
      <c r="B35">
        <v>1984</v>
      </c>
      <c r="C35" s="5">
        <f>'Orig data'!G38</f>
        <v>541478</v>
      </c>
      <c r="D35" s="5">
        <f>'Orig data'!Q38</f>
        <v>612803</v>
      </c>
      <c r="E35" s="5">
        <f>'Orig data'!AB38</f>
        <v>984259.76243600273</v>
      </c>
      <c r="F35" s="5">
        <f t="shared" si="1"/>
        <v>541.47799999999995</v>
      </c>
      <c r="G35" s="5">
        <f t="shared" si="2"/>
        <v>984.25976243600269</v>
      </c>
      <c r="H35" s="44">
        <f t="shared" si="3"/>
        <v>0.59758741069926624</v>
      </c>
      <c r="I35" s="5">
        <f t="shared" si="4"/>
        <v>71325</v>
      </c>
      <c r="J35" s="26">
        <f t="shared" si="5"/>
        <v>0.11639140147812592</v>
      </c>
      <c r="K35">
        <f>covariates!R44</f>
        <v>541478</v>
      </c>
      <c r="L35">
        <f>covariates!T44</f>
        <v>-1.4839407944522176E-2</v>
      </c>
      <c r="M35">
        <f>covariates!V44</f>
        <v>-0.53725736599905283</v>
      </c>
      <c r="N35">
        <f>covariates!U44</f>
        <v>0.13702758840549265</v>
      </c>
      <c r="O35">
        <f>covariates!W44</f>
        <v>-1.0919185894373749</v>
      </c>
      <c r="P35">
        <f>covariates!X44</f>
        <v>-0.50472780352659885</v>
      </c>
      <c r="Q35">
        <f t="shared" si="0"/>
        <v>0.59758741069926624</v>
      </c>
      <c r="R35">
        <f t="shared" si="6"/>
        <v>1984</v>
      </c>
      <c r="S35">
        <f t="shared" si="7"/>
        <v>0.84937431258035256</v>
      </c>
      <c r="T35">
        <f t="shared" si="8"/>
        <v>0.76548963312352336</v>
      </c>
      <c r="X35" s="47" t="s">
        <v>30</v>
      </c>
      <c r="Y35" s="47">
        <v>-6.3263092839738926E-7</v>
      </c>
      <c r="Z35" s="47">
        <v>7.6913878977555527E-8</v>
      </c>
      <c r="AA35" s="47">
        <v>-8.2251855816815489</v>
      </c>
      <c r="AB35" s="47">
        <v>1.2930193982917003E-11</v>
      </c>
      <c r="AC35" s="47">
        <v>-7.8628406525945434E-7</v>
      </c>
      <c r="AD35" s="47">
        <v>-4.7897779153532419E-7</v>
      </c>
      <c r="AE35" s="47">
        <v>-7.8628406525945434E-7</v>
      </c>
      <c r="AF35" s="47">
        <v>-4.7897779153532419E-7</v>
      </c>
      <c r="AK35" s="46" t="s">
        <v>107</v>
      </c>
      <c r="AL35" s="50">
        <v>0.44555339672620192</v>
      </c>
      <c r="AW35" s="46">
        <v>3</v>
      </c>
      <c r="AX35" s="46">
        <v>1.1498201553223504</v>
      </c>
      <c r="AY35" s="46">
        <v>-0.24762325156866605</v>
      </c>
      <c r="AZ35" s="46">
        <v>-0.56758012388584878</v>
      </c>
    </row>
    <row r="36" spans="1:52" ht="15" thickBot="1" x14ac:dyDescent="0.4">
      <c r="A36" t="s">
        <v>52</v>
      </c>
      <c r="B36">
        <v>1985</v>
      </c>
      <c r="C36" s="5">
        <f>'Orig data'!G39</f>
        <v>1383808</v>
      </c>
      <c r="D36" s="5">
        <f>'Orig data'!Q39</f>
        <v>1839044</v>
      </c>
      <c r="E36" s="5">
        <f>'Orig data'!AB39</f>
        <v>1154731.9912101116</v>
      </c>
      <c r="F36" s="5">
        <f t="shared" si="1"/>
        <v>1383.808</v>
      </c>
      <c r="G36" s="5">
        <f t="shared" si="2"/>
        <v>1154.7319912101116</v>
      </c>
      <c r="H36" s="44">
        <f t="shared" si="3"/>
        <v>-0.18097084444265166</v>
      </c>
      <c r="I36" s="5">
        <f t="shared" si="4"/>
        <v>455236</v>
      </c>
      <c r="J36" s="26">
        <f t="shared" si="5"/>
        <v>0.24753948247023996</v>
      </c>
      <c r="K36">
        <f>covariates!R45</f>
        <v>1383808</v>
      </c>
      <c r="L36">
        <f>covariates!T45</f>
        <v>-0.24821228444695947</v>
      </c>
      <c r="M36">
        <f>covariates!V45</f>
        <v>-0.52094944511260732</v>
      </c>
      <c r="N36">
        <f>covariates!U45</f>
        <v>-1.1231769541433823</v>
      </c>
      <c r="O36">
        <f>covariates!W45</f>
        <v>0.32259546375996317</v>
      </c>
      <c r="P36">
        <f>covariates!X45</f>
        <v>-0.76724552453108652</v>
      </c>
      <c r="Q36">
        <f t="shared" si="0"/>
        <v>-0.18097084444265166</v>
      </c>
      <c r="R36">
        <f t="shared" si="6"/>
        <v>1985</v>
      </c>
      <c r="S36">
        <f t="shared" si="7"/>
        <v>0.46836580682078227</v>
      </c>
      <c r="T36">
        <f t="shared" si="8"/>
        <v>0.42139051843384967</v>
      </c>
      <c r="AK36" s="47" t="s">
        <v>108</v>
      </c>
      <c r="AL36" s="47">
        <v>66</v>
      </c>
      <c r="AW36" s="46">
        <v>4</v>
      </c>
      <c r="AX36" s="46">
        <v>1.2665632909645048</v>
      </c>
      <c r="AY36" s="46">
        <v>0.5749272487044419</v>
      </c>
      <c r="AZ36" s="46">
        <v>1.3177974078679335</v>
      </c>
    </row>
    <row r="37" spans="1:52" x14ac:dyDescent="0.35">
      <c r="A37" t="s">
        <v>52</v>
      </c>
      <c r="B37">
        <v>1986</v>
      </c>
      <c r="C37" s="5">
        <f>'Orig data'!G40</f>
        <v>997327</v>
      </c>
      <c r="D37" s="5">
        <f>'Orig data'!Q40</f>
        <v>1580868</v>
      </c>
      <c r="E37" s="5">
        <f>'Orig data'!AB40</f>
        <v>1522545.2624981394</v>
      </c>
      <c r="F37" s="5">
        <f t="shared" si="1"/>
        <v>997.327</v>
      </c>
      <c r="G37" s="5">
        <f t="shared" si="2"/>
        <v>1522.5452624981394</v>
      </c>
      <c r="H37" s="44">
        <f t="shared" si="3"/>
        <v>0.4230600280662542</v>
      </c>
      <c r="I37" s="5">
        <f t="shared" si="4"/>
        <v>583541</v>
      </c>
      <c r="J37" s="26">
        <f t="shared" si="5"/>
        <v>0.36912696063175421</v>
      </c>
      <c r="K37">
        <f>covariates!R46</f>
        <v>997327</v>
      </c>
      <c r="L37">
        <f>covariates!T46</f>
        <v>0.88039424945827227</v>
      </c>
      <c r="M37">
        <f>covariates!V46</f>
        <v>-0.49958460082961131</v>
      </c>
      <c r="N37">
        <f>covariates!U46</f>
        <v>0.28528694635241914</v>
      </c>
      <c r="O37">
        <f>covariates!W46</f>
        <v>0.3462793323899348</v>
      </c>
      <c r="P37">
        <f>covariates!X46</f>
        <v>-1.2712216938226724</v>
      </c>
      <c r="Q37">
        <f t="shared" si="0"/>
        <v>0.4230600280662542</v>
      </c>
      <c r="R37">
        <f t="shared" si="6"/>
        <v>1986</v>
      </c>
      <c r="S37">
        <f t="shared" si="7"/>
        <v>0.4944079115267086</v>
      </c>
      <c r="T37">
        <f t="shared" si="8"/>
        <v>0.56665787100186449</v>
      </c>
      <c r="AW37" s="46">
        <v>5</v>
      </c>
      <c r="AX37" s="46">
        <v>1.3036602821870313</v>
      </c>
      <c r="AY37" s="46">
        <v>0.3995058184723721</v>
      </c>
      <c r="AZ37" s="46">
        <v>0.91571191519867445</v>
      </c>
    </row>
    <row r="38" spans="1:52" ht="15" thickBot="1" x14ac:dyDescent="0.4">
      <c r="A38" t="s">
        <v>52</v>
      </c>
      <c r="B38">
        <v>1987</v>
      </c>
      <c r="C38" s="5">
        <f>'Orig data'!G41</f>
        <v>363671</v>
      </c>
      <c r="D38" s="5">
        <f>'Orig data'!Q41</f>
        <v>481076</v>
      </c>
      <c r="E38" s="5">
        <f>'Orig data'!AB41</f>
        <v>1482704.3872326303</v>
      </c>
      <c r="F38" s="5">
        <f t="shared" si="1"/>
        <v>363.67099999999999</v>
      </c>
      <c r="G38" s="5">
        <f t="shared" si="2"/>
        <v>1482.7043872326303</v>
      </c>
      <c r="H38" s="44">
        <f t="shared" si="3"/>
        <v>1.4053733752002293</v>
      </c>
      <c r="I38" s="5">
        <f t="shared" si="4"/>
        <v>117405</v>
      </c>
      <c r="J38" s="26">
        <f t="shared" si="5"/>
        <v>0.24404667869525812</v>
      </c>
      <c r="K38">
        <f>covariates!R47</f>
        <v>363671</v>
      </c>
      <c r="L38">
        <f>covariates!T47</f>
        <v>0.69675657614487729</v>
      </c>
      <c r="M38">
        <f>covariates!V47</f>
        <v>-0.45567869652766718</v>
      </c>
      <c r="N38">
        <f>covariates!U47</f>
        <v>0.85361448514897043</v>
      </c>
      <c r="O38">
        <f>covariates!W47</f>
        <v>9.1080077030883985E-2</v>
      </c>
      <c r="P38">
        <f>covariates!X47</f>
        <v>0.27969825456171127</v>
      </c>
      <c r="Q38">
        <f t="shared" si="0"/>
        <v>1.4053733752002293</v>
      </c>
      <c r="R38">
        <f t="shared" si="6"/>
        <v>1987</v>
      </c>
      <c r="S38">
        <f t="shared" si="7"/>
        <v>0.82350698865334304</v>
      </c>
      <c r="T38">
        <f t="shared" si="8"/>
        <v>0.92503013847203985</v>
      </c>
      <c r="AK38" t="s">
        <v>109</v>
      </c>
      <c r="AW38" s="46">
        <v>6</v>
      </c>
      <c r="AX38" s="46">
        <v>1.2409750030826272</v>
      </c>
      <c r="AY38" s="46">
        <v>1.256657791946231</v>
      </c>
      <c r="AZ38" s="46">
        <v>2.8803998845688898</v>
      </c>
    </row>
    <row r="39" spans="1:52" x14ac:dyDescent="0.35">
      <c r="A39" t="s">
        <v>52</v>
      </c>
      <c r="B39">
        <v>1988</v>
      </c>
      <c r="C39" s="5">
        <f>'Orig data'!G42</f>
        <v>528467</v>
      </c>
      <c r="D39" s="5">
        <f>'Orig data'!Q42</f>
        <v>1035111</v>
      </c>
      <c r="E39" s="5">
        <f>'Orig data'!AB42</f>
        <v>1535457.5528593045</v>
      </c>
      <c r="F39" s="5">
        <f t="shared" si="1"/>
        <v>528.46699999999998</v>
      </c>
      <c r="G39" s="5">
        <f t="shared" si="2"/>
        <v>1535.4575528593045</v>
      </c>
      <c r="H39" s="44">
        <f t="shared" si="3"/>
        <v>1.0666033331525118</v>
      </c>
      <c r="I39" s="5">
        <f t="shared" si="4"/>
        <v>506644</v>
      </c>
      <c r="J39" s="26">
        <f t="shared" si="5"/>
        <v>0.4894586184476834</v>
      </c>
      <c r="K39">
        <f>covariates!R48</f>
        <v>528467</v>
      </c>
      <c r="L39">
        <f>covariates!T48</f>
        <v>0.23766239286139526</v>
      </c>
      <c r="M39">
        <f>covariates!V48</f>
        <v>-0.43718145242390405</v>
      </c>
      <c r="N39">
        <f>covariates!U48</f>
        <v>0.87832437814012487</v>
      </c>
      <c r="O39">
        <f>covariates!W48</f>
        <v>0.57441929449176166</v>
      </c>
      <c r="P39">
        <f>covariates!X48</f>
        <v>0.72729914083169778</v>
      </c>
      <c r="Q39">
        <f t="shared" si="0"/>
        <v>1.0666033331525118</v>
      </c>
      <c r="R39">
        <f t="shared" si="6"/>
        <v>1988</v>
      </c>
      <c r="S39">
        <f t="shared" si="7"/>
        <v>0.80517668217036187</v>
      </c>
      <c r="T39">
        <f t="shared" si="8"/>
        <v>0.95862792480584502</v>
      </c>
      <c r="X39" t="s">
        <v>125</v>
      </c>
      <c r="AK39" s="48"/>
      <c r="AL39" s="48" t="s">
        <v>113</v>
      </c>
      <c r="AM39" s="48" t="s">
        <v>114</v>
      </c>
      <c r="AN39" s="48" t="s">
        <v>115</v>
      </c>
      <c r="AO39" s="48" t="s">
        <v>116</v>
      </c>
      <c r="AP39" s="48" t="s">
        <v>117</v>
      </c>
      <c r="AW39" s="46">
        <v>7</v>
      </c>
      <c r="AX39" s="46">
        <v>0.97232987408092242</v>
      </c>
      <c r="AY39" s="46">
        <v>0.17974228536215986</v>
      </c>
      <c r="AZ39" s="46">
        <v>0.41198937477440639</v>
      </c>
    </row>
    <row r="40" spans="1:52" ht="15" thickBot="1" x14ac:dyDescent="0.4">
      <c r="A40" t="s">
        <v>52</v>
      </c>
      <c r="B40">
        <v>1989</v>
      </c>
      <c r="C40" s="5">
        <f>'Orig data'!G43</f>
        <v>739647</v>
      </c>
      <c r="D40" s="5">
        <f>'Orig data'!Q43</f>
        <v>1094661</v>
      </c>
      <c r="E40" s="5">
        <f>'Orig data'!AB43</f>
        <v>1593610.9601886882</v>
      </c>
      <c r="F40" s="5">
        <f t="shared" si="1"/>
        <v>739.64700000000005</v>
      </c>
      <c r="G40" s="5">
        <f t="shared" si="2"/>
        <v>1593.6109601886883</v>
      </c>
      <c r="H40" s="44">
        <f t="shared" si="3"/>
        <v>0.76758471907752701</v>
      </c>
      <c r="I40" s="5">
        <f t="shared" si="4"/>
        <v>355014</v>
      </c>
      <c r="J40" s="26">
        <f t="shared" si="5"/>
        <v>0.32431410272221262</v>
      </c>
      <c r="K40">
        <f>covariates!R49</f>
        <v>739647</v>
      </c>
      <c r="L40">
        <f>covariates!T49</f>
        <v>0.81918169168713972</v>
      </c>
      <c r="M40">
        <f>covariates!V49</f>
        <v>-0.48915912005853013</v>
      </c>
      <c r="N40">
        <f>covariates!U49</f>
        <v>8.7607802423182862E-2</v>
      </c>
      <c r="O40">
        <f>covariates!W49</f>
        <v>0.80436300187548815</v>
      </c>
      <c r="P40">
        <f>covariates!X49</f>
        <v>0.80539560488772288</v>
      </c>
      <c r="Q40">
        <f t="shared" si="0"/>
        <v>0.76758471907752701</v>
      </c>
      <c r="R40">
        <f t="shared" si="6"/>
        <v>1989</v>
      </c>
      <c r="S40">
        <f t="shared" si="7"/>
        <v>0.62743496494554063</v>
      </c>
      <c r="T40">
        <f t="shared" si="8"/>
        <v>0.73905252635848184</v>
      </c>
      <c r="AK40" s="46" t="s">
        <v>110</v>
      </c>
      <c r="AL40" s="46">
        <v>5</v>
      </c>
      <c r="AM40" s="46">
        <v>19.584979468983839</v>
      </c>
      <c r="AN40" s="46">
        <v>3.9169958937967677</v>
      </c>
      <c r="AO40" s="46">
        <v>19.731204531767716</v>
      </c>
      <c r="AP40" s="46">
        <v>1.4212093446202349E-11</v>
      </c>
      <c r="AW40" s="46">
        <v>8</v>
      </c>
      <c r="AX40" s="46">
        <v>1.1081074437255205</v>
      </c>
      <c r="AY40" s="46">
        <v>-3.3496910251123113E-2</v>
      </c>
      <c r="AZ40" s="46">
        <v>-7.677865608211483E-2</v>
      </c>
    </row>
    <row r="41" spans="1:52" x14ac:dyDescent="0.35">
      <c r="A41" t="s">
        <v>52</v>
      </c>
      <c r="B41">
        <v>1990</v>
      </c>
      <c r="C41" s="5">
        <f>'Orig data'!G44</f>
        <v>861972</v>
      </c>
      <c r="D41" s="5">
        <f>'Orig data'!Q44</f>
        <v>1594885</v>
      </c>
      <c r="E41" s="5">
        <f>'Orig data'!AB44</f>
        <v>2146403.1629478713</v>
      </c>
      <c r="F41" s="5">
        <f t="shared" si="1"/>
        <v>861.97199999999998</v>
      </c>
      <c r="G41" s="5">
        <f t="shared" si="2"/>
        <v>2146.4031629478714</v>
      </c>
      <c r="H41" s="44">
        <f t="shared" si="3"/>
        <v>0.91232598517879238</v>
      </c>
      <c r="I41" s="5">
        <f t="shared" si="4"/>
        <v>732913</v>
      </c>
      <c r="J41" s="26">
        <f t="shared" si="5"/>
        <v>0.45953971602968241</v>
      </c>
      <c r="K41">
        <f>covariates!R50</f>
        <v>861972</v>
      </c>
      <c r="L41">
        <f>covariates!T50</f>
        <v>0.37539064784644011</v>
      </c>
      <c r="M41">
        <f>covariates!V50</f>
        <v>-0.53437066183625082</v>
      </c>
      <c r="N41">
        <f>covariates!U50</f>
        <v>-0.85136813124068367</v>
      </c>
      <c r="O41">
        <f>covariates!W50</f>
        <v>0.50588323973722782</v>
      </c>
      <c r="P41">
        <f>covariates!X50</f>
        <v>-0.34015402475930545</v>
      </c>
      <c r="Q41">
        <f t="shared" si="0"/>
        <v>0.91232598517879238</v>
      </c>
      <c r="R41">
        <f t="shared" si="6"/>
        <v>1990</v>
      </c>
      <c r="S41">
        <f t="shared" si="7"/>
        <v>0.63713974502827142</v>
      </c>
      <c r="T41">
        <f t="shared" si="8"/>
        <v>0.64147458574831528</v>
      </c>
      <c r="X41" s="48" t="s">
        <v>126</v>
      </c>
      <c r="Y41" s="48" t="s">
        <v>127</v>
      </c>
      <c r="Z41" s="48" t="s">
        <v>128</v>
      </c>
      <c r="AA41" s="48" t="s">
        <v>129</v>
      </c>
      <c r="AK41" s="46" t="s">
        <v>111</v>
      </c>
      <c r="AL41" s="46">
        <v>60</v>
      </c>
      <c r="AM41" s="46">
        <v>11.911069760055378</v>
      </c>
      <c r="AN41" s="46">
        <v>0.1985178293342563</v>
      </c>
      <c r="AO41" s="46"/>
      <c r="AP41" s="46"/>
      <c r="AW41" s="46">
        <v>9</v>
      </c>
      <c r="AX41" s="46">
        <v>1.1083057422662517</v>
      </c>
      <c r="AY41" s="46">
        <v>-0.32278405174992431</v>
      </c>
      <c r="AZ41" s="46">
        <v>-0.73985706479504487</v>
      </c>
    </row>
    <row r="42" spans="1:52" ht="15" thickBot="1" x14ac:dyDescent="0.4">
      <c r="A42" t="s">
        <v>55</v>
      </c>
      <c r="B42">
        <v>1991</v>
      </c>
      <c r="C42" s="5">
        <f>'Orig data'!G45</f>
        <v>1106348</v>
      </c>
      <c r="D42" s="5">
        <f>'Orig data'!Q45</f>
        <v>1454169</v>
      </c>
      <c r="E42" s="5">
        <f>'Orig data'!AB45</f>
        <v>1813267.302483201</v>
      </c>
      <c r="F42" s="5">
        <f t="shared" si="1"/>
        <v>1106.348</v>
      </c>
      <c r="G42" s="5">
        <f t="shared" si="2"/>
        <v>1813.2673024832011</v>
      </c>
      <c r="H42" s="44">
        <f t="shared" si="3"/>
        <v>0.49406585647799239</v>
      </c>
      <c r="I42" s="5">
        <f t="shared" si="4"/>
        <v>347821</v>
      </c>
      <c r="J42" s="26">
        <f t="shared" si="5"/>
        <v>0.23918884256231565</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0.49406585647799239</v>
      </c>
      <c r="R42">
        <f t="shared" si="6"/>
        <v>1991</v>
      </c>
      <c r="S42">
        <f t="shared" si="7"/>
        <v>0.34666609741434906</v>
      </c>
      <c r="T42">
        <f t="shared" si="8"/>
        <v>0.33561120977969877</v>
      </c>
      <c r="X42" s="46">
        <v>1</v>
      </c>
      <c r="Y42" s="46">
        <v>1.0384466545217661</v>
      </c>
      <c r="Z42" s="46">
        <v>-5.9641842412441859E-2</v>
      </c>
      <c r="AA42" s="46">
        <v>-0.12288707296225625</v>
      </c>
      <c r="AK42" s="47" t="s">
        <v>9</v>
      </c>
      <c r="AL42" s="47">
        <v>65</v>
      </c>
      <c r="AM42" s="47">
        <v>31.496049229039215</v>
      </c>
      <c r="AN42" s="47"/>
      <c r="AO42" s="47"/>
      <c r="AP42" s="47"/>
      <c r="AW42" s="46">
        <v>10</v>
      </c>
      <c r="AX42" s="46">
        <v>0.96089109453188692</v>
      </c>
      <c r="AY42" s="46">
        <v>-0.10214743997990516</v>
      </c>
      <c r="AZ42" s="46">
        <v>-0.23413333065913586</v>
      </c>
    </row>
    <row r="43" spans="1:52" ht="15" thickBot="1" x14ac:dyDescent="0.4">
      <c r="A43" t="s">
        <v>55</v>
      </c>
      <c r="B43">
        <v>1992</v>
      </c>
      <c r="C43" s="5">
        <f>'Orig data'!G46</f>
        <v>1035859</v>
      </c>
      <c r="D43" s="5">
        <f>'Orig data'!Q46</f>
        <v>1555718</v>
      </c>
      <c r="E43" s="5">
        <f>'Orig data'!AB46</f>
        <v>1301468.2344712224</v>
      </c>
      <c r="F43" s="5">
        <f t="shared" si="1"/>
        <v>1035.8589999999999</v>
      </c>
      <c r="G43" s="5">
        <f t="shared" si="2"/>
        <v>1301.4682344712223</v>
      </c>
      <c r="H43" s="44">
        <f t="shared" si="3"/>
        <v>0.22826200410556305</v>
      </c>
      <c r="I43" s="5">
        <f t="shared" si="4"/>
        <v>519859</v>
      </c>
      <c r="J43" s="26">
        <f t="shared" si="5"/>
        <v>0.3341601755588095</v>
      </c>
      <c r="K43">
        <f>covariates!R52</f>
        <v>1035859</v>
      </c>
      <c r="L43">
        <f>covariates!T52</f>
        <v>1.3127079387168843</v>
      </c>
      <c r="M43">
        <f>covariates!V52</f>
        <v>-0.40087219707546795</v>
      </c>
      <c r="N43">
        <f>covariates!U52</f>
        <v>-2.1362825667807126</v>
      </c>
      <c r="O43">
        <f>covariates!W52</f>
        <v>0.29967111829042281</v>
      </c>
      <c r="P43">
        <f>covariates!X52</f>
        <v>0.8675858108945117</v>
      </c>
      <c r="Q43">
        <f t="shared" si="0"/>
        <v>0.22826200410556305</v>
      </c>
      <c r="R43">
        <f t="shared" si="6"/>
        <v>1992</v>
      </c>
      <c r="S43">
        <f t="shared" si="7"/>
        <v>0.39979161258325591</v>
      </c>
      <c r="T43">
        <f t="shared" si="8"/>
        <v>0.26841171043323481</v>
      </c>
      <c r="X43" s="46">
        <v>2</v>
      </c>
      <c r="Y43" s="46">
        <v>1.0355839995707681</v>
      </c>
      <c r="Z43" s="46">
        <v>-0.50799106854371412</v>
      </c>
      <c r="AA43" s="46">
        <v>-1.0466734926230807</v>
      </c>
      <c r="AW43" s="46">
        <v>11</v>
      </c>
      <c r="AX43" s="46">
        <v>1.1402071182568518</v>
      </c>
      <c r="AY43" s="46">
        <v>-0.36703005780800135</v>
      </c>
      <c r="AZ43" s="46">
        <v>-0.84127384791540338</v>
      </c>
    </row>
    <row r="44" spans="1:52" x14ac:dyDescent="0.35">
      <c r="A44" t="s">
        <v>55</v>
      </c>
      <c r="B44">
        <v>1993</v>
      </c>
      <c r="C44" s="5">
        <f>'Orig data'!G47</f>
        <v>985479</v>
      </c>
      <c r="D44" s="5">
        <f>'Orig data'!Q47</f>
        <v>1476663</v>
      </c>
      <c r="E44" s="5">
        <f>'Orig data'!AB47</f>
        <v>1536216.2121439504</v>
      </c>
      <c r="F44" s="5">
        <f t="shared" si="1"/>
        <v>985.47900000000004</v>
      </c>
      <c r="G44" s="5">
        <f t="shared" si="2"/>
        <v>1536.2162121439503</v>
      </c>
      <c r="H44" s="44">
        <f t="shared" si="3"/>
        <v>0.44394984953044858</v>
      </c>
      <c r="I44" s="5">
        <f t="shared" si="4"/>
        <v>491184</v>
      </c>
      <c r="J44" s="26">
        <f t="shared" si="5"/>
        <v>0.3326310742532318</v>
      </c>
      <c r="K44">
        <f>covariates!R53</f>
        <v>985479</v>
      </c>
      <c r="L44">
        <f>covariates!T53</f>
        <v>0.88804581917966219</v>
      </c>
      <c r="M44">
        <f>covariates!V53</f>
        <v>-0.31450681719552676</v>
      </c>
      <c r="N44">
        <f>covariates!U53</f>
        <v>-1.9633133158426319</v>
      </c>
      <c r="O44">
        <f>covariates!W53</f>
        <v>1.2101671168896873</v>
      </c>
      <c r="P44">
        <f>covariates!X53</f>
        <v>1.3503136121773469</v>
      </c>
      <c r="Q44">
        <f t="shared" si="0"/>
        <v>0.44394984953044858</v>
      </c>
      <c r="R44">
        <f t="shared" si="6"/>
        <v>1993</v>
      </c>
      <c r="S44">
        <f t="shared" si="7"/>
        <v>0.47167259659822264</v>
      </c>
      <c r="T44">
        <f t="shared" si="8"/>
        <v>0.45262486666509449</v>
      </c>
      <c r="X44" s="46">
        <v>3</v>
      </c>
      <c r="Y44" s="46">
        <v>1.0602724215514761</v>
      </c>
      <c r="Z44" s="46">
        <v>-0.15807551779779172</v>
      </c>
      <c r="AA44" s="46">
        <v>-0.32570150255974212</v>
      </c>
      <c r="AK44" s="48"/>
      <c r="AL44" s="48" t="s">
        <v>118</v>
      </c>
      <c r="AM44" s="48" t="s">
        <v>107</v>
      </c>
      <c r="AN44" s="48" t="s">
        <v>119</v>
      </c>
      <c r="AO44" s="48" t="s">
        <v>120</v>
      </c>
      <c r="AP44" s="48" t="s">
        <v>121</v>
      </c>
      <c r="AQ44" s="48" t="s">
        <v>122</v>
      </c>
      <c r="AR44" s="48" t="s">
        <v>123</v>
      </c>
      <c r="AS44" s="48" t="s">
        <v>124</v>
      </c>
      <c r="AW44" s="46">
        <v>12</v>
      </c>
      <c r="AX44" s="46">
        <v>1.0127166316297549</v>
      </c>
      <c r="AY44" s="46">
        <v>6.0558476695967922E-2</v>
      </c>
      <c r="AZ44" s="46">
        <v>0.13880678606590563</v>
      </c>
    </row>
    <row r="45" spans="1:52" x14ac:dyDescent="0.35">
      <c r="A45" t="s">
        <v>55</v>
      </c>
      <c r="B45">
        <v>1994</v>
      </c>
      <c r="C45" s="5">
        <f>'Orig data'!G48</f>
        <v>1666079</v>
      </c>
      <c r="D45" s="5">
        <f>'Orig data'!Q48</f>
        <v>2295288</v>
      </c>
      <c r="E45" s="5">
        <f>'Orig data'!AB48</f>
        <v>3619664.876538008</v>
      </c>
      <c r="F45" s="5">
        <f t="shared" si="1"/>
        <v>1666.079</v>
      </c>
      <c r="G45" s="5">
        <f t="shared" si="2"/>
        <v>3619.6648765380078</v>
      </c>
      <c r="H45" s="44">
        <f t="shared" si="3"/>
        <v>0.77590848442231863</v>
      </c>
      <c r="I45" s="5">
        <f t="shared" si="4"/>
        <v>629209</v>
      </c>
      <c r="J45" s="26">
        <f t="shared" si="5"/>
        <v>0.2741307408917748</v>
      </c>
      <c r="K45">
        <f>covariates!R54</f>
        <v>1666079</v>
      </c>
      <c r="L45">
        <f>covariates!T54</f>
        <v>1.0028193650005346</v>
      </c>
      <c r="M45">
        <f>covariates!V54</f>
        <v>-0.22091940822865835</v>
      </c>
      <c r="N45">
        <f>covariates!U54</f>
        <v>-1.3208560980726174</v>
      </c>
      <c r="O45">
        <f>covariates!W54</f>
        <v>-6.2764293466875412E-2</v>
      </c>
      <c r="P45">
        <f>covariates!X54</f>
        <v>-0.73534476773523816</v>
      </c>
      <c r="Q45">
        <f t="shared" si="0"/>
        <v>0.77590848442231863</v>
      </c>
      <c r="R45">
        <f t="shared" si="6"/>
        <v>1994</v>
      </c>
      <c r="S45">
        <f t="shared" si="7"/>
        <v>0.10898854426285816</v>
      </c>
      <c r="T45">
        <f t="shared" si="8"/>
        <v>-1.5560852516204413E-2</v>
      </c>
      <c r="X45" s="46">
        <v>4</v>
      </c>
      <c r="Y45" s="46">
        <v>1.0924417042604835</v>
      </c>
      <c r="Z45" s="46">
        <v>0.74904883540846323</v>
      </c>
      <c r="AA45" s="46">
        <v>1.5433530415205736</v>
      </c>
      <c r="AK45" s="46" t="s">
        <v>112</v>
      </c>
      <c r="AL45" s="46">
        <v>1.048528835430111</v>
      </c>
      <c r="AM45" s="46">
        <v>8.7752467371426571E-2</v>
      </c>
      <c r="AN45" s="46">
        <v>11.948710581459121</v>
      </c>
      <c r="AO45" s="46">
        <v>1.6544689875083167E-17</v>
      </c>
      <c r="AP45" s="46">
        <v>0.87299776607066892</v>
      </c>
      <c r="AQ45" s="46">
        <v>1.2240599047895531</v>
      </c>
      <c r="AR45" s="46">
        <v>0.87299776607066892</v>
      </c>
      <c r="AS45" s="46">
        <v>1.2240599047895531</v>
      </c>
      <c r="AW45" s="46">
        <v>13</v>
      </c>
      <c r="AX45" s="46">
        <v>1.1114701057930956</v>
      </c>
      <c r="AY45" s="46">
        <v>-0.27616763610956785</v>
      </c>
      <c r="AZ45" s="46">
        <v>-0.63300703840755612</v>
      </c>
    </row>
    <row r="46" spans="1:52" x14ac:dyDescent="0.35">
      <c r="A46" t="s">
        <v>55</v>
      </c>
      <c r="B46">
        <v>1995</v>
      </c>
      <c r="C46" s="5">
        <f>'Orig data'!G49</f>
        <v>1628542</v>
      </c>
      <c r="D46" s="5">
        <f>'Orig data'!Q49</f>
        <v>1844441</v>
      </c>
      <c r="E46" s="5">
        <f>'Orig data'!AB49</f>
        <v>2891781.1987866559</v>
      </c>
      <c r="F46" s="5">
        <f t="shared" si="1"/>
        <v>1628.5419999999999</v>
      </c>
      <c r="G46" s="5">
        <f t="shared" si="2"/>
        <v>2891.7811987866558</v>
      </c>
      <c r="H46" s="44">
        <f t="shared" si="3"/>
        <v>0.57418750802358465</v>
      </c>
      <c r="I46" s="5">
        <f t="shared" si="4"/>
        <v>215899</v>
      </c>
      <c r="J46" s="26">
        <f t="shared" si="5"/>
        <v>0.11705389329341519</v>
      </c>
      <c r="K46">
        <f>covariates!R55</f>
        <v>1628542</v>
      </c>
      <c r="L46">
        <f>covariates!T55</f>
        <v>1.3930494207914943</v>
      </c>
      <c r="M46">
        <f>covariates!V55</f>
        <v>-0.14591972996097652</v>
      </c>
      <c r="N46">
        <f>covariates!U55</f>
        <v>-0.67839888030260287</v>
      </c>
      <c r="O46">
        <f>covariates!W55</f>
        <v>-1.1852272672490451</v>
      </c>
      <c r="P46">
        <f>covariates!X55</f>
        <v>-1.3879316172562517</v>
      </c>
      <c r="Q46">
        <f t="shared" si="0"/>
        <v>0.57418750802358465</v>
      </c>
      <c r="R46">
        <f t="shared" si="6"/>
        <v>1995</v>
      </c>
      <c r="S46">
        <f t="shared" si="7"/>
        <v>6.1011845568062086E-2</v>
      </c>
      <c r="T46">
        <f t="shared" si="8"/>
        <v>-0.13791925435338062</v>
      </c>
      <c r="X46" s="46">
        <v>5</v>
      </c>
      <c r="Y46" s="46">
        <v>1.0771794831128965</v>
      </c>
      <c r="Z46" s="46">
        <v>0.62598661754650697</v>
      </c>
      <c r="AA46" s="46">
        <v>1.2897935414514654</v>
      </c>
      <c r="AK46" s="46" t="s">
        <v>30</v>
      </c>
      <c r="AL46" s="46">
        <v>-5.0910622701119921E-7</v>
      </c>
      <c r="AM46" s="46">
        <v>8.5857492179123338E-8</v>
      </c>
      <c r="AN46" s="46">
        <v>-5.929665706390046</v>
      </c>
      <c r="AO46" s="46">
        <v>1.6098425779933696E-7</v>
      </c>
      <c r="AP46" s="46">
        <v>-6.8084678162070604E-7</v>
      </c>
      <c r="AQ46" s="46">
        <v>-3.3736567240169238E-7</v>
      </c>
      <c r="AR46" s="46">
        <v>-6.8084678162070604E-7</v>
      </c>
      <c r="AS46" s="46">
        <v>-3.3736567240169238E-7</v>
      </c>
      <c r="AW46" s="46">
        <v>14</v>
      </c>
      <c r="AX46" s="46">
        <v>1.0761734767751285</v>
      </c>
      <c r="AY46" s="46">
        <v>0.31086817839579761</v>
      </c>
      <c r="AZ46" s="46">
        <v>0.7125445534226309</v>
      </c>
    </row>
    <row r="47" spans="1:52" x14ac:dyDescent="0.35">
      <c r="A47" t="s">
        <v>96</v>
      </c>
      <c r="B47">
        <v>1996</v>
      </c>
      <c r="C47" s="5">
        <f>'Orig data'!G50</f>
        <v>1186180</v>
      </c>
      <c r="D47" s="5">
        <f>'Orig data'!R50</f>
        <v>1248442.946191224</v>
      </c>
      <c r="E47" s="5">
        <f>'Orig data'!AB50</f>
        <v>1406508.3752676437</v>
      </c>
      <c r="F47" s="5">
        <f t="shared" si="1"/>
        <v>1186.18</v>
      </c>
      <c r="G47" s="5">
        <f t="shared" si="2"/>
        <v>1406.5083752676437</v>
      </c>
      <c r="H47" s="44">
        <f t="shared" si="3"/>
        <v>0.17037224390010886</v>
      </c>
      <c r="I47" s="5">
        <f t="shared" si="4"/>
        <v>62262.946191224037</v>
      </c>
      <c r="J47" s="26">
        <f t="shared" si="5"/>
        <v>4.9872480261254341E-2</v>
      </c>
      <c r="K47">
        <f>covariates!R56</f>
        <v>1186180</v>
      </c>
      <c r="L47">
        <f>covariates!T56</f>
        <v>1.4313072693984519</v>
      </c>
      <c r="M47">
        <f>covariates!V56</f>
        <v>-6.2940749098387677E-2</v>
      </c>
      <c r="N47">
        <f>covariates!U56</f>
        <v>-1.1973066331168454</v>
      </c>
      <c r="O47">
        <f>covariates!W56</f>
        <v>-0.12962243812786722</v>
      </c>
      <c r="P47">
        <f>covariates!X56</f>
        <v>-0.26913195325044026</v>
      </c>
      <c r="Q47">
        <f t="shared" si="0"/>
        <v>0.17037224390010886</v>
      </c>
      <c r="R47">
        <f t="shared" si="6"/>
        <v>1996</v>
      </c>
      <c r="S47">
        <f t="shared" si="7"/>
        <v>0.25945495797457141</v>
      </c>
      <c r="T47">
        <f t="shared" si="8"/>
        <v>0.14052432588476346</v>
      </c>
      <c r="X47" s="46">
        <v>6</v>
      </c>
      <c r="Y47" s="46">
        <v>1.1262558273833239</v>
      </c>
      <c r="Z47" s="46">
        <v>1.3713769676455343</v>
      </c>
      <c r="AA47" s="46">
        <v>2.825608577220255</v>
      </c>
      <c r="AK47" s="46" t="s">
        <v>90</v>
      </c>
      <c r="AL47" s="46">
        <v>-0.14395794491536798</v>
      </c>
      <c r="AM47" s="46">
        <v>6.1533647804063334E-2</v>
      </c>
      <c r="AN47" s="46">
        <v>-2.3394996079829644</v>
      </c>
      <c r="AO47" s="58">
        <v>2.2656048841328831E-2</v>
      </c>
      <c r="AP47" s="46">
        <v>-0.26704356659842848</v>
      </c>
      <c r="AQ47" s="46">
        <v>-2.0872323232307491E-2</v>
      </c>
      <c r="AR47" s="46">
        <v>-0.26704356659842848</v>
      </c>
      <c r="AS47" s="46">
        <v>-2.0872323232307491E-2</v>
      </c>
      <c r="AW47" s="46">
        <v>15</v>
      </c>
      <c r="AX47" s="46">
        <v>1.1628315504955695</v>
      </c>
      <c r="AY47" s="46">
        <v>0.46777953284636387</v>
      </c>
      <c r="AZ47" s="46">
        <v>1.0722028869351945</v>
      </c>
    </row>
    <row r="48" spans="1:52" x14ac:dyDescent="0.35">
      <c r="A48" t="s">
        <v>96</v>
      </c>
      <c r="B48">
        <v>1997</v>
      </c>
      <c r="C48" s="5">
        <f>'Orig data'!G51</f>
        <v>1045815</v>
      </c>
      <c r="D48" s="5">
        <f>'Orig data'!R51</f>
        <v>1134098.414512618</v>
      </c>
      <c r="E48" s="5">
        <f>'Orig data'!AB51</f>
        <v>3026030.4507266176</v>
      </c>
      <c r="F48" s="5">
        <f t="shared" si="1"/>
        <v>1045.8150000000001</v>
      </c>
      <c r="G48" s="5">
        <f t="shared" si="2"/>
        <v>3026.0304507266178</v>
      </c>
      <c r="H48" s="44">
        <f t="shared" si="3"/>
        <v>1.0624551925891534</v>
      </c>
      <c r="I48" s="5">
        <f t="shared" si="4"/>
        <v>88283.414512617979</v>
      </c>
      <c r="J48" s="26">
        <f t="shared" si="5"/>
        <v>7.784457978504275E-2</v>
      </c>
      <c r="K48">
        <f>covariates!R57</f>
        <v>1045815</v>
      </c>
      <c r="L48">
        <f>covariates!T57</f>
        <v>1.3547915721845367</v>
      </c>
      <c r="M48">
        <f>covariates!V57</f>
        <v>2.7720142388261978E-2</v>
      </c>
      <c r="N48">
        <f>covariates!U57</f>
        <v>0.85361448514897043</v>
      </c>
      <c r="O48">
        <f>covariates!W57</f>
        <v>-0.61621392372743711</v>
      </c>
      <c r="P48">
        <f>covariates!X57</f>
        <v>-0.54897412018810221</v>
      </c>
      <c r="Q48">
        <f t="shared" si="0"/>
        <v>1.0624551925891534</v>
      </c>
      <c r="R48">
        <f t="shared" si="6"/>
        <v>1997</v>
      </c>
      <c r="S48">
        <f t="shared" si="7"/>
        <v>0.32542420658211635</v>
      </c>
      <c r="T48">
        <f t="shared" si="8"/>
        <v>0.31666652482576779</v>
      </c>
      <c r="X48" s="46">
        <v>7</v>
      </c>
      <c r="Y48" s="46">
        <v>1.0935456452305368</v>
      </c>
      <c r="Z48" s="46">
        <v>5.8526514212545511E-2</v>
      </c>
      <c r="AA48" s="46">
        <v>0.12058903164874826</v>
      </c>
      <c r="AK48" s="46" t="s">
        <v>92</v>
      </c>
      <c r="AL48" s="46">
        <v>-0.18416274475381408</v>
      </c>
      <c r="AM48" s="46">
        <v>7.6487629285934694E-2</v>
      </c>
      <c r="AN48" s="46">
        <v>-2.4077454939197569</v>
      </c>
      <c r="AO48" s="58">
        <v>1.9142728345735733E-2</v>
      </c>
      <c r="AP48" s="46">
        <v>-0.33716078302550345</v>
      </c>
      <c r="AQ48" s="46">
        <v>-3.1164706482124716E-2</v>
      </c>
      <c r="AR48" s="46">
        <v>-0.33716078302550345</v>
      </c>
      <c r="AS48" s="46">
        <v>-3.1164706482124716E-2</v>
      </c>
      <c r="AW48" s="46">
        <v>16</v>
      </c>
      <c r="AX48" s="46">
        <v>0.97903397028052797</v>
      </c>
      <c r="AY48" s="46">
        <v>-0.35251917425470003</v>
      </c>
      <c r="AZ48" s="46">
        <v>-0.80801328359964886</v>
      </c>
    </row>
    <row r="49" spans="1:52" x14ac:dyDescent="0.35">
      <c r="A49" t="s">
        <v>96</v>
      </c>
      <c r="B49">
        <v>1998</v>
      </c>
      <c r="C49" s="5">
        <f>'Orig data'!G52</f>
        <v>3561043</v>
      </c>
      <c r="D49" s="5">
        <f>'Orig data'!R52</f>
        <v>4069680.1971950848</v>
      </c>
      <c r="E49" s="5">
        <f>'Orig data'!AB52</f>
        <v>2685723.3687924482</v>
      </c>
      <c r="F49" s="5">
        <f t="shared" si="1"/>
        <v>3561.0430000000001</v>
      </c>
      <c r="G49" s="5">
        <f t="shared" si="2"/>
        <v>2685.7233687924481</v>
      </c>
      <c r="H49" s="44">
        <f t="shared" si="3"/>
        <v>-0.28210337671043434</v>
      </c>
      <c r="I49" s="5">
        <f t="shared" si="4"/>
        <v>508637.19719508477</v>
      </c>
      <c r="J49" s="26">
        <f t="shared" si="5"/>
        <v>0.12498210487046353</v>
      </c>
      <c r="K49">
        <f>covariates!R58</f>
        <v>3561043</v>
      </c>
      <c r="L49">
        <f>covariates!T58</f>
        <v>-0.76086745578018145</v>
      </c>
      <c r="M49">
        <f>covariates!V58</f>
        <v>0.14210077735627383</v>
      </c>
      <c r="N49">
        <f>covariates!U58</f>
        <v>1.4960717029189849</v>
      </c>
      <c r="O49">
        <f>covariates!W58</f>
        <v>0.32229877253872885</v>
      </c>
      <c r="P49">
        <f>covariates!X58</f>
        <v>1.2775355841188252</v>
      </c>
      <c r="Q49">
        <f t="shared" si="0"/>
        <v>-0.28210337671043434</v>
      </c>
      <c r="R49">
        <f t="shared" si="6"/>
        <v>1998</v>
      </c>
      <c r="S49">
        <f t="shared" si="7"/>
        <v>-0.62132999278991541</v>
      </c>
      <c r="T49">
        <f t="shared" si="8"/>
        <v>-0.52650971384402767</v>
      </c>
      <c r="X49" s="46">
        <v>8</v>
      </c>
      <c r="Y49" s="46">
        <v>1.0905438114752912</v>
      </c>
      <c r="Z49" s="46">
        <v>-1.5933278000893836E-2</v>
      </c>
      <c r="AA49" s="46">
        <v>-3.2829198713943436E-2</v>
      </c>
      <c r="AK49" s="46" t="s">
        <v>89</v>
      </c>
      <c r="AL49" s="46">
        <v>7.9749764763083805E-2</v>
      </c>
      <c r="AM49" s="46">
        <v>6.8785671775379018E-2</v>
      </c>
      <c r="AN49" s="46">
        <v>1.1593950121401482</v>
      </c>
      <c r="AO49" s="58">
        <v>0.25088843492010926</v>
      </c>
      <c r="AP49" s="46">
        <v>-5.7842064674994656E-2</v>
      </c>
      <c r="AQ49" s="46">
        <v>0.21734159420116228</v>
      </c>
      <c r="AR49" s="46">
        <v>-5.7842064674994656E-2</v>
      </c>
      <c r="AS49" s="46">
        <v>0.21734159420116228</v>
      </c>
      <c r="AW49" s="46">
        <v>17</v>
      </c>
      <c r="AX49" s="46">
        <v>1.0671811804314284</v>
      </c>
      <c r="AY49" s="46">
        <v>-0.1311785336174035</v>
      </c>
      <c r="AZ49" s="46">
        <v>-0.30067583674016829</v>
      </c>
    </row>
    <row r="50" spans="1:52" ht="15" thickBot="1" x14ac:dyDescent="0.4">
      <c r="A50" t="s">
        <v>96</v>
      </c>
      <c r="B50">
        <v>1999</v>
      </c>
      <c r="C50" s="5">
        <f>'Orig data'!G53</f>
        <v>2987256</v>
      </c>
      <c r="D50" s="5">
        <f>'Orig data'!R53</f>
        <v>3083677.2941336296</v>
      </c>
      <c r="E50" s="5">
        <f>'Orig data'!AB53</f>
        <v>2258243.2510302407</v>
      </c>
      <c r="F50" s="5">
        <f t="shared" si="1"/>
        <v>2987.2559999999999</v>
      </c>
      <c r="G50" s="5">
        <f t="shared" si="2"/>
        <v>2258.2432510302406</v>
      </c>
      <c r="H50" s="44">
        <f t="shared" si="3"/>
        <v>-0.27976805182261238</v>
      </c>
      <c r="I50" s="5">
        <f t="shared" si="4"/>
        <v>96421.29413362965</v>
      </c>
      <c r="J50" s="26">
        <f t="shared" si="5"/>
        <v>3.1268282941623295E-2</v>
      </c>
      <c r="K50">
        <f>covariates!R59</f>
        <v>2987256</v>
      </c>
      <c r="L50">
        <f>covariates!T59</f>
        <v>-0.23290914500417703</v>
      </c>
      <c r="M50">
        <f>covariates!V59</f>
        <v>0.20688339859684265</v>
      </c>
      <c r="N50">
        <f>covariates!U59</f>
        <v>1.619621167874757</v>
      </c>
      <c r="O50">
        <f>covariates!W59</f>
        <v>0.29296043280968836</v>
      </c>
      <c r="P50">
        <f>covariates!X59</f>
        <v>0.1060355855913865</v>
      </c>
      <c r="Q50">
        <f t="shared" si="0"/>
        <v>-0.27976805182261238</v>
      </c>
      <c r="R50">
        <f t="shared" si="6"/>
        <v>1999</v>
      </c>
      <c r="S50">
        <f t="shared" si="7"/>
        <v>-0.42523708255914927</v>
      </c>
      <c r="T50">
        <f t="shared" si="8"/>
        <v>-0.31567995404171367</v>
      </c>
      <c r="X50" s="46">
        <v>9</v>
      </c>
      <c r="Y50" s="46">
        <v>1.0507355103058855</v>
      </c>
      <c r="Z50" s="46">
        <v>-0.26521381978955816</v>
      </c>
      <c r="AA50" s="46">
        <v>-0.54645109380925572</v>
      </c>
      <c r="AK50" s="47" t="s">
        <v>93</v>
      </c>
      <c r="AL50" s="47">
        <v>0.10932714365909151</v>
      </c>
      <c r="AM50" s="47">
        <v>7.7311839030965154E-2</v>
      </c>
      <c r="AN50" s="47">
        <v>1.4141061062498266</v>
      </c>
      <c r="AO50" s="59">
        <v>0.1624988992571105</v>
      </c>
      <c r="AP50" s="47">
        <v>-4.5319559570465226E-2</v>
      </c>
      <c r="AQ50" s="47">
        <v>0.26397384688864822</v>
      </c>
      <c r="AR50" s="47">
        <v>-4.5319559570465226E-2</v>
      </c>
      <c r="AS50" s="47">
        <v>0.26397384688864822</v>
      </c>
      <c r="AW50" s="46">
        <v>18</v>
      </c>
      <c r="AX50" s="46">
        <v>0.84235689823967075</v>
      </c>
      <c r="AY50" s="46">
        <v>-0.20725026439046912</v>
      </c>
      <c r="AZ50" s="46">
        <v>-0.47504073221289644</v>
      </c>
    </row>
    <row r="51" spans="1:52" x14ac:dyDescent="0.35">
      <c r="A51" t="s">
        <v>96</v>
      </c>
      <c r="B51">
        <v>2000</v>
      </c>
      <c r="C51" s="5">
        <f>'Orig data'!G54</f>
        <v>699976</v>
      </c>
      <c r="D51" s="5">
        <f>'Orig data'!R54</f>
        <v>821323.89458584297</v>
      </c>
      <c r="E51" s="5">
        <f>'Orig data'!AB54</f>
        <v>3003099.3336992869</v>
      </c>
      <c r="F51" s="5">
        <f t="shared" si="1"/>
        <v>699.976</v>
      </c>
      <c r="G51" s="5">
        <f t="shared" si="2"/>
        <v>3003.0993336992869</v>
      </c>
      <c r="H51" s="44">
        <f t="shared" si="3"/>
        <v>1.4563540968498505</v>
      </c>
      <c r="I51" s="5">
        <f t="shared" si="4"/>
        <v>121347.89458584297</v>
      </c>
      <c r="J51" s="26">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-4.4363575410768567E-2</v>
      </c>
      <c r="Q51">
        <f t="shared" si="0"/>
        <v>1.4563540968498505</v>
      </c>
      <c r="R51">
        <f t="shared" si="6"/>
        <v>2000</v>
      </c>
      <c r="S51">
        <f t="shared" si="7"/>
        <v>0.68085541242603453</v>
      </c>
      <c r="T51">
        <f t="shared" si="8"/>
        <v>1.0008176458734277</v>
      </c>
      <c r="X51" s="46">
        <v>10</v>
      </c>
      <c r="Y51" s="46">
        <v>0.98026042488241627</v>
      </c>
      <c r="Z51" s="46">
        <v>-0.12151677033043451</v>
      </c>
      <c r="AA51" s="46">
        <v>-0.2503752335226101</v>
      </c>
      <c r="AW51" s="46">
        <v>19</v>
      </c>
      <c r="AX51" s="46">
        <v>1.0722318113644327</v>
      </c>
      <c r="AY51" s="46">
        <v>0.4268613090661344</v>
      </c>
      <c r="AZ51" s="46">
        <v>0.97841375212960702</v>
      </c>
    </row>
    <row r="52" spans="1:52" x14ac:dyDescent="0.35">
      <c r="A52" t="s">
        <v>96</v>
      </c>
      <c r="B52">
        <v>2001</v>
      </c>
      <c r="C52" s="5">
        <f>'Orig data'!G55</f>
        <v>3151893</v>
      </c>
      <c r="D52" s="5">
        <f>'Orig data'!R55</f>
        <v>3396137.3550203633</v>
      </c>
      <c r="E52" s="5">
        <f>'Orig data'!AB55</f>
        <v>2085989.8545379378</v>
      </c>
      <c r="F52" s="5">
        <f t="shared" si="1"/>
        <v>3151.893</v>
      </c>
      <c r="G52" s="5">
        <f t="shared" si="2"/>
        <v>2085.9898545379378</v>
      </c>
      <c r="H52" s="44">
        <f t="shared" si="3"/>
        <v>-0.41275973174855596</v>
      </c>
      <c r="I52" s="5">
        <f t="shared" si="4"/>
        <v>244244.35502036335</v>
      </c>
      <c r="J52" s="26">
        <f t="shared" si="5"/>
        <v>7.1918279353250375E-2</v>
      </c>
      <c r="K52">
        <f>covariates!R61</f>
        <v>3151893</v>
      </c>
      <c r="L52">
        <f>covariates!T61</f>
        <v>-0.19847708125791444</v>
      </c>
      <c r="M52">
        <f>covariates!V61</f>
        <v>0.52644155175049623</v>
      </c>
      <c r="N52">
        <f>covariates!U61</f>
        <v>1.9408497767597643</v>
      </c>
      <c r="O52">
        <f>covariates!W61</f>
        <v>1.2106818759839166</v>
      </c>
      <c r="P52">
        <f>covariates!X61</f>
        <v>-0.18689697648091311</v>
      </c>
      <c r="Q52">
        <f t="shared" si="0"/>
        <v>-0.41275973174855596</v>
      </c>
      <c r="R52">
        <f t="shared" si="6"/>
        <v>2001</v>
      </c>
      <c r="S52">
        <f t="shared" si="7"/>
        <v>-0.55793934983184834</v>
      </c>
      <c r="T52">
        <f t="shared" si="8"/>
        <v>-0.33735538161681045</v>
      </c>
      <c r="X52" s="46">
        <v>11</v>
      </c>
      <c r="Y52" s="46">
        <v>1.0378298393665788</v>
      </c>
      <c r="Z52" s="46">
        <v>-0.26465277891772832</v>
      </c>
      <c r="AA52" s="46">
        <v>-0.54529511559391841</v>
      </c>
      <c r="AW52" s="46">
        <v>20</v>
      </c>
      <c r="AX52" s="46">
        <v>1.1912163845486965</v>
      </c>
      <c r="AY52" s="46">
        <v>-0.191452789595012</v>
      </c>
      <c r="AZ52" s="46">
        <v>-0.43883115720453836</v>
      </c>
    </row>
    <row r="53" spans="1:52" x14ac:dyDescent="0.35">
      <c r="A53" t="s">
        <v>96</v>
      </c>
      <c r="B53">
        <v>2002</v>
      </c>
      <c r="C53" s="5">
        <f>'Orig data'!G56</f>
        <v>2302250</v>
      </c>
      <c r="D53" s="5">
        <f>'Orig data'!R56</f>
        <v>2701922.5280034388</v>
      </c>
      <c r="E53" s="5">
        <f>'Orig data'!AB56</f>
        <v>2415592.8993571778</v>
      </c>
      <c r="F53" s="5">
        <f t="shared" si="1"/>
        <v>2302.25</v>
      </c>
      <c r="G53" s="5">
        <f t="shared" si="2"/>
        <v>2415.5928993571779</v>
      </c>
      <c r="H53" s="44">
        <f t="shared" si="3"/>
        <v>4.8057858333487566E-2</v>
      </c>
      <c r="I53" s="5">
        <f t="shared" si="4"/>
        <v>399672.52800343884</v>
      </c>
      <c r="J53" s="26">
        <f t="shared" si="5"/>
        <v>0.14792153507775563</v>
      </c>
      <c r="K53">
        <f>covariates!R62</f>
        <v>2302250</v>
      </c>
      <c r="L53">
        <f>covariates!T62</f>
        <v>0.6011119546274849</v>
      </c>
      <c r="M53">
        <f>covariates!V62</f>
        <v>0.64364080472810037</v>
      </c>
      <c r="N53">
        <f>covariates!U62</f>
        <v>1.7184607398393745</v>
      </c>
      <c r="O53">
        <f>covariates!W62</f>
        <v>-0.38198985928266987</v>
      </c>
      <c r="P53">
        <f>covariates!X62</f>
        <v>-0.64688128425350599</v>
      </c>
      <c r="Q53">
        <f t="shared" si="0"/>
        <v>4.8057858333487566E-2</v>
      </c>
      <c r="R53">
        <f t="shared" si="6"/>
        <v>2002</v>
      </c>
      <c r="S53">
        <f t="shared" si="7"/>
        <v>-0.27324499861814011</v>
      </c>
      <c r="T53">
        <f t="shared" si="8"/>
        <v>-0.23334549505826321</v>
      </c>
      <c r="X53" s="46">
        <v>12</v>
      </c>
      <c r="Y53" s="46">
        <v>1.0330851074035983</v>
      </c>
      <c r="Z53" s="46">
        <v>4.0190000922124547E-2</v>
      </c>
      <c r="AA53" s="46">
        <v>8.2808165809444834E-2</v>
      </c>
      <c r="AW53" s="46">
        <v>21</v>
      </c>
      <c r="AX53" s="46">
        <v>1.2045710590564307</v>
      </c>
      <c r="AY53" s="46">
        <v>-0.51245449129936371</v>
      </c>
      <c r="AZ53" s="46">
        <v>-1.174602876809802</v>
      </c>
    </row>
    <row r="54" spans="1:52" x14ac:dyDescent="0.35">
      <c r="A54" t="s">
        <v>96</v>
      </c>
      <c r="B54">
        <v>2003</v>
      </c>
      <c r="C54" s="5">
        <f>'Orig data'!G57</f>
        <v>1494491</v>
      </c>
      <c r="D54" s="5">
        <f>'Orig data'!R57</f>
        <v>2006286.4153176486</v>
      </c>
      <c r="E54" s="5">
        <f>'Orig data'!AB57</f>
        <v>1501700.0309801486</v>
      </c>
      <c r="F54" s="5">
        <f t="shared" si="1"/>
        <v>1494.491</v>
      </c>
      <c r="G54" s="5">
        <f t="shared" si="2"/>
        <v>1501.7000309801485</v>
      </c>
      <c r="H54" s="44">
        <f t="shared" si="3"/>
        <v>4.8121396913901751E-3</v>
      </c>
      <c r="I54" s="5">
        <f t="shared" si="4"/>
        <v>511795.41531764856</v>
      </c>
      <c r="J54" s="26">
        <f t="shared" si="5"/>
        <v>0.25509588830895696</v>
      </c>
      <c r="K54">
        <f>covariates!R63</f>
        <v>1494491</v>
      </c>
      <c r="L54">
        <f>covariates!T63</f>
        <v>0.59346038490609498</v>
      </c>
      <c r="M54">
        <f>covariates!V63</f>
        <v>0.61044746962364571</v>
      </c>
      <c r="N54">
        <f>covariates!U63</f>
        <v>0.35941662532588237</v>
      </c>
      <c r="O54">
        <f>covariates!W63</f>
        <v>-0.90101697933423375</v>
      </c>
      <c r="P54">
        <f>covariates!X63</f>
        <v>-1.2814503982605907</v>
      </c>
      <c r="Q54">
        <f t="shared" si="0"/>
        <v>4.8121396913901751E-3</v>
      </c>
      <c r="R54">
        <f t="shared" si="6"/>
        <v>2003</v>
      </c>
      <c r="S54">
        <f t="shared" si="7"/>
        <v>0.12746734567727505</v>
      </c>
      <c r="T54">
        <f t="shared" si="8"/>
        <v>1.9976920766967096E-2</v>
      </c>
      <c r="X54" s="46">
        <v>13</v>
      </c>
      <c r="Y54" s="46">
        <v>1.0115756558380871</v>
      </c>
      <c r="Z54" s="46">
        <v>-0.17627318615455934</v>
      </c>
      <c r="AA54" s="46">
        <v>-0.363196289921216</v>
      </c>
      <c r="AK54" t="s">
        <v>125</v>
      </c>
      <c r="AW54" s="46">
        <v>22</v>
      </c>
      <c r="AX54" s="46">
        <v>1.087859191950556</v>
      </c>
      <c r="AY54" s="46">
        <v>-0.32101793766485165</v>
      </c>
      <c r="AZ54" s="46">
        <v>-0.73580893423843552</v>
      </c>
    </row>
    <row r="55" spans="1:52" ht="15" thickBot="1" x14ac:dyDescent="0.4">
      <c r="A55" t="s">
        <v>96</v>
      </c>
      <c r="B55">
        <v>2004</v>
      </c>
      <c r="C55" s="5">
        <f>'Orig data'!G58</f>
        <v>2716634</v>
      </c>
      <c r="D55" s="5">
        <f>'Orig data'!R58</f>
        <v>3352861.1030926574</v>
      </c>
      <c r="E55" s="5">
        <f>'Orig data'!AB58</f>
        <v>1192587.7091204056</v>
      </c>
      <c r="F55" s="5">
        <f t="shared" si="1"/>
        <v>2716.634</v>
      </c>
      <c r="G55" s="5">
        <f t="shared" si="2"/>
        <v>1192.5877091204056</v>
      </c>
      <c r="H55" s="44">
        <f t="shared" si="3"/>
        <v>-0.82326812227176638</v>
      </c>
      <c r="I55" s="5">
        <f t="shared" si="4"/>
        <v>636227.1030926574</v>
      </c>
      <c r="J55" s="26">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-0.82326812227176638</v>
      </c>
      <c r="R55">
        <f t="shared" si="6"/>
        <v>2004</v>
      </c>
      <c r="S55">
        <f t="shared" si="7"/>
        <v>-0.53977561015010056</v>
      </c>
      <c r="T55">
        <f t="shared" si="8"/>
        <v>-0.86582420921529213</v>
      </c>
      <c r="X55" s="46">
        <v>14</v>
      </c>
      <c r="Y55" s="46">
        <v>0.94122709660029735</v>
      </c>
      <c r="Z55" s="46">
        <v>0.44581455857062879</v>
      </c>
      <c r="AA55" s="46">
        <v>0.91856394723440471</v>
      </c>
      <c r="AW55" s="46">
        <v>23</v>
      </c>
      <c r="AX55" s="46">
        <v>1.1607845697475319</v>
      </c>
      <c r="AY55" s="46">
        <v>-4.7429616362381077E-2</v>
      </c>
      <c r="AZ55" s="46">
        <v>-0.10871397318419257</v>
      </c>
    </row>
    <row r="56" spans="1:52" x14ac:dyDescent="0.35">
      <c r="A56" t="s">
        <v>96</v>
      </c>
      <c r="B56">
        <v>2005</v>
      </c>
      <c r="C56" s="5">
        <f>'Orig data'!G59</f>
        <v>1331383</v>
      </c>
      <c r="D56" s="5">
        <f>'Orig data'!R59</f>
        <v>1804337.1315494739</v>
      </c>
      <c r="E56" s="5">
        <f>'Orig data'!AB59</f>
        <v>841915.57000060705</v>
      </c>
      <c r="F56" s="5">
        <f t="shared" si="1"/>
        <v>1331.383</v>
      </c>
      <c r="G56" s="5">
        <f t="shared" si="2"/>
        <v>841.91557000060709</v>
      </c>
      <c r="H56" s="44">
        <f t="shared" si="3"/>
        <v>-0.45829379451452573</v>
      </c>
      <c r="I56" s="5">
        <f t="shared" si="4"/>
        <v>472954.13154947385</v>
      </c>
      <c r="J56" s="26">
        <f t="shared" si="5"/>
        <v>0.2621207108581336</v>
      </c>
      <c r="K56">
        <f>covariates!R65</f>
        <v>1331383</v>
      </c>
      <c r="L56">
        <f>covariates!T65</f>
        <v>0.38304221756783002</v>
      </c>
      <c r="M56">
        <f>covariates!V65</f>
        <v>0.79345873404265144</v>
      </c>
      <c r="N56">
        <f>covariates!U65</f>
        <v>-0.99962748918761002</v>
      </c>
      <c r="O56">
        <f>covariates!W65</f>
        <v>-0.3000215995717041</v>
      </c>
      <c r="P56">
        <f>covariates!X65</f>
        <v>-0.42723179176768761</v>
      </c>
      <c r="Q56">
        <f t="shared" si="0"/>
        <v>-0.45829379451452573</v>
      </c>
      <c r="R56">
        <f t="shared" si="6"/>
        <v>2005</v>
      </c>
      <c r="S56">
        <f t="shared" si="7"/>
        <v>0.2097972174321116</v>
      </c>
      <c r="T56">
        <f t="shared" si="8"/>
        <v>5.6925389195558063E-2</v>
      </c>
      <c r="X56" s="46">
        <v>15</v>
      </c>
      <c r="Y56" s="46">
        <v>1.0301750051329703</v>
      </c>
      <c r="Z56" s="46">
        <v>0.60043607820896305</v>
      </c>
      <c r="AA56" s="46">
        <v>1.2371487728662689</v>
      </c>
      <c r="AK56" s="48" t="s">
        <v>126</v>
      </c>
      <c r="AL56" s="48" t="s">
        <v>127</v>
      </c>
      <c r="AM56" s="48" t="s">
        <v>128</v>
      </c>
      <c r="AN56" s="48" t="s">
        <v>129</v>
      </c>
      <c r="AW56" s="46">
        <v>24</v>
      </c>
      <c r="AX56" s="46">
        <v>1.1792866446781898</v>
      </c>
      <c r="AY56" s="46">
        <v>-0.11098190851801681</v>
      </c>
      <c r="AZ56" s="46">
        <v>-0.25438291835157673</v>
      </c>
    </row>
    <row r="57" spans="1:52" x14ac:dyDescent="0.35">
      <c r="A57" t="s">
        <v>96</v>
      </c>
      <c r="B57">
        <v>2006</v>
      </c>
      <c r="C57" s="5">
        <f>'Orig data'!G60</f>
        <v>1970621</v>
      </c>
      <c r="D57" s="5">
        <f>'Orig data'!R60</f>
        <v>2683669.7926117284</v>
      </c>
      <c r="E57" s="5">
        <f>'Orig data'!AB60</f>
        <v>779998.96799453057</v>
      </c>
      <c r="F57" s="5">
        <f t="shared" si="1"/>
        <v>1970.6210000000001</v>
      </c>
      <c r="G57" s="5">
        <f t="shared" si="2"/>
        <v>779.99896799453052</v>
      </c>
      <c r="H57" s="44">
        <f t="shared" si="3"/>
        <v>-0.9268114038855616</v>
      </c>
      <c r="I57" s="5">
        <f t="shared" si="4"/>
        <v>713048.79261172842</v>
      </c>
      <c r="J57" s="26">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-1.5695016868528551</v>
      </c>
      <c r="Q57">
        <f t="shared" si="0"/>
        <v>-0.9268114038855616</v>
      </c>
      <c r="R57">
        <f t="shared" si="6"/>
        <v>2006</v>
      </c>
      <c r="S57">
        <f t="shared" si="7"/>
        <v>-4.8731846748137769E-2</v>
      </c>
      <c r="T57">
        <f t="shared" si="8"/>
        <v>-0.17390351790296354</v>
      </c>
      <c r="X57" s="46">
        <v>16</v>
      </c>
      <c r="Y57" s="46">
        <v>0.87524369076844977</v>
      </c>
      <c r="Z57" s="46">
        <v>-0.24872889474262183</v>
      </c>
      <c r="AA57" s="46">
        <v>-0.51248527207941608</v>
      </c>
      <c r="AK57" s="46">
        <v>1</v>
      </c>
      <c r="AL57" s="46">
        <v>0.99385464831609627</v>
      </c>
      <c r="AM57" s="46">
        <v>-1.5049836206772027E-2</v>
      </c>
      <c r="AN57" s="46">
        <v>-3.515710188651483E-2</v>
      </c>
      <c r="AW57" s="46">
        <v>25</v>
      </c>
      <c r="AX57" s="46">
        <v>1.2440315924630982</v>
      </c>
      <c r="AY57" s="46">
        <v>-0.31985028081953593</v>
      </c>
      <c r="AZ57" s="46">
        <v>-0.7331325344548042</v>
      </c>
    </row>
    <row r="58" spans="1:52" x14ac:dyDescent="0.35">
      <c r="A58" t="s">
        <v>96</v>
      </c>
      <c r="B58">
        <v>2007</v>
      </c>
      <c r="C58" s="5">
        <f>'Orig data'!G61</f>
        <v>1057248</v>
      </c>
      <c r="D58" s="5">
        <f>'Orig data'!R61</f>
        <v>1382634.3049989361</v>
      </c>
      <c r="E58" s="5">
        <f>'Orig data'!AB61</f>
        <v>1376695.7322840265</v>
      </c>
      <c r="F58" s="5">
        <f t="shared" si="1"/>
        <v>1057.248</v>
      </c>
      <c r="G58" s="5">
        <f t="shared" si="2"/>
        <v>1376.6957322840265</v>
      </c>
      <c r="H58" s="44">
        <f t="shared" si="3"/>
        <v>0.26401692545269301</v>
      </c>
      <c r="I58" s="5">
        <f t="shared" si="4"/>
        <v>325386.30499893613</v>
      </c>
      <c r="J58" s="26">
        <f t="shared" si="5"/>
        <v>0.23533793702535574</v>
      </c>
      <c r="K58">
        <f>covariates!R67</f>
        <v>1057248</v>
      </c>
      <c r="L58">
        <f>covariates!T67</f>
        <v>-1.2505679179492311</v>
      </c>
      <c r="M58">
        <f>covariates!V67</f>
        <v>1.2091667292228285</v>
      </c>
      <c r="N58">
        <f>covariates!U67</f>
        <v>0.92774416412243355</v>
      </c>
      <c r="O58">
        <f>covariates!W67</f>
        <v>-0.77366612001453161</v>
      </c>
      <c r="P58">
        <f>covariates!X67</f>
        <v>-1.992928833338022</v>
      </c>
      <c r="Q58">
        <f t="shared" si="0"/>
        <v>0.26401692545269301</v>
      </c>
      <c r="R58">
        <f t="shared" si="6"/>
        <v>2007</v>
      </c>
      <c r="S58">
        <f t="shared" si="7"/>
        <v>0.51318863436855489</v>
      </c>
      <c r="T58">
        <f t="shared" si="8"/>
        <v>0.45702769066345572</v>
      </c>
      <c r="X58" s="46">
        <v>17</v>
      </c>
      <c r="Y58" s="46">
        <v>1.0117825261516731</v>
      </c>
      <c r="Z58" s="46">
        <v>-7.5779879337648182E-2</v>
      </c>
      <c r="AA58" s="46">
        <v>-0.15613816046859574</v>
      </c>
      <c r="AK58" s="46">
        <v>2</v>
      </c>
      <c r="AL58" s="46">
        <v>0.89630267138748965</v>
      </c>
      <c r="AM58" s="46">
        <v>-0.36870974036043569</v>
      </c>
      <c r="AN58" s="46">
        <v>-0.86132272340408378</v>
      </c>
      <c r="AW58" s="46">
        <v>26</v>
      </c>
      <c r="AX58" s="46">
        <v>1.0863094986880044</v>
      </c>
      <c r="AY58" s="46">
        <v>-0.24393515050917658</v>
      </c>
      <c r="AZ58" s="46">
        <v>-0.55912658471701959</v>
      </c>
    </row>
    <row r="59" spans="1:52" x14ac:dyDescent="0.35">
      <c r="A59" t="s">
        <v>96</v>
      </c>
      <c r="B59">
        <v>2008</v>
      </c>
      <c r="C59" s="5">
        <f>'Orig data'!G62</f>
        <v>982016</v>
      </c>
      <c r="D59" s="5">
        <f>'Orig data'!R62</f>
        <v>1231940.0157277284</v>
      </c>
      <c r="E59" s="5">
        <f>'Orig data'!AB62</f>
        <v>1658267.7131345156</v>
      </c>
      <c r="F59" s="5">
        <f t="shared" si="1"/>
        <v>982.01599999999996</v>
      </c>
      <c r="G59" s="5">
        <f t="shared" si="2"/>
        <v>1658.2677131345156</v>
      </c>
      <c r="H59" s="44">
        <f t="shared" si="3"/>
        <v>0.52392118867178106</v>
      </c>
      <c r="I59" s="5">
        <f t="shared" si="4"/>
        <v>249924.01572772837</v>
      </c>
      <c r="J59" s="26">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-1.1563723933311598</v>
      </c>
      <c r="Q59">
        <f t="shared" si="0"/>
        <v>0.52392118867178106</v>
      </c>
      <c r="R59">
        <f t="shared" si="6"/>
        <v>2008</v>
      </c>
      <c r="S59">
        <f t="shared" si="7"/>
        <v>0.38815123571070198</v>
      </c>
      <c r="T59">
        <f t="shared" si="8"/>
        <v>0.26348540002726883</v>
      </c>
      <c r="X59" s="46">
        <v>18</v>
      </c>
      <c r="Y59" s="46">
        <v>0.62693605137247443</v>
      </c>
      <c r="Z59" s="46">
        <v>8.1705824767271951E-3</v>
      </c>
      <c r="AA59" s="46">
        <v>1.6834807986284658E-2</v>
      </c>
      <c r="AK59" s="46">
        <v>3</v>
      </c>
      <c r="AL59" s="46">
        <v>1.2408082148798349</v>
      </c>
      <c r="AM59" s="46">
        <v>-0.33861131112615062</v>
      </c>
      <c r="AN59" s="46">
        <v>-0.7910114237543463</v>
      </c>
      <c r="AW59" s="46">
        <v>27</v>
      </c>
      <c r="AX59" s="46">
        <v>0.77561475702029681</v>
      </c>
      <c r="AY59" s="46">
        <v>-0.81939818679886933</v>
      </c>
      <c r="AZ59" s="46">
        <v>-1.8781520775167464</v>
      </c>
    </row>
    <row r="60" spans="1:52" x14ac:dyDescent="0.35">
      <c r="A60" t="s">
        <v>96</v>
      </c>
      <c r="B60">
        <v>2009</v>
      </c>
      <c r="C60" s="5">
        <f>'Orig data'!G63</f>
        <v>474550</v>
      </c>
      <c r="D60" s="5">
        <f>'Orig data'!R63</f>
        <v>816921.59766111372</v>
      </c>
      <c r="E60" s="5">
        <f>'Orig data'!AB63</f>
        <v>1599592.0005304904</v>
      </c>
      <c r="F60" s="5">
        <f t="shared" si="1"/>
        <v>474.55</v>
      </c>
      <c r="G60" s="5">
        <f t="shared" si="2"/>
        <v>1599.5920005304904</v>
      </c>
      <c r="H60" s="44">
        <f t="shared" si="3"/>
        <v>1.2151368894649843</v>
      </c>
      <c r="I60" s="5">
        <f t="shared" si="4"/>
        <v>342371.59766111372</v>
      </c>
      <c r="J60" s="26">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1.2151368894649843</v>
      </c>
      <c r="R60">
        <f t="shared" si="6"/>
        <v>2009</v>
      </c>
      <c r="S60">
        <f t="shared" si="7"/>
        <v>0.54556342189811824</v>
      </c>
      <c r="T60">
        <f t="shared" si="8"/>
        <v>0.74690247320247816</v>
      </c>
      <c r="X60" s="46">
        <v>19</v>
      </c>
      <c r="Y60" s="46">
        <v>0.90029587553298629</v>
      </c>
      <c r="Z60" s="46">
        <v>0.59879724489758079</v>
      </c>
      <c r="AA60" s="46">
        <v>1.2337720926605147</v>
      </c>
      <c r="AK60" s="46">
        <v>4</v>
      </c>
      <c r="AL60" s="46">
        <v>1.3889774411653546</v>
      </c>
      <c r="AM60" s="46">
        <v>0.45251309850359211</v>
      </c>
      <c r="AN60" s="46">
        <v>1.0570911796312215</v>
      </c>
      <c r="AW60" s="46">
        <v>28</v>
      </c>
      <c r="AX60" s="46">
        <v>1.0770357343173655</v>
      </c>
      <c r="AY60" s="46">
        <v>-0.45852633846012725</v>
      </c>
      <c r="AZ60" s="46">
        <v>-1.0509935328749047</v>
      </c>
    </row>
    <row r="61" spans="1:52" x14ac:dyDescent="0.35">
      <c r="A61" t="s">
        <v>96</v>
      </c>
      <c r="B61">
        <v>2010</v>
      </c>
      <c r="C61" s="5">
        <f>'Orig data'!G64</f>
        <v>608718</v>
      </c>
      <c r="D61" s="5">
        <f>'Orig data'!R64</f>
        <v>661736.70499843312</v>
      </c>
      <c r="E61" s="5">
        <f>'Orig data'!AB64</f>
        <v>1512709.3690897836</v>
      </c>
      <c r="F61" s="5">
        <f t="shared" si="1"/>
        <v>608.71799999999996</v>
      </c>
      <c r="G61" s="5">
        <f t="shared" si="2"/>
        <v>1512.7093690897836</v>
      </c>
      <c r="H61" s="44">
        <f t="shared" si="3"/>
        <v>0.91030249988950107</v>
      </c>
      <c r="I61" s="5">
        <f t="shared" si="4"/>
        <v>53018.704998433124</v>
      </c>
      <c r="J61" s="26">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1.7651058721613537</v>
      </c>
      <c r="Q61">
        <f t="shared" si="0"/>
        <v>0.91030249988950107</v>
      </c>
      <c r="R61">
        <f t="shared" si="6"/>
        <v>2010</v>
      </c>
      <c r="S61">
        <f t="shared" si="7"/>
        <v>0.56567380884679697</v>
      </c>
      <c r="T61">
        <f t="shared" si="8"/>
        <v>0.81942796573351662</v>
      </c>
      <c r="X61" s="46">
        <v>20</v>
      </c>
      <c r="Y61" s="46">
        <v>0.9653619665186578</v>
      </c>
      <c r="Z61" s="46">
        <v>3.4401628435026699E-2</v>
      </c>
      <c r="AA61" s="46">
        <v>7.0881704060732617E-2</v>
      </c>
      <c r="AK61" s="46">
        <v>5</v>
      </c>
      <c r="AL61" s="46">
        <v>1.3699584327953709</v>
      </c>
      <c r="AM61" s="46">
        <v>0.33320766786403255</v>
      </c>
      <c r="AN61" s="46">
        <v>0.77838826732164168</v>
      </c>
      <c r="AW61" s="46">
        <v>29</v>
      </c>
      <c r="AX61" s="46">
        <v>1.007742332326208</v>
      </c>
      <c r="AY61" s="46">
        <v>-0.30118923506851736</v>
      </c>
      <c r="AZ61" s="46">
        <v>-0.6903593352818439</v>
      </c>
    </row>
    <row r="62" spans="1:52" x14ac:dyDescent="0.35">
      <c r="A62" t="s">
        <v>96</v>
      </c>
      <c r="B62">
        <v>2011</v>
      </c>
      <c r="C62" s="5">
        <f>'Orig data'!G65</f>
        <v>1079068</v>
      </c>
      <c r="D62" s="5">
        <f>'Orig data'!R65</f>
        <v>1420924.6212415406</v>
      </c>
      <c r="E62" s="5">
        <f>'Orig data'!AB65</f>
        <v>1654800.3617279141</v>
      </c>
      <c r="F62" s="5">
        <f t="shared" si="1"/>
        <v>1079.068</v>
      </c>
      <c r="G62" s="5">
        <f t="shared" si="2"/>
        <v>1654.8003617279142</v>
      </c>
      <c r="H62" s="44">
        <f t="shared" si="3"/>
        <v>0.42758266859195582</v>
      </c>
      <c r="I62" s="5">
        <f t="shared" si="4"/>
        <v>341856.62124154065</v>
      </c>
      <c r="J62" s="26">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0.42758266859195582</v>
      </c>
      <c r="R62">
        <f t="shared" si="6"/>
        <v>2011</v>
      </c>
      <c r="S62">
        <f t="shared" si="7"/>
        <v>0.32999277308444019</v>
      </c>
      <c r="T62">
        <f t="shared" si="8"/>
        <v>0.57054084468996502</v>
      </c>
      <c r="X62" s="46">
        <v>21</v>
      </c>
      <c r="Y62" s="46">
        <v>0.96352733682630542</v>
      </c>
      <c r="Z62" s="46">
        <v>-0.27141076906923844</v>
      </c>
      <c r="AA62" s="46">
        <v>-0.5592193941747825</v>
      </c>
      <c r="AK62" s="46">
        <v>6</v>
      </c>
      <c r="AL62" s="46">
        <v>1.3093717135370033</v>
      </c>
      <c r="AM62" s="46">
        <v>1.1882610814918548</v>
      </c>
      <c r="AN62" s="46">
        <v>2.775831931711751</v>
      </c>
      <c r="AW62" s="46">
        <v>30</v>
      </c>
      <c r="AX62" s="46">
        <v>0.96136419782985205</v>
      </c>
      <c r="AY62" s="46">
        <v>-7.6766580322439992E-2</v>
      </c>
      <c r="AZ62" s="46">
        <v>-0.17595756817538252</v>
      </c>
    </row>
    <row r="63" spans="1:52" x14ac:dyDescent="0.35">
      <c r="A63" t="s">
        <v>96</v>
      </c>
      <c r="B63">
        <v>2012</v>
      </c>
      <c r="C63" s="5">
        <f>'Orig data'!G66</f>
        <v>1381072</v>
      </c>
      <c r="D63" s="5">
        <f>'Orig data'!R66</f>
        <v>1702019.9096711003</v>
      </c>
      <c r="E63" s="5">
        <f>'Orig data'!AB66</f>
        <v>2534603.5925504556</v>
      </c>
      <c r="F63" s="5">
        <f t="shared" si="1"/>
        <v>1381.0719999999999</v>
      </c>
      <c r="G63" s="5">
        <f t="shared" si="2"/>
        <v>2534.6035925504557</v>
      </c>
      <c r="H63" s="44">
        <f t="shared" si="3"/>
        <v>0.60717724186679167</v>
      </c>
      <c r="I63" s="5">
        <f t="shared" si="4"/>
        <v>320947.90967110032</v>
      </c>
      <c r="J63" s="26">
        <f t="shared" si="5"/>
        <v>0.18856883391753071</v>
      </c>
      <c r="K63">
        <f>covariates!R72</f>
        <v>1381072</v>
      </c>
      <c r="L63">
        <f>covariates!T72</f>
        <v>1.0142967195826196</v>
      </c>
      <c r="M63">
        <f>covariates!V72</f>
        <v>2.2082101296986836</v>
      </c>
      <c r="N63">
        <f>covariates!U72</f>
        <v>0.95245405711358799</v>
      </c>
      <c r="O63">
        <f>covariates!W72</f>
        <v>1.9800759442088329</v>
      </c>
      <c r="P63">
        <f>covariates!X72</f>
        <v>0.67542146885303633</v>
      </c>
      <c r="Q63">
        <f t="shared" si="0"/>
        <v>0.60717724186679167</v>
      </c>
      <c r="R63">
        <f t="shared" si="6"/>
        <v>2012</v>
      </c>
      <c r="S63">
        <f t="shared" si="7"/>
        <v>-0.11354740279299977</v>
      </c>
      <c r="T63">
        <f t="shared" si="8"/>
        <v>8.516440472618525E-2</v>
      </c>
      <c r="X63" s="46">
        <v>22</v>
      </c>
      <c r="Y63" s="46">
        <v>0.87929885501947691</v>
      </c>
      <c r="Z63" s="46">
        <v>-0.11245760073377253</v>
      </c>
      <c r="AA63" s="46">
        <v>-0.23170956542496898</v>
      </c>
      <c r="AK63" s="46">
        <v>7</v>
      </c>
      <c r="AL63" s="46">
        <v>1.0328692953488319</v>
      </c>
      <c r="AM63" s="46">
        <v>0.1192028640942504</v>
      </c>
      <c r="AN63" s="46">
        <v>0.27846331219473214</v>
      </c>
      <c r="AW63" s="46">
        <v>31</v>
      </c>
      <c r="AX63" s="46">
        <v>0.94023357505361982</v>
      </c>
      <c r="AY63" s="46">
        <v>0.40121497363903391</v>
      </c>
      <c r="AZ63" s="46">
        <v>0.91962948955846779</v>
      </c>
    </row>
    <row r="64" spans="1:52" x14ac:dyDescent="0.35">
      <c r="A64" t="s">
        <v>96</v>
      </c>
      <c r="B64">
        <v>2013</v>
      </c>
      <c r="C64" s="5">
        <f>'Orig data'!G67</f>
        <v>1167839</v>
      </c>
      <c r="D64" s="5">
        <f>'Orig data'!R67</f>
        <v>1601307.957646556</v>
      </c>
      <c r="E64" s="5">
        <f>'Orig data'!AB67</f>
        <v>1235092.4135788511</v>
      </c>
      <c r="F64" s="5">
        <f t="shared" si="1"/>
        <v>1167.8389999999999</v>
      </c>
      <c r="G64" s="5">
        <f t="shared" si="2"/>
        <v>1235.0924135788512</v>
      </c>
      <c r="H64" s="44">
        <f t="shared" si="3"/>
        <v>5.5990763650055189E-2</v>
      </c>
      <c r="I64" s="5">
        <f t="shared" si="4"/>
        <v>433468.95764655597</v>
      </c>
      <c r="J64" s="26">
        <f t="shared" si="5"/>
        <v>0.27069681105165166</v>
      </c>
      <c r="K64">
        <f>covariates!R73</f>
        <v>1167839</v>
      </c>
      <c r="L64">
        <f>covariates!T73</f>
        <v>0.66615029725931241</v>
      </c>
      <c r="M64">
        <f>covariates!V73</f>
        <v>2.4203010242976566</v>
      </c>
      <c r="N64">
        <f>covariates!U73</f>
        <v>-0.67839888030260287</v>
      </c>
      <c r="O64">
        <f>covariates!W73</f>
        <v>0.69707987068050337</v>
      </c>
      <c r="P64">
        <f>covariates!X73</f>
        <v>7.4628104676789861E-2</v>
      </c>
      <c r="Q64">
        <f t="shared" si="0"/>
        <v>5.5990763650055189E-2</v>
      </c>
      <c r="R64">
        <f t="shared" si="6"/>
        <v>2013</v>
      </c>
      <c r="S64">
        <f t="shared" si="7"/>
        <v>8.445851062171994E-3</v>
      </c>
      <c r="T64">
        <f t="shared" si="8"/>
        <v>-6.5544579135680806E-2</v>
      </c>
      <c r="X64" s="46">
        <v>23</v>
      </c>
      <c r="Y64" s="46">
        <v>0.97810631657122316</v>
      </c>
      <c r="Z64" s="46">
        <v>0.13524863681392763</v>
      </c>
      <c r="AA64" s="46">
        <v>0.27866860626578605</v>
      </c>
      <c r="AK64" s="46">
        <v>8</v>
      </c>
      <c r="AL64" s="46">
        <v>1.1867283646390352</v>
      </c>
      <c r="AM64" s="46">
        <v>-0.1121178311646378</v>
      </c>
      <c r="AN64" s="46">
        <v>-0.26191235302458388</v>
      </c>
      <c r="AW64" s="46">
        <v>32</v>
      </c>
      <c r="AX64" s="46">
        <v>0.80682701837644277</v>
      </c>
      <c r="AY64" s="46">
        <v>0.69305013181413466</v>
      </c>
      <c r="AZ64" s="46">
        <v>1.5885482368164892</v>
      </c>
    </row>
    <row r="65" spans="1:52" x14ac:dyDescent="0.35">
      <c r="A65" t="s">
        <v>96</v>
      </c>
      <c r="B65">
        <v>2014</v>
      </c>
      <c r="C65" s="5">
        <f>'Orig data'!G68</f>
        <v>1165580</v>
      </c>
      <c r="D65" s="5">
        <f>'Orig data'!R68</f>
        <v>1507866.1449047895</v>
      </c>
      <c r="E65" s="5">
        <f>'Orig data'!AB68</f>
        <v>758600.38283809193</v>
      </c>
      <c r="F65" s="5">
        <f t="shared" si="1"/>
        <v>1165.58</v>
      </c>
      <c r="G65" s="5">
        <f t="shared" si="2"/>
        <v>758.60038283809195</v>
      </c>
      <c r="H65" s="44">
        <f t="shared" si="3"/>
        <v>-0.4294989622701833</v>
      </c>
      <c r="I65" s="5">
        <f t="shared" si="4"/>
        <v>342286.14490478951</v>
      </c>
      <c r="J65" s="26">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-0.33057418006754624</v>
      </c>
      <c r="Q65">
        <f t="shared" si="0"/>
        <v>-0.4294989622701833</v>
      </c>
      <c r="R65">
        <f t="shared" si="6"/>
        <v>2014</v>
      </c>
      <c r="S65">
        <f t="shared" si="7"/>
        <v>-0.25778032548875845</v>
      </c>
      <c r="T65">
        <f t="shared" si="8"/>
        <v>-0.29585384134792408</v>
      </c>
      <c r="X65" s="46">
        <v>24</v>
      </c>
      <c r="Y65" s="46">
        <v>0.92541764969964668</v>
      </c>
      <c r="Z65" s="46">
        <v>0.14288708646052628</v>
      </c>
      <c r="AA65" s="46">
        <v>0.29440699866065739</v>
      </c>
      <c r="AK65" s="46">
        <v>9</v>
      </c>
      <c r="AL65" s="46">
        <v>1.2697434528252891</v>
      </c>
      <c r="AM65" s="46">
        <v>-0.48422176230896175</v>
      </c>
      <c r="AN65" s="46">
        <v>-1.1311640604768618</v>
      </c>
      <c r="AW65" s="46">
        <v>33</v>
      </c>
      <c r="AX65" s="46">
        <v>0.84292167091056514</v>
      </c>
      <c r="AY65" s="46">
        <v>-0.249244251830542</v>
      </c>
      <c r="AZ65" s="46">
        <v>-0.57129563736701883</v>
      </c>
    </row>
    <row r="66" spans="1:52" x14ac:dyDescent="0.35">
      <c r="A66" t="s">
        <v>96</v>
      </c>
      <c r="B66">
        <v>2015</v>
      </c>
      <c r="C66" s="5">
        <f>'Orig data'!G69</f>
        <v>950865</v>
      </c>
      <c r="D66" s="5">
        <f>'Orig data'!R69</f>
        <v>1452703.6357440299</v>
      </c>
      <c r="E66" s="5">
        <f>'Orig data'!AB69</f>
        <v>422118.49041296559</v>
      </c>
      <c r="F66" s="5">
        <f t="shared" si="1"/>
        <v>950.86500000000001</v>
      </c>
      <c r="G66" s="5">
        <f t="shared" si="2"/>
        <v>422.11849041296557</v>
      </c>
      <c r="H66" s="44">
        <f t="shared" si="3"/>
        <v>-0.81208603903978072</v>
      </c>
      <c r="I66" s="5">
        <f t="shared" si="4"/>
        <v>501838.63574402989</v>
      </c>
      <c r="J66" s="26">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-0.90509417160994998</v>
      </c>
      <c r="Q66">
        <f t="shared" ref="Q66:Q67" si="9">H66</f>
        <v>-0.81208603903978072</v>
      </c>
      <c r="R66">
        <f t="shared" si="6"/>
        <v>2015</v>
      </c>
      <c r="S66">
        <f t="shared" si="7"/>
        <v>-0.19865050773645077</v>
      </c>
      <c r="T66">
        <f t="shared" si="8"/>
        <v>-1.7119255914607667E-2</v>
      </c>
      <c r="X66" s="46">
        <v>25</v>
      </c>
      <c r="Y66" s="46">
        <v>1.0259711726137697</v>
      </c>
      <c r="Z66" s="46">
        <v>-0.10178986097020737</v>
      </c>
      <c r="AA66" s="46">
        <v>-0.20972957182245541</v>
      </c>
      <c r="AK66" s="46">
        <v>10</v>
      </c>
      <c r="AL66" s="46">
        <v>0.9101436441251004</v>
      </c>
      <c r="AM66" s="46">
        <v>-5.1399989573118643E-2</v>
      </c>
      <c r="AN66" s="46">
        <v>-0.12007271345417012</v>
      </c>
      <c r="AW66" s="46">
        <v>34</v>
      </c>
      <c r="AX66" s="46">
        <v>0.85034879216952486</v>
      </c>
      <c r="AY66" s="46">
        <v>-0.25276138147025862</v>
      </c>
      <c r="AZ66" s="46">
        <v>-0.57935729096371014</v>
      </c>
    </row>
    <row r="67" spans="1:52" x14ac:dyDescent="0.35">
      <c r="A67" t="s">
        <v>96</v>
      </c>
      <c r="B67">
        <v>2016</v>
      </c>
      <c r="C67" s="5">
        <f>'Orig data'!G70</f>
        <v>1975386</v>
      </c>
      <c r="D67" s="5">
        <f>'Orig data'!R70</f>
        <v>2944872.5193175911</v>
      </c>
      <c r="E67" s="5">
        <f>'Orig data'!AB70</f>
        <v>618291.98502002261</v>
      </c>
      <c r="F67" s="5">
        <f t="shared" ref="F67:F68" si="10">C67/1000</f>
        <v>1975.386</v>
      </c>
      <c r="G67" s="5">
        <f t="shared" ref="G67:G68" si="11">E67/1000</f>
        <v>618.29198502002259</v>
      </c>
      <c r="H67" s="44">
        <f t="shared" ref="H67:H68" si="12">LN(E67/C67)</f>
        <v>-1.1615582877267705</v>
      </c>
      <c r="I67" s="5">
        <f t="shared" ref="I67:I68" si="13">D67-C67</f>
        <v>969486.5193175911</v>
      </c>
      <c r="J67" s="26">
        <f t="shared" ref="J67:J68" si="14">I67/D67</f>
        <v>0.32921171050971271</v>
      </c>
      <c r="K67">
        <f>covariates!R76</f>
        <v>1975386</v>
      </c>
      <c r="L67">
        <f>covariates!T76</f>
        <v>2.0204781379455889</v>
      </c>
      <c r="M67">
        <f>covariates!V76</f>
        <v>2.6378516138507848</v>
      </c>
      <c r="N67">
        <f>covariates!U76</f>
        <v>-0.85136813124068367</v>
      </c>
      <c r="O67">
        <f>covariates!W76</f>
        <v>1.9272459314137895</v>
      </c>
      <c r="P67">
        <f>covariates!X76</f>
        <v>-1.3051184806509919</v>
      </c>
      <c r="Q67">
        <f t="shared" si="9"/>
        <v>-1.1615582877267705</v>
      </c>
      <c r="R67">
        <f t="shared" ref="R67" si="15">B67</f>
        <v>2016</v>
      </c>
      <c r="S67">
        <f t="shared" ref="S67" si="16">$AX$23+K67*$AX$24+L67*$AX$25+M67*$AX$26</f>
        <v>-0.60998714383811059</v>
      </c>
      <c r="T67">
        <f t="shared" ref="T67" si="17">$AL$45+$K67*$AL$46+$L67*$AL$47+$M67*$AL$48+$N67*$AL$49+$O67*$AL$50</f>
        <v>-0.5910064672489046</v>
      </c>
      <c r="X67" s="46">
        <v>26</v>
      </c>
      <c r="Y67" s="46">
        <v>0.93169524640213397</v>
      </c>
      <c r="Z67" s="46">
        <v>-8.9320898223306133E-2</v>
      </c>
      <c r="AA67" s="46">
        <v>-0.18403830755456185</v>
      </c>
      <c r="AK67" s="46">
        <v>11</v>
      </c>
      <c r="AL67" s="46">
        <v>1.0808771513441888</v>
      </c>
      <c r="AM67" s="46">
        <v>-0.30770009089533834</v>
      </c>
      <c r="AN67" s="46">
        <v>-0.7188014073687754</v>
      </c>
      <c r="AW67" s="46">
        <v>35</v>
      </c>
      <c r="AX67" s="46">
        <v>0.58407102944874167</v>
      </c>
      <c r="AY67" s="46">
        <v>-0.76504187389139333</v>
      </c>
      <c r="AZ67" s="46">
        <v>-1.7535613429287709</v>
      </c>
    </row>
    <row r="68" spans="1:52" x14ac:dyDescent="0.35">
      <c r="A68" t="s">
        <v>96</v>
      </c>
      <c r="B68">
        <v>2017</v>
      </c>
      <c r="C68" s="5">
        <f>'Orig data'!G71</f>
        <v>659667</v>
      </c>
      <c r="D68" s="5">
        <f>'Orig data'!R71</f>
        <v>1072321.8899999999</v>
      </c>
      <c r="E68" s="5">
        <f>'Orig data'!AB71</f>
        <v>625307.00697289268</v>
      </c>
      <c r="F68" s="5">
        <f t="shared" si="10"/>
        <v>659.66700000000003</v>
      </c>
      <c r="G68" s="5">
        <f t="shared" si="11"/>
        <v>625.30700697289262</v>
      </c>
      <c r="H68" s="44">
        <f t="shared" si="12"/>
        <v>-5.3492421951715413E-2</v>
      </c>
      <c r="I68" s="5">
        <f t="shared" si="13"/>
        <v>412654.8899999999</v>
      </c>
      <c r="J68" s="26">
        <f t="shared" si="14"/>
        <v>0.38482371184271913</v>
      </c>
      <c r="Q68" t="s">
        <v>12</v>
      </c>
      <c r="R68" t="s">
        <v>12</v>
      </c>
      <c r="X68" s="46">
        <v>27</v>
      </c>
      <c r="Y68" s="46">
        <v>0.76790456851633626</v>
      </c>
      <c r="Z68" s="46">
        <v>-0.81168799829490879</v>
      </c>
      <c r="AA68" s="46">
        <v>-1.6724158448909052</v>
      </c>
      <c r="AK68" s="46">
        <v>12</v>
      </c>
      <c r="AL68" s="46">
        <v>0.96158194730276758</v>
      </c>
      <c r="AM68" s="46">
        <v>0.11169316102295523</v>
      </c>
      <c r="AN68" s="46">
        <v>0.26092030425845997</v>
      </c>
      <c r="AW68" s="46">
        <v>36</v>
      </c>
      <c r="AX68" s="46">
        <v>0.57468588387287767</v>
      </c>
      <c r="AY68" s="46">
        <v>-0.15162585580662347</v>
      </c>
      <c r="AZ68" s="46">
        <v>-0.34754338083294556</v>
      </c>
    </row>
    <row r="69" spans="1:52" x14ac:dyDescent="0.35">
      <c r="X69" s="46">
        <v>28</v>
      </c>
      <c r="Y69" s="46">
        <v>0.91992957639579931</v>
      </c>
      <c r="Z69" s="46">
        <v>-0.30142018053856101</v>
      </c>
      <c r="AA69" s="46">
        <v>-0.62105129922028646</v>
      </c>
      <c r="AK69" s="46">
        <v>13</v>
      </c>
      <c r="AL69" s="46">
        <v>1.159778506298385</v>
      </c>
      <c r="AM69" s="46">
        <v>-0.32447603661485724</v>
      </c>
      <c r="AN69" s="46">
        <v>-0.75799077958522365</v>
      </c>
      <c r="AW69" s="46">
        <v>37</v>
      </c>
      <c r="AX69" s="46">
        <v>0.79123321382550693</v>
      </c>
      <c r="AY69" s="46">
        <v>0.61414016137472238</v>
      </c>
      <c r="AZ69" s="46">
        <v>1.4076777793206565</v>
      </c>
    </row>
    <row r="70" spans="1:52" x14ac:dyDescent="0.35">
      <c r="X70" s="46">
        <v>29</v>
      </c>
      <c r="Y70" s="46">
        <v>0.98536322595086967</v>
      </c>
      <c r="Z70" s="46">
        <v>-0.278810128693179</v>
      </c>
      <c r="AA70" s="46">
        <v>-0.57446516139460047</v>
      </c>
      <c r="AK70" s="46">
        <v>14</v>
      </c>
      <c r="AL70" s="46">
        <v>1.0458274695773879</v>
      </c>
      <c r="AM70" s="46">
        <v>0.34121418559353822</v>
      </c>
      <c r="AN70" s="46">
        <v>0.79709185689597584</v>
      </c>
      <c r="AW70" s="46">
        <v>38</v>
      </c>
      <c r="AX70" s="46">
        <v>0.82499879670021081</v>
      </c>
      <c r="AY70" s="46">
        <v>0.24160453645230096</v>
      </c>
      <c r="AZ70" s="46">
        <v>0.55378455723473863</v>
      </c>
    </row>
    <row r="71" spans="1:52" x14ac:dyDescent="0.35">
      <c r="X71" s="46">
        <v>30</v>
      </c>
      <c r="Y71" s="46">
        <v>0.94958921221185411</v>
      </c>
      <c r="Z71" s="46">
        <v>-6.4991594704442046E-2</v>
      </c>
      <c r="AA71" s="46">
        <v>-0.13390979415337562</v>
      </c>
      <c r="AK71" s="46">
        <v>15</v>
      </c>
      <c r="AL71" s="46">
        <v>1.1291547205074672</v>
      </c>
      <c r="AM71" s="46">
        <v>0.50145636283446615</v>
      </c>
      <c r="AN71" s="46">
        <v>1.1714248711809605</v>
      </c>
      <c r="AW71" s="46">
        <v>39</v>
      </c>
      <c r="AX71" s="46">
        <v>0.73321545176544001</v>
      </c>
      <c r="AY71" s="46">
        <v>3.4369267312087004E-2</v>
      </c>
      <c r="AZ71" s="46">
        <v>7.8778195808687237E-2</v>
      </c>
    </row>
    <row r="72" spans="1:52" x14ac:dyDescent="0.35">
      <c r="A72" t="s">
        <v>102</v>
      </c>
      <c r="X72" s="46">
        <v>31</v>
      </c>
      <c r="Y72" s="46">
        <v>0.87167248917764639</v>
      </c>
      <c r="Z72" s="46">
        <v>0.46977605951500734</v>
      </c>
      <c r="AA72" s="46">
        <v>0.96793463391565238</v>
      </c>
      <c r="AK72" s="46">
        <v>16</v>
      </c>
      <c r="AL72" s="46">
        <v>0.88785083317282076</v>
      </c>
      <c r="AM72" s="46">
        <v>-0.26133603714699283</v>
      </c>
      <c r="AN72" s="46">
        <v>-0.61049286904933742</v>
      </c>
      <c r="AW72" s="46">
        <v>40</v>
      </c>
      <c r="AX72" s="46">
        <v>0.69904952545386401</v>
      </c>
      <c r="AY72" s="46">
        <v>0.21327645972492837</v>
      </c>
      <c r="AZ72" s="46">
        <v>0.48885344435856598</v>
      </c>
    </row>
    <row r="73" spans="1:52" ht="15" thickBot="1" x14ac:dyDescent="0.4">
      <c r="X73" s="46">
        <v>32</v>
      </c>
      <c r="Y73" s="46">
        <v>0.94319710931132694</v>
      </c>
      <c r="Z73" s="46">
        <v>0.55668004087925049</v>
      </c>
      <c r="AA73" s="46">
        <v>1.1469930846048029</v>
      </c>
      <c r="AK73" s="46">
        <v>17</v>
      </c>
      <c r="AL73" s="46">
        <v>0.90876526381336686</v>
      </c>
      <c r="AM73" s="46">
        <v>2.7237383000658033E-2</v>
      </c>
      <c r="AN73" s="46">
        <v>6.3627765519818261E-2</v>
      </c>
      <c r="AW73" s="46">
        <v>41</v>
      </c>
      <c r="AX73" s="46">
        <v>0.50143812154555545</v>
      </c>
      <c r="AY73" s="46">
        <v>-7.3722650675630552E-3</v>
      </c>
      <c r="AZ73" s="46">
        <v>-1.6898054176493323E-2</v>
      </c>
    </row>
    <row r="74" spans="1:52" x14ac:dyDescent="0.35">
      <c r="A74" s="49" t="s">
        <v>103</v>
      </c>
      <c r="B74" s="49"/>
      <c r="X74" s="46">
        <v>33</v>
      </c>
      <c r="Y74" s="46">
        <v>0.91468000495195778</v>
      </c>
      <c r="Z74" s="46">
        <v>-0.32100258587193464</v>
      </c>
      <c r="AA74" s="46">
        <v>-0.6613992223501185</v>
      </c>
      <c r="AK74" s="46">
        <v>18</v>
      </c>
      <c r="AL74" s="46">
        <v>0.76839999574127626</v>
      </c>
      <c r="AM74" s="46">
        <v>-0.13329336189207464</v>
      </c>
      <c r="AN74" s="46">
        <v>-0.31137935592462407</v>
      </c>
      <c r="AW74" s="46">
        <v>42</v>
      </c>
      <c r="AX74" s="46">
        <v>0.5360163786852733</v>
      </c>
      <c r="AY74" s="46">
        <v>-0.30775437457971022</v>
      </c>
      <c r="AZ74" s="46">
        <v>-0.70540736761921685</v>
      </c>
    </row>
    <row r="75" spans="1:52" x14ac:dyDescent="0.35">
      <c r="A75" s="46" t="s">
        <v>104</v>
      </c>
      <c r="B75" s="46">
        <v>0.69688329947102834</v>
      </c>
      <c r="X75" s="46">
        <v>34</v>
      </c>
      <c r="Y75" s="46">
        <v>0.80529685217019242</v>
      </c>
      <c r="Z75" s="46">
        <v>-0.20770944147092618</v>
      </c>
      <c r="AA75" s="46">
        <v>-0.42796808845164852</v>
      </c>
      <c r="AK75" s="46">
        <v>19</v>
      </c>
      <c r="AL75" s="46">
        <v>0.95587888338251448</v>
      </c>
      <c r="AM75" s="46">
        <v>0.54321423704805261</v>
      </c>
      <c r="AN75" s="46">
        <v>1.2689731646056244</v>
      </c>
      <c r="AW75" s="46">
        <v>43</v>
      </c>
      <c r="AX75" s="46">
        <v>0.56747905104254759</v>
      </c>
      <c r="AY75" s="46">
        <v>-0.12352920151209901</v>
      </c>
      <c r="AZ75" s="46">
        <v>-0.28314271399636654</v>
      </c>
    </row>
    <row r="76" spans="1:52" x14ac:dyDescent="0.35">
      <c r="A76" s="46" t="s">
        <v>105</v>
      </c>
      <c r="B76" s="46">
        <v>0.48564633308162702</v>
      </c>
      <c r="X76" s="46">
        <v>35</v>
      </c>
      <c r="Y76" s="46">
        <v>0.4210134189172674</v>
      </c>
      <c r="Z76" s="46">
        <v>-0.60198426335991906</v>
      </c>
      <c r="AA76" s="46">
        <v>-1.2403386800507077</v>
      </c>
      <c r="AK76" s="46">
        <v>20</v>
      </c>
      <c r="AL76" s="46">
        <v>1.2016507440447173</v>
      </c>
      <c r="AM76" s="46">
        <v>-0.20188714909103278</v>
      </c>
      <c r="AN76" s="46">
        <v>-0.4716175626534489</v>
      </c>
      <c r="AW76" s="46">
        <v>44</v>
      </c>
      <c r="AX76" s="46">
        <v>0.10842366773715008</v>
      </c>
      <c r="AY76" s="46">
        <v>0.66748481668516857</v>
      </c>
      <c r="AZ76" s="46">
        <v>1.5299496818094056</v>
      </c>
    </row>
    <row r="77" spans="1:52" x14ac:dyDescent="0.35">
      <c r="A77" s="46" t="s">
        <v>106</v>
      </c>
      <c r="B77" s="46">
        <v>0.4777331997444213</v>
      </c>
      <c r="X77" s="46">
        <v>36</v>
      </c>
      <c r="Y77" s="46">
        <v>0.61972975246709971</v>
      </c>
      <c r="Z77" s="46">
        <v>-0.19666972440084551</v>
      </c>
      <c r="AA77" s="46">
        <v>-0.4052216664398654</v>
      </c>
      <c r="AK77" s="46">
        <v>21</v>
      </c>
      <c r="AL77" s="46">
        <v>1.1789865153196775</v>
      </c>
      <c r="AM77" s="46">
        <v>-0.48686994756261048</v>
      </c>
      <c r="AN77" s="46">
        <v>-1.1373503416760551</v>
      </c>
      <c r="AW77" s="46">
        <v>45</v>
      </c>
      <c r="AX77" s="46">
        <v>6.0222535568208689E-2</v>
      </c>
      <c r="AY77" s="46">
        <v>0.51396497245537598</v>
      </c>
      <c r="AZ77" s="46">
        <v>1.1780650681679465</v>
      </c>
    </row>
    <row r="78" spans="1:52" x14ac:dyDescent="0.35">
      <c r="A78" s="46" t="s">
        <v>107</v>
      </c>
      <c r="B78" s="46">
        <v>0.5078140815619453</v>
      </c>
      <c r="X78" s="46">
        <v>37</v>
      </c>
      <c r="Y78" s="46">
        <v>0.87505390148993056</v>
      </c>
      <c r="Z78" s="46">
        <v>0.53031947371029875</v>
      </c>
      <c r="AA78" s="46">
        <v>1.0926793208109857</v>
      </c>
      <c r="AK78" s="46">
        <v>22</v>
      </c>
      <c r="AL78" s="46">
        <v>1.0475773962985007</v>
      </c>
      <c r="AM78" s="46">
        <v>-0.28073614201279629</v>
      </c>
      <c r="AN78" s="46">
        <v>-0.65581239638540367</v>
      </c>
      <c r="AW78" s="46">
        <v>46</v>
      </c>
      <c r="AX78" s="46">
        <v>0.25841733676344103</v>
      </c>
      <c r="AY78" s="46">
        <v>-8.8045092863332175E-2</v>
      </c>
      <c r="AZ78" s="46">
        <v>-0.20180917744331331</v>
      </c>
    </row>
    <row r="79" spans="1:52" ht="15" thickBot="1" x14ac:dyDescent="0.4">
      <c r="A79" s="47" t="s">
        <v>108</v>
      </c>
      <c r="B79" s="47">
        <v>67</v>
      </c>
      <c r="X79" s="46">
        <v>38</v>
      </c>
      <c r="Y79" s="46">
        <v>0.83831702347789405</v>
      </c>
      <c r="Z79" s="46">
        <v>0.22828630967461772</v>
      </c>
      <c r="AA79" s="46">
        <v>0.47036501990114171</v>
      </c>
      <c r="AK79" s="46">
        <v>23</v>
      </c>
      <c r="AL79" s="46">
        <v>1.2081175132142494</v>
      </c>
      <c r="AM79" s="46">
        <v>-9.4762559829098647E-2</v>
      </c>
      <c r="AN79" s="46">
        <v>-0.22136964981980717</v>
      </c>
      <c r="AW79" s="46">
        <v>47</v>
      </c>
      <c r="AX79" s="46">
        <v>0.32411528635590442</v>
      </c>
      <c r="AY79" s="46">
        <v>0.73833990623324897</v>
      </c>
      <c r="AZ79" s="46">
        <v>1.692357453490291</v>
      </c>
    </row>
    <row r="80" spans="1:52" x14ac:dyDescent="0.35">
      <c r="X80" s="46">
        <v>39</v>
      </c>
      <c r="Y80" s="46">
        <v>0.8158035866290162</v>
      </c>
      <c r="Z80" s="46">
        <v>-4.8218867551489186E-2</v>
      </c>
      <c r="AA80" s="46">
        <v>-9.9350980038153736E-2</v>
      </c>
      <c r="AK80" s="46">
        <v>24</v>
      </c>
      <c r="AL80" s="46">
        <v>1.1321096399534611</v>
      </c>
      <c r="AM80" s="46">
        <v>-6.3804903793288181E-2</v>
      </c>
      <c r="AN80" s="46">
        <v>-0.14905115728173379</v>
      </c>
      <c r="AW80" s="46">
        <v>48</v>
      </c>
      <c r="AX80" s="46">
        <v>-0.62298119239483607</v>
      </c>
      <c r="AY80" s="46">
        <v>0.34087781568440173</v>
      </c>
      <c r="AZ80" s="46">
        <v>0.78132999074377885</v>
      </c>
    </row>
    <row r="81" spans="1:52" ht="15" thickBot="1" x14ac:dyDescent="0.4">
      <c r="A81" t="s">
        <v>109</v>
      </c>
      <c r="X81" s="46">
        <v>40</v>
      </c>
      <c r="Y81" s="46">
        <v>0.68144416479412184</v>
      </c>
      <c r="Z81" s="46">
        <v>0.23088182038467053</v>
      </c>
      <c r="AA81" s="46">
        <v>0.47571285459402235</v>
      </c>
      <c r="AK81" s="46">
        <v>25</v>
      </c>
      <c r="AL81" s="46">
        <v>1.2474434154450982</v>
      </c>
      <c r="AM81" s="46">
        <v>-0.32326210380153586</v>
      </c>
      <c r="AN81" s="46">
        <v>-0.75515497732033787</v>
      </c>
      <c r="AW81" s="46">
        <v>49</v>
      </c>
      <c r="AX81" s="46">
        <v>-0.42708214151233764</v>
      </c>
      <c r="AY81" s="46">
        <v>0.14731408968972526</v>
      </c>
      <c r="AZ81" s="46">
        <v>0.33766033176024063</v>
      </c>
    </row>
    <row r="82" spans="1:52" x14ac:dyDescent="0.35">
      <c r="A82" s="48"/>
      <c r="B82" s="48" t="s">
        <v>113</v>
      </c>
      <c r="C82" s="48" t="s">
        <v>114</v>
      </c>
      <c r="D82" s="48" t="s">
        <v>115</v>
      </c>
      <c r="E82" s="48" t="s">
        <v>116</v>
      </c>
      <c r="F82" s="48" t="s">
        <v>117</v>
      </c>
      <c r="X82" s="46">
        <v>41</v>
      </c>
      <c r="Y82" s="46">
        <v>0.64726880941116649</v>
      </c>
      <c r="Z82" s="46">
        <v>-0.1532029529331741</v>
      </c>
      <c r="AA82" s="46">
        <v>-0.31566198651174887</v>
      </c>
      <c r="AK82" s="46">
        <v>26</v>
      </c>
      <c r="AL82" s="46">
        <v>1.072144595376511</v>
      </c>
      <c r="AM82" s="46">
        <v>-0.22977024719768313</v>
      </c>
      <c r="AN82" s="46">
        <v>-0.53675374802974496</v>
      </c>
      <c r="AW82" s="46">
        <v>50</v>
      </c>
      <c r="AX82" s="46">
        <v>0.67854733741952966</v>
      </c>
      <c r="AY82" s="46">
        <v>0.77780675943032085</v>
      </c>
      <c r="AZ82" s="46">
        <v>1.7828198849666299</v>
      </c>
    </row>
    <row r="83" spans="1:52" x14ac:dyDescent="0.35">
      <c r="A83" s="46" t="s">
        <v>110</v>
      </c>
      <c r="B83" s="46">
        <v>1</v>
      </c>
      <c r="C83" s="46">
        <v>15.826362515694971</v>
      </c>
      <c r="D83" s="46">
        <v>15.826362515694971</v>
      </c>
      <c r="E83" s="46">
        <v>61.372191316204592</v>
      </c>
      <c r="F83" s="46">
        <v>5.7549577749928476E-11</v>
      </c>
      <c r="X83" s="46">
        <v>42</v>
      </c>
      <c r="Y83" s="46">
        <v>0.66816777213077427</v>
      </c>
      <c r="Z83" s="46">
        <v>-0.4399057680252112</v>
      </c>
      <c r="AA83" s="46">
        <v>-0.90638937405720266</v>
      </c>
      <c r="AK83" s="46">
        <v>27</v>
      </c>
      <c r="AL83" s="46">
        <v>0.77597259937895291</v>
      </c>
      <c r="AM83" s="46">
        <v>-0.81975602915752543</v>
      </c>
      <c r="AN83" s="46">
        <v>-1.9149873688464196</v>
      </c>
      <c r="AW83" s="46">
        <v>51</v>
      </c>
      <c r="AX83" s="46">
        <v>-0.56074067350723678</v>
      </c>
      <c r="AY83" s="46">
        <v>0.14798094175868082</v>
      </c>
      <c r="AZ83" s="46">
        <v>0.33918883111364795</v>
      </c>
    </row>
    <row r="84" spans="1:52" x14ac:dyDescent="0.35">
      <c r="A84" s="46" t="s">
        <v>111</v>
      </c>
      <c r="B84" s="46">
        <v>65</v>
      </c>
      <c r="C84" s="46">
        <v>16.761884193119133</v>
      </c>
      <c r="D84" s="46">
        <v>0.25787514143260204</v>
      </c>
      <c r="E84" s="46"/>
      <c r="F84" s="46"/>
      <c r="X84" s="46">
        <v>43</v>
      </c>
      <c r="Y84" s="46">
        <v>0.64804631282216696</v>
      </c>
      <c r="Z84" s="46">
        <v>-0.20409646329171838</v>
      </c>
      <c r="AA84" s="46">
        <v>-0.42052384636990608</v>
      </c>
      <c r="AK84" s="46">
        <v>28</v>
      </c>
      <c r="AL84" s="46">
        <v>1.0425834168285122</v>
      </c>
      <c r="AM84" s="46">
        <v>-0.42407402097127389</v>
      </c>
      <c r="AN84" s="46">
        <v>-0.99065620102910845</v>
      </c>
      <c r="AW84" s="46">
        <v>52</v>
      </c>
      <c r="AX84" s="46">
        <v>-0.27639703627151546</v>
      </c>
      <c r="AY84" s="46">
        <v>0.32445489460500304</v>
      </c>
      <c r="AZ84" s="46">
        <v>0.74368682306157174</v>
      </c>
    </row>
    <row r="85" spans="1:52" ht="15" thickBot="1" x14ac:dyDescent="0.4">
      <c r="A85" s="47" t="s">
        <v>9</v>
      </c>
      <c r="B85" s="47">
        <v>66</v>
      </c>
      <c r="C85" s="47">
        <v>32.588246708814104</v>
      </c>
      <c r="D85" s="47"/>
      <c r="E85" s="47"/>
      <c r="F85" s="47"/>
      <c r="X85" s="46">
        <v>44</v>
      </c>
      <c r="Y85" s="46">
        <v>9.3072096147414074E-2</v>
      </c>
      <c r="Z85" s="46">
        <v>0.68283638827490456</v>
      </c>
      <c r="AA85" s="46">
        <v>1.4069277821256061</v>
      </c>
      <c r="AK85" s="46">
        <v>29</v>
      </c>
      <c r="AL85" s="46">
        <v>1.0437248583773939</v>
      </c>
      <c r="AM85" s="46">
        <v>-0.33717176111970326</v>
      </c>
      <c r="AN85" s="46">
        <v>-0.78764856946463446</v>
      </c>
      <c r="AW85" s="46">
        <v>53</v>
      </c>
      <c r="AX85" s="46">
        <v>0.12441463772354687</v>
      </c>
      <c r="AY85" s="46">
        <v>-0.1196024980321567</v>
      </c>
      <c r="AZ85" s="46">
        <v>-0.27414227145516751</v>
      </c>
    </row>
    <row r="86" spans="1:52" ht="15" thickBot="1" x14ac:dyDescent="0.4">
      <c r="X86" s="46">
        <v>45</v>
      </c>
      <c r="Y86" s="46">
        <v>0.11681916330666686</v>
      </c>
      <c r="Z86" s="46">
        <v>0.45736834471691779</v>
      </c>
      <c r="AA86" s="46">
        <v>0.9423695659698369</v>
      </c>
      <c r="AK86" s="46">
        <v>30</v>
      </c>
      <c r="AL86" s="46">
        <v>0.96734568367810914</v>
      </c>
      <c r="AM86" s="46">
        <v>-8.2748066170697077E-2</v>
      </c>
      <c r="AN86" s="46">
        <v>-0.19330324618192279</v>
      </c>
      <c r="AW86" s="46">
        <v>54</v>
      </c>
      <c r="AX86" s="46">
        <v>-0.54278943146142089</v>
      </c>
      <c r="AY86" s="46">
        <v>-0.28047869081034549</v>
      </c>
      <c r="AZ86" s="46">
        <v>-0.64288845683512863</v>
      </c>
    </row>
    <row r="87" spans="1:52" x14ac:dyDescent="0.35">
      <c r="A87" s="48"/>
      <c r="B87" s="48" t="s">
        <v>118</v>
      </c>
      <c r="C87" s="48" t="s">
        <v>107</v>
      </c>
      <c r="D87" s="48" t="s">
        <v>119</v>
      </c>
      <c r="E87" s="48" t="s">
        <v>120</v>
      </c>
      <c r="F87" s="48" t="s">
        <v>121</v>
      </c>
      <c r="G87" s="48" t="s">
        <v>122</v>
      </c>
      <c r="H87" s="48" t="s">
        <v>123</v>
      </c>
      <c r="I87" s="48" t="s">
        <v>124</v>
      </c>
      <c r="X87" s="46">
        <v>46</v>
      </c>
      <c r="Y87" s="46">
        <v>0.39667104605439274</v>
      </c>
      <c r="Z87" s="46">
        <v>-0.22629880215428388</v>
      </c>
      <c r="AA87" s="46">
        <v>-0.46626992538720452</v>
      </c>
      <c r="AK87" s="46">
        <v>31</v>
      </c>
      <c r="AL87" s="46">
        <v>0.86364614103953741</v>
      </c>
      <c r="AM87" s="46">
        <v>0.47780240765311632</v>
      </c>
      <c r="AN87" s="46">
        <v>1.1161681560310925</v>
      </c>
      <c r="AW87" s="46">
        <v>55</v>
      </c>
      <c r="AX87" s="46">
        <v>0.20619685574399421</v>
      </c>
      <c r="AY87" s="46">
        <v>-0.66449065025851994</v>
      </c>
      <c r="AZ87" s="46">
        <v>-1.5230867182524441</v>
      </c>
    </row>
    <row r="88" spans="1:52" x14ac:dyDescent="0.35">
      <c r="A88" s="46" t="s">
        <v>112</v>
      </c>
      <c r="B88" s="46">
        <v>1.1218319330218014</v>
      </c>
      <c r="C88" s="46">
        <v>8.8938874494714174E-2</v>
      </c>
      <c r="D88" s="46">
        <v>12.613516186203528</v>
      </c>
      <c r="E88" s="46">
        <v>3.9433223559886904E-19</v>
      </c>
      <c r="F88" s="46">
        <v>0.94420873523868887</v>
      </c>
      <c r="G88" s="46">
        <v>1.2994551308049138</v>
      </c>
      <c r="H88" s="46">
        <v>0.94420873523868887</v>
      </c>
      <c r="I88" s="46">
        <v>1.2994551308049138</v>
      </c>
      <c r="X88" s="46">
        <v>47</v>
      </c>
      <c r="Y88" s="46">
        <v>0.48547028631889222</v>
      </c>
      <c r="Z88" s="46">
        <v>0.57698490627026122</v>
      </c>
      <c r="AA88" s="46">
        <v>1.1888295768033303</v>
      </c>
      <c r="AK88" s="46">
        <v>32</v>
      </c>
      <c r="AL88" s="46">
        <v>0.82805650269443676</v>
      </c>
      <c r="AM88" s="46">
        <v>0.67182064749614068</v>
      </c>
      <c r="AN88" s="46">
        <v>1.569403588781793</v>
      </c>
      <c r="AW88" s="46">
        <v>56</v>
      </c>
      <c r="AX88" s="46">
        <v>-5.3091529421676664E-2</v>
      </c>
      <c r="AY88" s="46">
        <v>-0.87371987446388499</v>
      </c>
      <c r="AZ88" s="46">
        <v>-2.0026634471853102</v>
      </c>
    </row>
    <row r="89" spans="1:52" ht="15" thickBot="1" x14ac:dyDescent="0.4">
      <c r="A89" s="47" t="s">
        <v>83</v>
      </c>
      <c r="B89" s="47">
        <v>-6.1781197404678159E-7</v>
      </c>
      <c r="C89" s="47">
        <v>7.8862493781927252E-8</v>
      </c>
      <c r="D89" s="47">
        <v>-7.8340405485422808</v>
      </c>
      <c r="E89" s="47">
        <v>5.7549577749928049E-11</v>
      </c>
      <c r="F89" s="47">
        <v>-7.7531124992899731E-7</v>
      </c>
      <c r="G89" s="47">
        <v>-4.6031269816456587E-7</v>
      </c>
      <c r="H89" s="47">
        <v>-7.7531124992899731E-7</v>
      </c>
      <c r="I89" s="47">
        <v>-4.6031269816456587E-7</v>
      </c>
      <c r="X89" s="46">
        <v>48</v>
      </c>
      <c r="Y89" s="46">
        <v>-1.1057407384522164</v>
      </c>
      <c r="Z89" s="46">
        <v>0.82363736174178204</v>
      </c>
      <c r="AA89" s="46">
        <v>1.6970365178673341</v>
      </c>
      <c r="AK89" s="46">
        <v>33</v>
      </c>
      <c r="AL89" s="46">
        <v>0.8390607029010011</v>
      </c>
      <c r="AM89" s="46">
        <v>-0.24538328382097796</v>
      </c>
      <c r="AN89" s="46">
        <v>-0.57322651170514427</v>
      </c>
      <c r="AW89" s="46">
        <v>57</v>
      </c>
      <c r="AX89" s="46">
        <v>0.50834428348284022</v>
      </c>
      <c r="AY89" s="46">
        <v>-0.24432735803014721</v>
      </c>
      <c r="AZ89" s="46">
        <v>-0.56002556811995641</v>
      </c>
    </row>
    <row r="90" spans="1:52" x14ac:dyDescent="0.35">
      <c r="X90" s="46">
        <v>49</v>
      </c>
      <c r="Y90" s="46">
        <v>-0.74274533593986369</v>
      </c>
      <c r="Z90" s="46">
        <v>0.46297728411725131</v>
      </c>
      <c r="AA90" s="46">
        <v>0.95392632071532524</v>
      </c>
      <c r="AK90" s="46">
        <v>34</v>
      </c>
      <c r="AL90" s="46">
        <v>0.82702462312491154</v>
      </c>
      <c r="AM90" s="46">
        <v>-0.2294372124256453</v>
      </c>
      <c r="AN90" s="46">
        <v>-0.53597576365493704</v>
      </c>
      <c r="AW90" s="46">
        <v>58</v>
      </c>
      <c r="AX90" s="46">
        <v>0.38277188591558614</v>
      </c>
      <c r="AY90" s="46">
        <v>0.14114930275619492</v>
      </c>
      <c r="AZ90" s="46">
        <v>0.32352995220461661</v>
      </c>
    </row>
    <row r="91" spans="1:52" x14ac:dyDescent="0.35">
      <c r="X91" s="46">
        <v>50</v>
      </c>
      <c r="Y91" s="46">
        <v>0.70425873396491689</v>
      </c>
      <c r="Z91" s="46">
        <v>0.75209536288493362</v>
      </c>
      <c r="AA91" s="46">
        <v>1.5496301588787798</v>
      </c>
      <c r="AK91" s="46">
        <v>35</v>
      </c>
      <c r="AL91" s="46">
        <v>0.64492227147660264</v>
      </c>
      <c r="AM91" s="46">
        <v>-0.82589311591925429</v>
      </c>
      <c r="AN91" s="46">
        <v>-1.9293238826532209</v>
      </c>
      <c r="AW91" s="46">
        <v>59</v>
      </c>
      <c r="AX91" s="46">
        <v>0.53945950929859832</v>
      </c>
      <c r="AY91" s="46">
        <v>0.67567738016638601</v>
      </c>
      <c r="AZ91" s="46">
        <v>1.5487279514838213</v>
      </c>
    </row>
    <row r="92" spans="1:52" x14ac:dyDescent="0.35">
      <c r="X92" s="46">
        <v>51</v>
      </c>
      <c r="Y92" s="46">
        <v>-0.84689979409842464</v>
      </c>
      <c r="Z92" s="46">
        <v>0.43414006234986868</v>
      </c>
      <c r="AA92" s="46">
        <v>0.89450961539540619</v>
      </c>
      <c r="AK92" s="46">
        <v>36</v>
      </c>
      <c r="AL92" s="46">
        <v>0.58251395801108519</v>
      </c>
      <c r="AM92" s="46">
        <v>-0.15945392994483099</v>
      </c>
      <c r="AN92" s="46">
        <v>-0.37249163274967062</v>
      </c>
      <c r="AW92" s="46">
        <v>60</v>
      </c>
      <c r="AX92" s="46">
        <v>0.55900535724278178</v>
      </c>
      <c r="AY92" s="46">
        <v>0.3512971426467193</v>
      </c>
      <c r="AZ92" s="46">
        <v>0.80521225079252656</v>
      </c>
    </row>
    <row r="93" spans="1:52" x14ac:dyDescent="0.35">
      <c r="A93" t="s">
        <v>125</v>
      </c>
      <c r="X93" s="46">
        <v>52</v>
      </c>
      <c r="Y93" s="46">
        <v>-0.30938935420208158</v>
      </c>
      <c r="Z93" s="46">
        <v>0.35744721253556916</v>
      </c>
      <c r="AA93" s="46">
        <v>0.73649035492991899</v>
      </c>
      <c r="AK93" s="46">
        <v>37</v>
      </c>
      <c r="AL93" s="46">
        <v>0.78524415144065307</v>
      </c>
      <c r="AM93" s="46">
        <v>0.62012922375957624</v>
      </c>
      <c r="AN93" s="46">
        <v>1.4486500718665947</v>
      </c>
      <c r="AW93" s="46">
        <v>61</v>
      </c>
      <c r="AX93" s="46">
        <v>0.3227585467937496</v>
      </c>
      <c r="AY93" s="46">
        <v>0.10482412179820622</v>
      </c>
      <c r="AZ93" s="46">
        <v>0.24026858406692431</v>
      </c>
    </row>
    <row r="94" spans="1:52" ht="15" thickBot="1" x14ac:dyDescent="0.4">
      <c r="X94" s="46">
        <v>53</v>
      </c>
      <c r="Y94" s="46">
        <v>0.20162397188926517</v>
      </c>
      <c r="Z94" s="46">
        <v>-0.19681183219787499</v>
      </c>
      <c r="AA94" s="46">
        <v>-0.40551446777724365</v>
      </c>
      <c r="AK94" s="46">
        <v>38</v>
      </c>
      <c r="AL94" s="46">
        <v>0.7646626327535897</v>
      </c>
      <c r="AM94" s="46">
        <v>0.30194070039892207</v>
      </c>
      <c r="AN94" s="46">
        <v>0.70534720921639815</v>
      </c>
      <c r="AW94" s="46">
        <v>62</v>
      </c>
      <c r="AX94" s="46">
        <v>-0.12138135025258887</v>
      </c>
      <c r="AY94" s="46">
        <v>0.72855859211938057</v>
      </c>
      <c r="AZ94" s="46">
        <v>1.6699375900834965</v>
      </c>
    </row>
    <row r="95" spans="1:52" x14ac:dyDescent="0.35">
      <c r="A95" s="48" t="s">
        <v>126</v>
      </c>
      <c r="B95" s="48" t="s">
        <v>127</v>
      </c>
      <c r="C95" s="48" t="s">
        <v>128</v>
      </c>
      <c r="D95" s="48" t="s">
        <v>129</v>
      </c>
      <c r="E95" s="51" t="s">
        <v>133</v>
      </c>
      <c r="X95" s="46">
        <v>54</v>
      </c>
      <c r="Y95" s="46">
        <v>-0.57154148883510536</v>
      </c>
      <c r="Z95" s="46">
        <v>-0.25172663343666102</v>
      </c>
      <c r="AA95" s="46">
        <v>-0.51866186419521099</v>
      </c>
      <c r="AK95" s="46">
        <v>39</v>
      </c>
      <c r="AL95" s="46">
        <v>0.69917646042726012</v>
      </c>
      <c r="AM95" s="46">
        <v>6.8408258650266895E-2</v>
      </c>
      <c r="AN95" s="46">
        <v>0.1598048036007389</v>
      </c>
      <c r="AW95" s="46">
        <v>63</v>
      </c>
      <c r="AX95" s="46">
        <v>-2.2769737475170082E-5</v>
      </c>
      <c r="AY95" s="46">
        <v>5.6013533387530359E-2</v>
      </c>
      <c r="AZ95" s="46">
        <v>0.1283892688508802</v>
      </c>
    </row>
    <row r="96" spans="1:52" x14ac:dyDescent="0.35">
      <c r="A96" s="46">
        <v>1</v>
      </c>
      <c r="B96" s="46">
        <v>1.0157381717786178</v>
      </c>
      <c r="C96" s="46">
        <v>-3.6933359669293564E-2</v>
      </c>
      <c r="D96" s="46">
        <v>-7.3287408541345023E-2</v>
      </c>
      <c r="E96">
        <f>D97</f>
        <v>-0.96308642878854545</v>
      </c>
      <c r="X96" s="46">
        <v>55</v>
      </c>
      <c r="Y96" s="46">
        <v>0.30481113735830656</v>
      </c>
      <c r="Z96" s="46">
        <v>-0.76310493187283224</v>
      </c>
      <c r="AA96" s="46">
        <v>-1.5723144632660073</v>
      </c>
      <c r="AK96" s="46">
        <v>40</v>
      </c>
      <c r="AL96" s="46">
        <v>0.67833401216904143</v>
      </c>
      <c r="AM96" s="46">
        <v>0.23399197300975094</v>
      </c>
      <c r="AN96" s="46">
        <v>0.54661589154231094</v>
      </c>
      <c r="AW96" s="46">
        <v>64</v>
      </c>
      <c r="AX96" s="46">
        <v>-0.26682772129839599</v>
      </c>
      <c r="AY96" s="46">
        <v>-0.16267124097178731</v>
      </c>
      <c r="AZ96" s="46">
        <v>-0.37286063614195347</v>
      </c>
    </row>
    <row r="97" spans="1:52" x14ac:dyDescent="0.35">
      <c r="A97" s="46">
        <v>2</v>
      </c>
      <c r="B97" s="46">
        <v>1.0129425725960561</v>
      </c>
      <c r="C97" s="46">
        <v>-0.48534964156900218</v>
      </c>
      <c r="D97" s="46">
        <v>-0.96308642878854545</v>
      </c>
      <c r="E97">
        <f t="shared" ref="E97:E160" si="18">D98</f>
        <v>-0.26710593562891427</v>
      </c>
      <c r="X97" s="46">
        <v>56</v>
      </c>
      <c r="Y97" s="46">
        <v>-9.9590592048583781E-2</v>
      </c>
      <c r="Z97" s="46">
        <v>-0.82722081183697782</v>
      </c>
      <c r="AA97" s="46">
        <v>-1.7044199197793626</v>
      </c>
      <c r="AK97" s="46">
        <v>41</v>
      </c>
      <c r="AL97" s="46">
        <v>0.46343108572717467</v>
      </c>
      <c r="AM97" s="46">
        <v>3.0634770750817719E-2</v>
      </c>
      <c r="AN97" s="46">
        <v>7.1564217826629126E-2</v>
      </c>
      <c r="AW97" s="46">
        <v>65</v>
      </c>
      <c r="AX97" s="46">
        <v>-0.20690144542351024</v>
      </c>
      <c r="AY97" s="46">
        <v>-0.60518459361627053</v>
      </c>
      <c r="AZ97" s="46">
        <v>-1.3871506187022171</v>
      </c>
    </row>
    <row r="98" spans="1:52" ht="15" thickBot="1" x14ac:dyDescent="0.4">
      <c r="A98" s="46">
        <v>3</v>
      </c>
      <c r="B98" s="46">
        <v>1.036805560093613</v>
      </c>
      <c r="C98" s="46">
        <v>-0.13460865633992869</v>
      </c>
      <c r="D98" s="46">
        <v>-0.26710593562891427</v>
      </c>
      <c r="E98">
        <f t="shared" si="18"/>
        <v>1.5339191486269754</v>
      </c>
      <c r="X98" s="46">
        <v>57</v>
      </c>
      <c r="Y98" s="46">
        <v>0.47823741691452493</v>
      </c>
      <c r="Z98" s="46">
        <v>-0.21422049146183192</v>
      </c>
      <c r="AA98" s="46">
        <v>-0.44138356729886835</v>
      </c>
      <c r="AK98" s="46">
        <v>42</v>
      </c>
      <c r="AL98" s="46">
        <v>0.52033176720496577</v>
      </c>
      <c r="AM98" s="46">
        <v>-0.29206976309940269</v>
      </c>
      <c r="AN98" s="46">
        <v>-0.68228825072763755</v>
      </c>
      <c r="AW98" s="47">
        <v>66</v>
      </c>
      <c r="AX98" s="47">
        <v>-0.53906152733118207</v>
      </c>
      <c r="AY98" s="47">
        <v>-0.62249676039558843</v>
      </c>
      <c r="AZ98" s="47">
        <v>-1.4268320367560179</v>
      </c>
    </row>
    <row r="99" spans="1:52" x14ac:dyDescent="0.35">
      <c r="A99" s="46">
        <v>4</v>
      </c>
      <c r="B99" s="46">
        <v>1.0684684237635107</v>
      </c>
      <c r="C99" s="46">
        <v>0.77302211590543601</v>
      </c>
      <c r="D99" s="46">
        <v>1.5339191486269754</v>
      </c>
      <c r="E99">
        <f t="shared" si="18"/>
        <v>1.2890155736728106</v>
      </c>
      <c r="X99" s="46">
        <v>58</v>
      </c>
      <c r="Y99" s="46">
        <v>0.52583150691971725</v>
      </c>
      <c r="Z99" s="46">
        <v>-1.9103182479361935E-3</v>
      </c>
      <c r="AA99" s="46">
        <v>-3.9360524158839989E-3</v>
      </c>
      <c r="AK99" s="46">
        <v>43</v>
      </c>
      <c r="AL99" s="46">
        <v>0.77632093280848857</v>
      </c>
      <c r="AM99" s="46">
        <v>-0.33237108327803999</v>
      </c>
      <c r="AN99" s="46">
        <v>-0.77643396767862005</v>
      </c>
    </row>
    <row r="100" spans="1:52" x14ac:dyDescent="0.35">
      <c r="A100" s="46">
        <v>5</v>
      </c>
      <c r="B100" s="46">
        <v>1.053563709889632</v>
      </c>
      <c r="C100" s="46">
        <v>0.64960239076977144</v>
      </c>
      <c r="D100" s="46">
        <v>1.2890155736728106</v>
      </c>
      <c r="E100">
        <f t="shared" si="18"/>
        <v>2.7704163807911142</v>
      </c>
      <c r="X100" s="46">
        <v>59</v>
      </c>
      <c r="Y100" s="46">
        <v>0.84687019362982685</v>
      </c>
      <c r="Z100" s="46">
        <v>0.36826669583515748</v>
      </c>
      <c r="AA100" s="46">
        <v>0.75878300351136296</v>
      </c>
      <c r="AK100" s="46">
        <v>44</v>
      </c>
      <c r="AL100" s="46">
        <v>0.2148732426707006</v>
      </c>
      <c r="AM100" s="46">
        <v>0.56103524175161801</v>
      </c>
      <c r="AN100" s="46">
        <v>1.3106038421409312</v>
      </c>
    </row>
    <row r="101" spans="1:52" x14ac:dyDescent="0.35">
      <c r="A101" s="46">
        <v>6</v>
      </c>
      <c r="B101" s="46">
        <v>1.1014750284769599</v>
      </c>
      <c r="C101" s="46">
        <v>1.3961577665518983</v>
      </c>
      <c r="D101" s="46">
        <v>2.7704163807911142</v>
      </c>
      <c r="E101">
        <f t="shared" si="18"/>
        <v>0.16378751633216732</v>
      </c>
      <c r="X101" s="46">
        <v>60</v>
      </c>
      <c r="Y101" s="46">
        <v>0.76199136722860583</v>
      </c>
      <c r="Z101" s="46">
        <v>0.14831113266089524</v>
      </c>
      <c r="AA101" s="46">
        <v>0.30558279629222657</v>
      </c>
      <c r="AK101" s="46">
        <v>45</v>
      </c>
      <c r="AL101" s="46">
        <v>6.4005430140270936E-2</v>
      </c>
      <c r="AM101" s="46">
        <v>0.51018207788331371</v>
      </c>
      <c r="AN101" s="46">
        <v>1.191808538404328</v>
      </c>
    </row>
    <row r="102" spans="1:52" x14ac:dyDescent="0.35">
      <c r="A102" s="46">
        <v>7</v>
      </c>
      <c r="B102" s="46">
        <v>1.069531060358871</v>
      </c>
      <c r="C102" s="46">
        <v>8.2541099084211256E-2</v>
      </c>
      <c r="D102" s="46">
        <v>0.16378751633216732</v>
      </c>
      <c r="E102">
        <f t="shared" si="18"/>
        <v>1.5896327075013785E-2</v>
      </c>
      <c r="X102" s="46">
        <v>61</v>
      </c>
      <c r="Y102" s="46">
        <v>0.46443341005689387</v>
      </c>
      <c r="Z102" s="46">
        <v>-3.6850741464938053E-2</v>
      </c>
      <c r="AA102" s="46">
        <v>-7.5927898467643584E-2</v>
      </c>
      <c r="AK102" s="46">
        <v>46</v>
      </c>
      <c r="AL102" s="46">
        <v>0.43541446716523807</v>
      </c>
      <c r="AM102" s="46">
        <v>-0.26504222326512922</v>
      </c>
      <c r="AN102" s="46">
        <v>-0.61915068838873177</v>
      </c>
    </row>
    <row r="103" spans="1:52" x14ac:dyDescent="0.35">
      <c r="A103" s="46">
        <v>8</v>
      </c>
      <c r="B103" s="46">
        <v>1.0665995425420192</v>
      </c>
      <c r="C103" s="46">
        <v>8.0109909323782258E-3</v>
      </c>
      <c r="D103" s="46">
        <v>1.5896327075013785E-2</v>
      </c>
      <c r="E103">
        <f t="shared" si="18"/>
        <v>-0.48063570408652517</v>
      </c>
      <c r="X103" s="46">
        <v>62</v>
      </c>
      <c r="Y103" s="46">
        <v>0.27337633915716875</v>
      </c>
      <c r="Z103" s="46">
        <v>0.33380090270962293</v>
      </c>
      <c r="AA103" s="46">
        <v>0.68776909342403725</v>
      </c>
      <c r="AK103" s="46">
        <v>47</v>
      </c>
      <c r="AL103" s="46">
        <v>0.41549422590996743</v>
      </c>
      <c r="AM103" s="46">
        <v>0.64696096667918601</v>
      </c>
      <c r="AN103" s="46">
        <v>1.5113302437074698</v>
      </c>
    </row>
    <row r="104" spans="1:52" x14ac:dyDescent="0.35">
      <c r="A104" s="46">
        <v>9</v>
      </c>
      <c r="B104" s="46">
        <v>1.0277391693744766</v>
      </c>
      <c r="C104" s="46">
        <v>-0.24221747885814926</v>
      </c>
      <c r="D104" s="46">
        <v>-0.48063570408652517</v>
      </c>
      <c r="E104">
        <f t="shared" si="18"/>
        <v>-0.34455685159892879</v>
      </c>
      <c r="X104" s="46">
        <v>63</v>
      </c>
      <c r="Y104" s="46">
        <v>0.40827412991212919</v>
      </c>
      <c r="Z104" s="46">
        <v>-0.35228336626207402</v>
      </c>
      <c r="AA104" s="46">
        <v>-0.72585067768137557</v>
      </c>
      <c r="AK104" s="46">
        <v>48</v>
      </c>
      <c r="AL104" s="46">
        <v>-0.5129239306506822</v>
      </c>
      <c r="AM104" s="46">
        <v>0.23082055394024786</v>
      </c>
      <c r="AN104" s="46">
        <v>0.53920731235118424</v>
      </c>
    </row>
    <row r="105" spans="1:52" x14ac:dyDescent="0.35">
      <c r="A105" s="46">
        <v>10</v>
      </c>
      <c r="B105" s="46">
        <v>1.0323838797953602</v>
      </c>
      <c r="C105" s="46">
        <v>-0.17364022524337841</v>
      </c>
      <c r="D105" s="46">
        <v>-0.34455685159892879</v>
      </c>
      <c r="E105">
        <f t="shared" si="18"/>
        <v>-0.56444199204696233</v>
      </c>
      <c r="X105" s="46">
        <v>64</v>
      </c>
      <c r="Y105" s="46">
        <v>0.4097032431793789</v>
      </c>
      <c r="Z105" s="46">
        <v>-0.83920220544956226</v>
      </c>
      <c r="AA105" s="46">
        <v>-1.729106588257465</v>
      </c>
      <c r="AK105" s="46">
        <v>49</v>
      </c>
      <c r="AL105" s="46">
        <v>-0.41681345622475918</v>
      </c>
      <c r="AM105" s="46">
        <v>0.1370454044021468</v>
      </c>
      <c r="AN105" s="46">
        <v>0.32014429788125387</v>
      </c>
    </row>
    <row r="106" spans="1:52" x14ac:dyDescent="0.35">
      <c r="A106" s="46">
        <v>11</v>
      </c>
      <c r="B106" s="46">
        <v>1.0576289126788598</v>
      </c>
      <c r="C106" s="46">
        <v>-0.28445185223000935</v>
      </c>
      <c r="D106" s="46">
        <v>-0.56444199204696233</v>
      </c>
      <c r="E106">
        <f t="shared" si="18"/>
        <v>6.3456976864680867E-2</v>
      </c>
      <c r="X106" s="46">
        <v>65</v>
      </c>
      <c r="Y106" s="46">
        <v>0.54553859297022433</v>
      </c>
      <c r="Z106" s="46">
        <v>-1.3576246320100052</v>
      </c>
      <c r="AA106" s="46">
        <v>-2.797273029485865</v>
      </c>
      <c r="AK106" s="46">
        <v>50</v>
      </c>
      <c r="AL106" s="46">
        <v>0.70449741383834019</v>
      </c>
      <c r="AM106" s="46">
        <v>0.75185668301151032</v>
      </c>
      <c r="AN106" s="46">
        <v>1.7563714080023383</v>
      </c>
    </row>
    <row r="107" spans="1:52" ht="15" thickBot="1" x14ac:dyDescent="0.4">
      <c r="A107" s="46">
        <v>12</v>
      </c>
      <c r="B107" s="46">
        <v>1.041295817520985</v>
      </c>
      <c r="C107" s="46">
        <v>3.1979290804737825E-2</v>
      </c>
      <c r="D107" s="46">
        <v>6.3456976864680867E-2</v>
      </c>
      <c r="E107">
        <f t="shared" si="18"/>
        <v>-0.33288506320729494</v>
      </c>
      <c r="X107" s="47">
        <v>66</v>
      </c>
      <c r="Y107" s="47">
        <v>-0.1026050784223973</v>
      </c>
      <c r="Z107" s="47">
        <v>-1.0589532093043732</v>
      </c>
      <c r="AA107" s="47">
        <v>-2.1818853179534776</v>
      </c>
      <c r="AK107" s="46">
        <v>51</v>
      </c>
      <c r="AL107" s="46">
        <v>-0.56334944696360589</v>
      </c>
      <c r="AM107" s="46">
        <v>0.15058971521504994</v>
      </c>
      <c r="AN107" s="46">
        <v>0.35178442397230009</v>
      </c>
    </row>
    <row r="108" spans="1:52" x14ac:dyDescent="0.35">
      <c r="A108" s="46">
        <v>13</v>
      </c>
      <c r="B108" s="46">
        <v>1.0030606700711779</v>
      </c>
      <c r="C108" s="46">
        <v>-0.16775820038765021</v>
      </c>
      <c r="D108" s="46">
        <v>-0.33288506320729494</v>
      </c>
      <c r="E108">
        <f t="shared" si="18"/>
        <v>0.82874757916591035</v>
      </c>
      <c r="AK108" s="46">
        <v>52</v>
      </c>
      <c r="AL108" s="46">
        <v>-0.38240631560173233</v>
      </c>
      <c r="AM108" s="46">
        <v>0.43046417393521991</v>
      </c>
      <c r="AN108" s="46">
        <v>1.0055838889944282</v>
      </c>
    </row>
    <row r="109" spans="1:52" x14ac:dyDescent="0.35">
      <c r="A109" s="46">
        <v>14</v>
      </c>
      <c r="B109" s="46">
        <v>0.96939238873352451</v>
      </c>
      <c r="C109" s="46">
        <v>0.41764926643740163</v>
      </c>
      <c r="D109" s="46">
        <v>0.82874757916591035</v>
      </c>
      <c r="E109">
        <f t="shared" si="18"/>
        <v>1.1682860571910776</v>
      </c>
      <c r="AK109" s="46">
        <v>53</v>
      </c>
      <c r="AL109" s="46">
        <v>5.6092429190324325E-2</v>
      </c>
      <c r="AM109" s="46">
        <v>-5.1280289498934151E-2</v>
      </c>
      <c r="AN109" s="46">
        <v>-0.11979308863659012</v>
      </c>
    </row>
    <row r="110" spans="1:52" x14ac:dyDescent="0.35">
      <c r="A110" s="46">
        <v>15</v>
      </c>
      <c r="B110" s="46">
        <v>1.0418506126736791</v>
      </c>
      <c r="C110" s="46">
        <v>0.58876047066825432</v>
      </c>
      <c r="D110" s="46">
        <v>1.1682860571910776</v>
      </c>
      <c r="E110">
        <f t="shared" si="18"/>
        <v>-0.54053605278152705</v>
      </c>
      <c r="AK110" s="46">
        <v>54</v>
      </c>
      <c r="AL110" s="46">
        <v>-0.68768095436048138</v>
      </c>
      <c r="AM110" s="46">
        <v>-0.135587167911285</v>
      </c>
      <c r="AN110" s="46">
        <v>-0.31673779111403783</v>
      </c>
    </row>
    <row r="111" spans="1:52" x14ac:dyDescent="0.35">
      <c r="A111" s="46">
        <v>16</v>
      </c>
      <c r="B111" s="46">
        <v>0.89891919466598214</v>
      </c>
      <c r="C111" s="46">
        <v>-0.2724043986401542</v>
      </c>
      <c r="D111" s="46">
        <v>-0.54053605278152705</v>
      </c>
      <c r="E111">
        <f t="shared" si="18"/>
        <v>-0.10654973415999774</v>
      </c>
      <c r="AK111" s="46">
        <v>55</v>
      </c>
      <c r="AL111" s="46">
        <v>0.25033132513377482</v>
      </c>
      <c r="AM111" s="46">
        <v>-0.70862511964830055</v>
      </c>
      <c r="AN111" s="46">
        <v>-1.6553805096967624</v>
      </c>
    </row>
    <row r="112" spans="1:52" x14ac:dyDescent="0.35">
      <c r="A112" s="46">
        <v>17</v>
      </c>
      <c r="B112" s="46">
        <v>0.98969863269649405</v>
      </c>
      <c r="C112" s="46">
        <v>-5.3695985882469155E-2</v>
      </c>
      <c r="D112" s="46">
        <v>-0.10654973415999774</v>
      </c>
      <c r="E112">
        <f t="shared" si="18"/>
        <v>-0.14403869402033831</v>
      </c>
      <c r="AK112" s="46">
        <v>56</v>
      </c>
      <c r="AL112" s="46">
        <v>-9.2734969614004431E-2</v>
      </c>
      <c r="AM112" s="46">
        <v>-0.8340764342715572</v>
      </c>
      <c r="AN112" s="46">
        <v>-1.9484404865237828</v>
      </c>
    </row>
    <row r="113" spans="1:40" x14ac:dyDescent="0.35">
      <c r="A113" s="46">
        <v>18</v>
      </c>
      <c r="B113" s="46">
        <v>0.70769526808297045</v>
      </c>
      <c r="C113" s="46">
        <v>-7.2588634233768823E-2</v>
      </c>
      <c r="D113" s="46">
        <v>-0.14403869402033831</v>
      </c>
      <c r="E113">
        <f t="shared" si="18"/>
        <v>1.1276880407262204</v>
      </c>
      <c r="AK113" s="46">
        <v>57</v>
      </c>
      <c r="AL113" s="46">
        <v>0.4351781319632585</v>
      </c>
      <c r="AM113" s="46">
        <v>-0.17116120651056549</v>
      </c>
      <c r="AN113" s="46">
        <v>-0.39984036328601552</v>
      </c>
    </row>
    <row r="114" spans="1:40" x14ac:dyDescent="0.35">
      <c r="A114" s="46">
        <v>19</v>
      </c>
      <c r="B114" s="46">
        <v>0.93079211440705556</v>
      </c>
      <c r="C114" s="46">
        <v>0.56830100602351152</v>
      </c>
      <c r="D114" s="46">
        <v>1.1276880407262204</v>
      </c>
      <c r="E114">
        <f t="shared" si="18"/>
        <v>0.10624956622477391</v>
      </c>
      <c r="AK114" s="46">
        <v>58</v>
      </c>
      <c r="AL114" s="46">
        <v>0.28545717810445426</v>
      </c>
      <c r="AM114" s="46">
        <v>0.2384640105673268</v>
      </c>
      <c r="AN114" s="46">
        <v>0.55706277467724297</v>
      </c>
    </row>
    <row r="115" spans="1:40" x14ac:dyDescent="0.35">
      <c r="A115" s="46">
        <v>20</v>
      </c>
      <c r="B115" s="46">
        <v>0.94621887939900373</v>
      </c>
      <c r="C115" s="46">
        <v>5.3544715554680766E-2</v>
      </c>
      <c r="D115" s="46">
        <v>0.10624956622477391</v>
      </c>
      <c r="E115">
        <f t="shared" si="18"/>
        <v>-0.49701659387407832</v>
      </c>
      <c r="AK115" s="46">
        <v>59</v>
      </c>
      <c r="AL115" s="46">
        <v>0.5765709645747007</v>
      </c>
      <c r="AM115" s="46">
        <v>0.63856592489028363</v>
      </c>
      <c r="AN115" s="46">
        <v>1.4917190442592536</v>
      </c>
    </row>
    <row r="116" spans="1:40" x14ac:dyDescent="0.35">
      <c r="A116" s="46">
        <v>21</v>
      </c>
      <c r="B116" s="46">
        <v>0.94258923405147887</v>
      </c>
      <c r="C116" s="46">
        <v>-0.25047266629441189</v>
      </c>
      <c r="D116" s="46">
        <v>-0.49701659387407832</v>
      </c>
      <c r="E116">
        <f t="shared" si="18"/>
        <v>-0.18548788101273209</v>
      </c>
      <c r="AK116" s="46">
        <v>60</v>
      </c>
      <c r="AL116" s="46">
        <v>0.71705404587001031</v>
      </c>
      <c r="AM116" s="46">
        <v>0.19324845401949076</v>
      </c>
      <c r="AN116" s="46">
        <v>0.45143717805497235</v>
      </c>
    </row>
    <row r="117" spans="1:40" x14ac:dyDescent="0.35">
      <c r="A117" s="46">
        <v>22</v>
      </c>
      <c r="B117" s="46">
        <v>0.86031830252753916</v>
      </c>
      <c r="C117" s="46">
        <v>-9.3477048241834781E-2</v>
      </c>
      <c r="D117" s="46">
        <v>-0.18548788101273209</v>
      </c>
      <c r="E117">
        <f t="shared" si="18"/>
        <v>0.31060129246680285</v>
      </c>
      <c r="AK117" s="46">
        <v>61</v>
      </c>
      <c r="AL117" s="46">
        <v>0.51767139774216264</v>
      </c>
      <c r="AM117" s="46">
        <v>-9.0088729150206825E-2</v>
      </c>
      <c r="AN117" s="46">
        <v>-0.21045136877538095</v>
      </c>
    </row>
    <row r="118" spans="1:40" x14ac:dyDescent="0.35">
      <c r="A118" s="46">
        <v>23</v>
      </c>
      <c r="B118" s="46">
        <v>0.95682671099338701</v>
      </c>
      <c r="C118" s="46">
        <v>0.15652824239176377</v>
      </c>
      <c r="D118" s="46">
        <v>0.31060129246680285</v>
      </c>
      <c r="E118">
        <f t="shared" si="18"/>
        <v>0.32324804923965161</v>
      </c>
      <c r="AK118" s="46">
        <v>62</v>
      </c>
      <c r="AL118" s="46">
        <v>-6.5061503669614607E-2</v>
      </c>
      <c r="AM118" s="46">
        <v>0.67223874553640628</v>
      </c>
      <c r="AN118" s="46">
        <v>1.5703802848200896</v>
      </c>
    </row>
    <row r="119" spans="1:40" x14ac:dyDescent="0.35">
      <c r="A119" s="46">
        <v>24</v>
      </c>
      <c r="B119" s="46">
        <v>0.90540313133360306</v>
      </c>
      <c r="C119" s="46">
        <v>0.1629016048265699</v>
      </c>
      <c r="D119" s="46">
        <v>0.32324804923965161</v>
      </c>
      <c r="E119">
        <f t="shared" si="18"/>
        <v>-0.15753286555730467</v>
      </c>
      <c r="AK119" s="46">
        <v>63</v>
      </c>
      <c r="AL119" s="46">
        <v>-0.1699218220052276</v>
      </c>
      <c r="AM119" s="46">
        <v>0.22591258565528277</v>
      </c>
      <c r="AN119" s="46">
        <v>0.52774207520975558</v>
      </c>
    </row>
    <row r="120" spans="1:40" x14ac:dyDescent="0.35">
      <c r="A120" s="46">
        <v>25</v>
      </c>
      <c r="B120" s="46">
        <v>1.0035703649497665</v>
      </c>
      <c r="C120" s="46">
        <v>-7.938905330620416E-2</v>
      </c>
      <c r="D120" s="46">
        <v>-0.15753286555730467</v>
      </c>
      <c r="E120">
        <f t="shared" si="18"/>
        <v>-0.13708063626792955</v>
      </c>
      <c r="AK120" s="46">
        <v>64</v>
      </c>
      <c r="AL120" s="46">
        <v>-0.36720809439622432</v>
      </c>
      <c r="AM120" s="46">
        <v>-6.2290867873958988E-2</v>
      </c>
      <c r="AN120" s="46">
        <v>-0.14551430051170811</v>
      </c>
    </row>
    <row r="121" spans="1:40" x14ac:dyDescent="0.35">
      <c r="A121" s="46">
        <v>26</v>
      </c>
      <c r="B121" s="46">
        <v>0.91145645305531353</v>
      </c>
      <c r="C121" s="46">
        <v>-6.9082104876485695E-2</v>
      </c>
      <c r="D121" s="46">
        <v>-0.13708063626792955</v>
      </c>
      <c r="E121">
        <f t="shared" si="18"/>
        <v>-1.5781955605154265</v>
      </c>
      <c r="AK121" s="46">
        <v>65</v>
      </c>
      <c r="AL121" s="46">
        <v>-0.18466412723409914</v>
      </c>
      <c r="AM121" s="46">
        <v>-0.62742191180568163</v>
      </c>
      <c r="AN121" s="46">
        <v>-1.4656861228335898</v>
      </c>
    </row>
    <row r="122" spans="1:40" ht="15" thickBot="1" x14ac:dyDescent="0.4">
      <c r="A122" s="46">
        <v>27</v>
      </c>
      <c r="B122" s="46">
        <v>0.75155188668462936</v>
      </c>
      <c r="C122" s="46">
        <v>-0.79533531646320188</v>
      </c>
      <c r="D122" s="46">
        <v>-1.5781955605154265</v>
      </c>
      <c r="E122">
        <f t="shared" si="18"/>
        <v>-0.5586524847777804</v>
      </c>
      <c r="AK122" s="47">
        <v>66</v>
      </c>
      <c r="AL122" s="47">
        <v>-0.52338699348803064</v>
      </c>
      <c r="AM122" s="47">
        <v>-0.63817129423873986</v>
      </c>
      <c r="AN122" s="47">
        <v>-1.4907971691083717</v>
      </c>
    </row>
    <row r="123" spans="1:40" x14ac:dyDescent="0.35">
      <c r="A123" s="46">
        <v>28</v>
      </c>
      <c r="B123" s="46">
        <v>0.90004361245874731</v>
      </c>
      <c r="C123" s="46">
        <v>-0.28153421660150901</v>
      </c>
      <c r="D123" s="46">
        <v>-0.5586524847777804</v>
      </c>
      <c r="E123">
        <f t="shared" si="18"/>
        <v>-0.51065364445082717</v>
      </c>
    </row>
    <row r="124" spans="1:40" x14ac:dyDescent="0.35">
      <c r="A124" s="46">
        <v>29</v>
      </c>
      <c r="B124" s="46">
        <v>0.9638981868483264</v>
      </c>
      <c r="C124" s="46">
        <v>-0.25734508959063573</v>
      </c>
      <c r="D124" s="46">
        <v>-0.51065364445082717</v>
      </c>
      <c r="E124">
        <f t="shared" si="18"/>
        <v>-8.5790972458363562E-2</v>
      </c>
    </row>
    <row r="125" spans="1:40" x14ac:dyDescent="0.35">
      <c r="A125" s="46">
        <v>30</v>
      </c>
      <c r="B125" s="46">
        <v>0.92783217723939748</v>
      </c>
      <c r="C125" s="46">
        <v>-4.3234559731985422E-2</v>
      </c>
      <c r="D125" s="46">
        <v>-8.5790972458363562E-2</v>
      </c>
      <c r="E125">
        <f t="shared" si="18"/>
        <v>0.97151646339968412</v>
      </c>
    </row>
    <row r="126" spans="1:40" x14ac:dyDescent="0.35">
      <c r="A126" s="46">
        <v>31</v>
      </c>
      <c r="B126" s="46">
        <v>0.8518505716112541</v>
      </c>
      <c r="C126" s="46">
        <v>0.48959797708139963</v>
      </c>
      <c r="D126" s="46">
        <v>0.97151646339968412</v>
      </c>
      <c r="E126">
        <f t="shared" si="18"/>
        <v>1.1503531494168442</v>
      </c>
    </row>
    <row r="127" spans="1:40" x14ac:dyDescent="0.35">
      <c r="A127" s="46">
        <v>32</v>
      </c>
      <c r="B127" s="46">
        <v>0.9201540100259441</v>
      </c>
      <c r="C127" s="46">
        <v>0.57972314016463333</v>
      </c>
      <c r="D127" s="46">
        <v>1.1503531494168442</v>
      </c>
      <c r="E127">
        <f t="shared" si="18"/>
        <v>-0.59225951271909172</v>
      </c>
    </row>
    <row r="128" spans="1:40" x14ac:dyDescent="0.35">
      <c r="A128" s="46">
        <v>33</v>
      </c>
      <c r="B128" s="46">
        <v>0.89214797543042934</v>
      </c>
      <c r="C128" s="46">
        <v>-0.2984705563504062</v>
      </c>
      <c r="D128" s="46">
        <v>-0.59225951271909172</v>
      </c>
      <c r="E128">
        <f t="shared" si="18"/>
        <v>-0.37645015640445595</v>
      </c>
    </row>
    <row r="129" spans="1:5" x14ac:dyDescent="0.35">
      <c r="A129" s="46">
        <v>34</v>
      </c>
      <c r="B129" s="46">
        <v>0.78730034093889811</v>
      </c>
      <c r="C129" s="46">
        <v>-0.18971293023963187</v>
      </c>
      <c r="D129" s="46">
        <v>-0.37645015640445595</v>
      </c>
      <c r="E129">
        <f t="shared" si="18"/>
        <v>-0.88871428148583442</v>
      </c>
    </row>
    <row r="130" spans="1:5" x14ac:dyDescent="0.35">
      <c r="A130" s="46">
        <v>35</v>
      </c>
      <c r="B130" s="46">
        <v>0.26689878084007268</v>
      </c>
      <c r="C130" s="46">
        <v>-0.44786962528272434</v>
      </c>
      <c r="D130" s="46">
        <v>-0.88871428148583442</v>
      </c>
      <c r="E130">
        <f t="shared" si="18"/>
        <v>-0.16392690100843163</v>
      </c>
    </row>
    <row r="131" spans="1:5" x14ac:dyDescent="0.35">
      <c r="A131" s="46">
        <v>36</v>
      </c>
      <c r="B131" s="46">
        <v>0.50567137038164689</v>
      </c>
      <c r="C131" s="46">
        <v>-8.2611342315392688E-2</v>
      </c>
      <c r="D131" s="46">
        <v>-0.16392690100843163</v>
      </c>
      <c r="E131">
        <f t="shared" si="18"/>
        <v>1.0084718711177956</v>
      </c>
    </row>
    <row r="132" spans="1:5" x14ac:dyDescent="0.35">
      <c r="A132" s="46">
        <v>37</v>
      </c>
      <c r="B132" s="46">
        <v>0.89715163460823433</v>
      </c>
      <c r="C132" s="46">
        <v>0.50822174059199499</v>
      </c>
      <c r="D132" s="46">
        <v>1.0084718711177956</v>
      </c>
      <c r="E132">
        <f t="shared" si="18"/>
        <v>0.53827441418538469</v>
      </c>
    </row>
    <row r="133" spans="1:5" x14ac:dyDescent="0.35">
      <c r="A133" s="46">
        <v>38</v>
      </c>
      <c r="B133" s="46">
        <v>0.79533869253322087</v>
      </c>
      <c r="C133" s="46">
        <v>0.2712646406192909</v>
      </c>
      <c r="D133" s="46">
        <v>0.53827441418538469</v>
      </c>
      <c r="E133">
        <f t="shared" si="18"/>
        <v>0.20381999416707147</v>
      </c>
    </row>
    <row r="134" spans="1:5" x14ac:dyDescent="0.35">
      <c r="A134" s="46">
        <v>39</v>
      </c>
      <c r="B134" s="46">
        <v>0.66486915985402151</v>
      </c>
      <c r="C134" s="46">
        <v>0.1027155592235055</v>
      </c>
      <c r="D134" s="46">
        <v>0.20381999416707147</v>
      </c>
      <c r="E134">
        <f t="shared" si="18"/>
        <v>0.64099451730792989</v>
      </c>
    </row>
    <row r="135" spans="1:5" x14ac:dyDescent="0.35">
      <c r="A135" s="46">
        <v>40</v>
      </c>
      <c r="B135" s="46">
        <v>0.58929531012874903</v>
      </c>
      <c r="C135" s="46">
        <v>0.32303067505004335</v>
      </c>
      <c r="D135" s="46">
        <v>0.64099451730792989</v>
      </c>
      <c r="E135">
        <f t="shared" si="18"/>
        <v>0.11062349143612657</v>
      </c>
    </row>
    <row r="136" spans="1:5" x14ac:dyDescent="0.35">
      <c r="A136" s="46">
        <v>41</v>
      </c>
      <c r="B136" s="46">
        <v>0.43831689115909267</v>
      </c>
      <c r="C136" s="46">
        <v>5.5748965318899724E-2</v>
      </c>
      <c r="D136" s="46">
        <v>0.11062349143612657</v>
      </c>
      <c r="E136">
        <f t="shared" si="18"/>
        <v>-0.50322981854687499</v>
      </c>
    </row>
    <row r="137" spans="1:5" x14ac:dyDescent="0.35">
      <c r="A137" s="46">
        <v>42</v>
      </c>
      <c r="B137" s="46">
        <v>0.48186583939767624</v>
      </c>
      <c r="C137" s="46">
        <v>-0.25360383529211317</v>
      </c>
      <c r="D137" s="46">
        <v>-0.50322981854687499</v>
      </c>
      <c r="E137">
        <f t="shared" si="18"/>
        <v>-0.13699977989512441</v>
      </c>
    </row>
    <row r="138" spans="1:5" x14ac:dyDescent="0.35">
      <c r="A138" s="46">
        <v>43</v>
      </c>
      <c r="B138" s="46">
        <v>0.51299120665015308</v>
      </c>
      <c r="C138" s="46">
        <v>-6.9041357119704494E-2</v>
      </c>
      <c r="D138" s="46">
        <v>-0.13699977989512441</v>
      </c>
      <c r="E138">
        <f t="shared" si="18"/>
        <v>1.3560808794535562</v>
      </c>
    </row>
    <row r="139" spans="1:5" x14ac:dyDescent="0.35">
      <c r="A139" s="46">
        <v>44</v>
      </c>
      <c r="B139" s="46">
        <v>9.2508377113913465E-2</v>
      </c>
      <c r="C139" s="46">
        <v>0.68340010730840517</v>
      </c>
      <c r="D139" s="46">
        <v>1.3560808794535562</v>
      </c>
      <c r="E139">
        <f t="shared" si="18"/>
        <v>0.90978511915173554</v>
      </c>
    </row>
    <row r="140" spans="1:5" x14ac:dyDescent="0.35">
      <c r="A140" s="46">
        <v>45</v>
      </c>
      <c r="B140" s="46">
        <v>0.1156991851837077</v>
      </c>
      <c r="C140" s="46">
        <v>0.45848832283987695</v>
      </c>
      <c r="D140" s="46">
        <v>0.90978511915173554</v>
      </c>
      <c r="E140">
        <f t="shared" si="18"/>
        <v>-0.43381778876823829</v>
      </c>
    </row>
    <row r="141" spans="1:5" x14ac:dyDescent="0.35">
      <c r="A141" s="46">
        <v>46</v>
      </c>
      <c r="B141" s="46">
        <v>0.38899572564699003</v>
      </c>
      <c r="C141" s="46">
        <v>-0.21862348174688118</v>
      </c>
      <c r="D141" s="46">
        <v>-0.43381778876823829</v>
      </c>
      <c r="E141">
        <f t="shared" si="18"/>
        <v>1.1642866362133155</v>
      </c>
    </row>
    <row r="142" spans="1:5" x14ac:dyDescent="0.35">
      <c r="A142" s="46">
        <v>47</v>
      </c>
      <c r="B142" s="46">
        <v>0.47571490338406652</v>
      </c>
      <c r="C142" s="46">
        <v>0.58674495318195563</v>
      </c>
      <c r="D142" s="46">
        <v>1.1642866362133155</v>
      </c>
      <c r="E142">
        <f t="shared" si="18"/>
        <v>1.4716469838264372</v>
      </c>
    </row>
    <row r="143" spans="1:5" x14ac:dyDescent="0.35">
      <c r="A143" s="46">
        <v>48</v>
      </c>
      <c r="B143" s="46">
        <v>-1.0782230724736719</v>
      </c>
      <c r="C143" s="46">
        <v>0.74163991389093442</v>
      </c>
      <c r="D143" s="46">
        <v>1.4716469838264372</v>
      </c>
      <c r="E143">
        <f t="shared" si="18"/>
        <v>1.4955033599802814</v>
      </c>
    </row>
    <row r="144" spans="1:5" x14ac:dyDescent="0.35">
      <c r="A144" s="46">
        <v>49</v>
      </c>
      <c r="B144" s="46">
        <v>-0.72373059332129119</v>
      </c>
      <c r="C144" s="46">
        <v>0.75366239003564373</v>
      </c>
      <c r="D144" s="46">
        <v>1.4955033599802814</v>
      </c>
      <c r="E144">
        <f t="shared" si="18"/>
        <v>0.97746553706712813</v>
      </c>
    </row>
    <row r="145" spans="1:5" x14ac:dyDescent="0.35">
      <c r="A145" s="46">
        <v>50</v>
      </c>
      <c r="B145" s="46">
        <v>0.68937837867643137</v>
      </c>
      <c r="C145" s="46">
        <v>0.49259602656673351</v>
      </c>
      <c r="D145" s="46">
        <v>0.97746553706712813</v>
      </c>
      <c r="E145">
        <f t="shared" si="18"/>
        <v>0.60058218720094758</v>
      </c>
    </row>
    <row r="146" spans="1:5" x14ac:dyDescent="0.35">
      <c r="A146" s="46">
        <v>51</v>
      </c>
      <c r="B146" s="46">
        <v>-0.82544530329243115</v>
      </c>
      <c r="C146" s="46">
        <v>0.30266478747641778</v>
      </c>
      <c r="D146" s="46">
        <v>0.60058218720094758</v>
      </c>
      <c r="E146">
        <f t="shared" si="18"/>
        <v>1.003401191701867</v>
      </c>
    </row>
    <row r="147" spans="1:5" x14ac:dyDescent="0.35">
      <c r="A147" s="46">
        <v>52</v>
      </c>
      <c r="B147" s="46">
        <v>-0.30052568422740156</v>
      </c>
      <c r="C147" s="46">
        <v>0.50566635992888265</v>
      </c>
      <c r="D147" s="46">
        <v>1.003401191701867</v>
      </c>
      <c r="E147">
        <f t="shared" si="18"/>
        <v>-0.63746514411406296</v>
      </c>
    </row>
    <row r="148" spans="1:5" x14ac:dyDescent="0.35">
      <c r="A148" s="46">
        <v>53</v>
      </c>
      <c r="B148" s="46">
        <v>0.19851749811665276</v>
      </c>
      <c r="C148" s="46">
        <v>-0.32125203923564266</v>
      </c>
      <c r="D148" s="46">
        <v>-0.63746514411406296</v>
      </c>
      <c r="E148">
        <f t="shared" si="18"/>
        <v>-0.39690694897318141</v>
      </c>
    </row>
    <row r="149" spans="1:5" x14ac:dyDescent="0.35">
      <c r="A149" s="46">
        <v>54</v>
      </c>
      <c r="B149" s="46">
        <v>-0.55653708128080304</v>
      </c>
      <c r="C149" s="46">
        <v>-0.20002217834457248</v>
      </c>
      <c r="D149" s="46">
        <v>-0.39690694897318141</v>
      </c>
      <c r="E149">
        <f t="shared" si="18"/>
        <v>-1.5392463993304419</v>
      </c>
    </row>
    <row r="150" spans="1:5" x14ac:dyDescent="0.35">
      <c r="A150" s="46">
        <v>55</v>
      </c>
      <c r="B150" s="46">
        <v>0.29928757357947522</v>
      </c>
      <c r="C150" s="46">
        <v>-0.7757067962645271</v>
      </c>
      <c r="D150" s="46">
        <v>-1.5392463993304419</v>
      </c>
      <c r="E150">
        <f t="shared" si="18"/>
        <v>-2.0011065413611497</v>
      </c>
    </row>
    <row r="151" spans="1:5" x14ac:dyDescent="0.35">
      <c r="A151" s="46">
        <v>56</v>
      </c>
      <c r="B151" s="46">
        <v>-9.5641317086241351E-2</v>
      </c>
      <c r="C151" s="46">
        <v>-1.0084622870376503</v>
      </c>
      <c r="D151" s="46">
        <v>-2.0011065413611497</v>
      </c>
      <c r="E151">
        <f t="shared" si="18"/>
        <v>0.25305764511295786</v>
      </c>
    </row>
    <row r="152" spans="1:5" x14ac:dyDescent="0.35">
      <c r="A152" s="46">
        <v>57</v>
      </c>
      <c r="B152" s="46">
        <v>0.46865145908478967</v>
      </c>
      <c r="C152" s="46">
        <v>0.12752898772165799</v>
      </c>
      <c r="D152" s="46">
        <v>0.25305764511295786</v>
      </c>
      <c r="E152">
        <f t="shared" si="18"/>
        <v>-0.40309040069672586</v>
      </c>
    </row>
    <row r="153" spans="1:5" x14ac:dyDescent="0.35">
      <c r="A153" s="46">
        <v>58</v>
      </c>
      <c r="B153" s="46">
        <v>0.51513068951627716</v>
      </c>
      <c r="C153" s="46">
        <v>-0.20313834319538093</v>
      </c>
      <c r="D153" s="46">
        <v>-0.40309040069672586</v>
      </c>
      <c r="E153">
        <f t="shared" si="18"/>
        <v>0.77406423795589663</v>
      </c>
    </row>
    <row r="154" spans="1:5" x14ac:dyDescent="0.35">
      <c r="A154" s="46">
        <v>59</v>
      </c>
      <c r="B154" s="46">
        <v>0.82864926073790124</v>
      </c>
      <c r="C154" s="46">
        <v>0.39009146968860864</v>
      </c>
      <c r="D154" s="46">
        <v>0.77406423795589663</v>
      </c>
      <c r="E154">
        <f t="shared" si="18"/>
        <v>0.43408715741608672</v>
      </c>
    </row>
    <row r="155" spans="1:5" x14ac:dyDescent="0.35">
      <c r="A155" s="46">
        <v>60</v>
      </c>
      <c r="B155" s="46">
        <v>0.74575866380399258</v>
      </c>
      <c r="C155" s="46">
        <v>0.21875923070229697</v>
      </c>
      <c r="D155" s="46">
        <v>0.43408715741608672</v>
      </c>
      <c r="E155">
        <f t="shared" si="18"/>
        <v>-0.79915622143377052</v>
      </c>
    </row>
    <row r="156" spans="1:5" x14ac:dyDescent="0.35">
      <c r="A156" s="46">
        <v>61</v>
      </c>
      <c r="B156" s="46">
        <v>0.45517080181108893</v>
      </c>
      <c r="C156" s="46">
        <v>-0.40273663301269419</v>
      </c>
      <c r="D156" s="46">
        <v>-0.79915622143377052</v>
      </c>
      <c r="E156">
        <f t="shared" si="18"/>
        <v>1.0245296534507711</v>
      </c>
    </row>
    <row r="157" spans="1:5" x14ac:dyDescent="0.35">
      <c r="A157" s="46">
        <v>62</v>
      </c>
      <c r="B157" s="46">
        <v>0.2685891144010647</v>
      </c>
      <c r="C157" s="46">
        <v>0.5163140972764374</v>
      </c>
      <c r="D157" s="46">
        <v>1.0245296534507711</v>
      </c>
      <c r="E157">
        <f t="shared" si="18"/>
        <v>-1.5322929813187316</v>
      </c>
    </row>
    <row r="158" spans="1:5" x14ac:dyDescent="0.35">
      <c r="A158" s="46">
        <v>63</v>
      </c>
      <c r="B158" s="46">
        <v>0.40032701506298207</v>
      </c>
      <c r="C158" s="46">
        <v>-0.77220260511533989</v>
      </c>
      <c r="D158" s="46">
        <v>-1.5322929813187316</v>
      </c>
      <c r="E158">
        <f t="shared" si="18"/>
        <v>-1.26462242631344</v>
      </c>
    </row>
    <row r="159" spans="1:5" x14ac:dyDescent="0.35">
      <c r="A159" s="46">
        <v>64</v>
      </c>
      <c r="B159" s="46">
        <v>0.40172265231235371</v>
      </c>
      <c r="C159" s="46">
        <v>-0.63730940752993614</v>
      </c>
      <c r="D159" s="46">
        <v>-1.26462242631344</v>
      </c>
      <c r="E159">
        <f t="shared" si="18"/>
        <v>-2.8281956339706373</v>
      </c>
    </row>
    <row r="160" spans="1:5" x14ac:dyDescent="0.35">
      <c r="A160" s="46">
        <v>65</v>
      </c>
      <c r="B160" s="46">
        <v>0.53437615031980845</v>
      </c>
      <c r="C160" s="46">
        <v>-1.4252757553248077</v>
      </c>
      <c r="D160" s="46">
        <v>-2.8281956339706373</v>
      </c>
      <c r="E160">
        <f t="shared" si="18"/>
        <v>-1.806251113357811</v>
      </c>
    </row>
    <row r="161" spans="1:5" x14ac:dyDescent="0.35">
      <c r="A161" s="46">
        <v>66</v>
      </c>
      <c r="B161" s="46">
        <v>-9.8585191142574358E-2</v>
      </c>
      <c r="C161" s="46">
        <v>-0.91026444174337362</v>
      </c>
      <c r="D161" s="46">
        <v>-1.806251113357811</v>
      </c>
      <c r="E161">
        <f t="shared" ref="E161" si="19">D162</f>
        <v>-1.9585904444661995</v>
      </c>
    </row>
    <row r="162" spans="1:5" ht="15" thickBot="1" x14ac:dyDescent="0.4">
      <c r="A162" s="47">
        <v>67</v>
      </c>
      <c r="B162" s="47">
        <v>0.71428176153828304</v>
      </c>
      <c r="C162" s="47">
        <v>-0.98703620130738634</v>
      </c>
      <c r="D162" s="47">
        <v>-1.9585904444661995</v>
      </c>
      <c r="E162" t="s">
        <v>12</v>
      </c>
    </row>
  </sheetData>
  <conditionalFormatting sqref="S2:T67">
    <cfRule type="colorScale" priority="7">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F8696B"/>
        <color rgb="FFFFEB84"/>
        <color rgb="FF63BE7B"/>
      </colorScale>
    </cfRule>
  </conditionalFormatting>
  <conditionalFormatting sqref="AX25:AX26">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CF7-9ACB-44A1-BDB4-6BB21E267633}">
  <dimension ref="A1:HL163"/>
  <sheetViews>
    <sheetView topLeftCell="GG1" zoomScale="85" zoomScaleNormal="85" workbookViewId="0">
      <selection activeCell="FT10" sqref="FT10"/>
    </sheetView>
  </sheetViews>
  <sheetFormatPr defaultRowHeight="14.5" x14ac:dyDescent="0.35"/>
  <cols>
    <col min="1" max="1" width="14.26953125" customWidth="1"/>
    <col min="2" max="2" width="9.26953125" bestFit="1" customWidth="1"/>
    <col min="3" max="3" width="11.26953125" customWidth="1"/>
    <col min="4" max="4" width="11.453125" customWidth="1"/>
    <col min="5" max="5" width="11.7265625" customWidth="1"/>
    <col min="6" max="8" width="9.26953125" bestFit="1" customWidth="1"/>
    <col min="9" max="9" width="10.1796875" customWidth="1"/>
    <col min="10" max="11" width="9.26953125" bestFit="1" customWidth="1"/>
    <col min="12" max="22" width="9.54296875" customWidth="1"/>
    <col min="23" max="41" width="10" customWidth="1"/>
    <col min="42" max="42" width="10.6328125" customWidth="1"/>
    <col min="43" max="45" width="9.54296875" customWidth="1"/>
    <col min="46" max="46" width="9.26953125" bestFit="1" customWidth="1"/>
    <col min="47" max="47" width="10.7265625" bestFit="1" customWidth="1"/>
    <col min="48" max="53" width="9.26953125" bestFit="1" customWidth="1"/>
    <col min="54" max="54" width="10.7265625" bestFit="1" customWidth="1"/>
    <col min="55" max="58" width="9.26953125" bestFit="1" customWidth="1"/>
    <col min="61" max="61" width="9.7265625" bestFit="1" customWidth="1"/>
    <col min="70" max="75" width="9.26953125" bestFit="1" customWidth="1"/>
    <col min="76" max="77" width="9.81640625" customWidth="1"/>
    <col min="78" max="78" width="9.26953125" bestFit="1" customWidth="1"/>
    <col min="79" max="81" width="13.453125" customWidth="1"/>
    <col min="82" max="82" width="14.453125" customWidth="1"/>
    <col min="83" max="83" width="9.26953125" bestFit="1" customWidth="1"/>
    <col min="84" max="84" width="10" customWidth="1"/>
    <col min="85" max="85" width="9.26953125" bestFit="1" customWidth="1"/>
    <col min="86" max="97" width="11.54296875" customWidth="1"/>
    <col min="98" max="104" width="10.81640625" customWidth="1"/>
    <col min="105" max="105" width="17.453125" customWidth="1"/>
    <col min="106" max="106" width="10.7265625" customWidth="1"/>
    <col min="107" max="113" width="9.26953125" bestFit="1" customWidth="1"/>
    <col min="118" max="118" width="16.7265625" customWidth="1"/>
    <col min="119" max="126" width="9.26953125" bestFit="1" customWidth="1"/>
    <col min="130" max="130" width="19.7265625" customWidth="1"/>
    <col min="131" max="131" width="10.7265625" customWidth="1"/>
    <col min="132" max="138" width="9.26953125" bestFit="1" customWidth="1"/>
    <col min="140" max="140" width="18.1796875" customWidth="1"/>
    <col min="141" max="148" width="9.26953125" bestFit="1" customWidth="1"/>
    <col min="151" max="151" width="16" customWidth="1"/>
    <col min="152" max="159" width="9.26953125" bestFit="1" customWidth="1"/>
    <col min="162" max="162" width="18.7265625" customWidth="1"/>
    <col min="163" max="170" width="9.26953125" bestFit="1" customWidth="1"/>
    <col min="172" max="172" width="24.81640625" customWidth="1"/>
    <col min="173" max="180" width="9.26953125" bestFit="1" customWidth="1"/>
    <col min="182" max="182" width="14.26953125" customWidth="1"/>
    <col min="183" max="190" width="9.26953125" bestFit="1" customWidth="1"/>
    <col min="192" max="192" width="25.1796875" customWidth="1"/>
    <col min="193" max="200" width="9.26953125" bestFit="1" customWidth="1"/>
  </cols>
  <sheetData>
    <row r="1" spans="1:220" ht="15.5" x14ac:dyDescent="0.35">
      <c r="K1" t="s">
        <v>162</v>
      </c>
      <c r="L1">
        <v>1</v>
      </c>
      <c r="M1">
        <v>1</v>
      </c>
      <c r="N1">
        <v>1</v>
      </c>
      <c r="O1">
        <v>1</v>
      </c>
      <c r="P1">
        <v>2</v>
      </c>
      <c r="Q1">
        <v>2</v>
      </c>
      <c r="R1">
        <v>2</v>
      </c>
      <c r="S1">
        <v>2</v>
      </c>
      <c r="T1" t="s">
        <v>167</v>
      </c>
      <c r="U1" t="s">
        <v>167</v>
      </c>
      <c r="V1" t="s">
        <v>167</v>
      </c>
      <c r="W1" t="s">
        <v>167</v>
      </c>
      <c r="X1" t="s">
        <v>168</v>
      </c>
      <c r="Y1" t="s">
        <v>168</v>
      </c>
      <c r="Z1" t="s">
        <v>168</v>
      </c>
      <c r="AA1" t="s">
        <v>168</v>
      </c>
      <c r="AB1" t="s">
        <v>193</v>
      </c>
      <c r="AC1" t="s">
        <v>193</v>
      </c>
      <c r="AD1" t="s">
        <v>193</v>
      </c>
      <c r="AE1" t="s">
        <v>193</v>
      </c>
      <c r="AF1" t="s">
        <v>190</v>
      </c>
      <c r="AG1" t="s">
        <v>190</v>
      </c>
      <c r="AH1" t="s">
        <v>190</v>
      </c>
      <c r="AI1" t="s">
        <v>190</v>
      </c>
      <c r="AJ1" t="s">
        <v>190</v>
      </c>
      <c r="AP1" t="s">
        <v>170</v>
      </c>
      <c r="AQ1" t="s">
        <v>170</v>
      </c>
      <c r="AR1" t="s">
        <v>170</v>
      </c>
      <c r="AS1" t="s">
        <v>170</v>
      </c>
      <c r="AT1" t="s">
        <v>170</v>
      </c>
      <c r="AU1">
        <v>5</v>
      </c>
      <c r="AV1">
        <v>5</v>
      </c>
      <c r="AW1">
        <v>5</v>
      </c>
      <c r="AX1">
        <v>5</v>
      </c>
      <c r="AY1">
        <v>5</v>
      </c>
      <c r="AZ1">
        <v>5</v>
      </c>
      <c r="BA1" t="s">
        <v>12</v>
      </c>
      <c r="BB1">
        <v>6</v>
      </c>
      <c r="BC1">
        <v>6</v>
      </c>
      <c r="BD1">
        <v>6</v>
      </c>
      <c r="BE1">
        <v>6</v>
      </c>
      <c r="BF1">
        <v>6</v>
      </c>
      <c r="BG1">
        <v>6</v>
      </c>
      <c r="BH1" t="s">
        <v>12</v>
      </c>
      <c r="BI1">
        <v>7</v>
      </c>
      <c r="BJ1">
        <v>7</v>
      </c>
      <c r="BK1">
        <v>7</v>
      </c>
      <c r="BL1">
        <v>7</v>
      </c>
      <c r="BM1">
        <v>7</v>
      </c>
      <c r="BN1">
        <v>7</v>
      </c>
      <c r="BZ1" t="s">
        <v>172</v>
      </c>
      <c r="CA1" s="66">
        <v>1</v>
      </c>
      <c r="CB1" s="66">
        <v>1</v>
      </c>
      <c r="CC1" s="66">
        <v>1</v>
      </c>
      <c r="CD1" s="66">
        <v>2</v>
      </c>
      <c r="CE1" s="66">
        <v>2</v>
      </c>
      <c r="CF1" s="66">
        <v>2</v>
      </c>
      <c r="CG1" s="66" t="s">
        <v>168</v>
      </c>
      <c r="CH1" s="66" t="s">
        <v>168</v>
      </c>
      <c r="CI1" s="66" t="s">
        <v>168</v>
      </c>
      <c r="CJ1" s="66" t="s">
        <v>170</v>
      </c>
      <c r="CK1" s="66" t="s">
        <v>170</v>
      </c>
      <c r="CL1" s="66" t="s">
        <v>170</v>
      </c>
      <c r="CM1" s="68" t="s">
        <v>190</v>
      </c>
      <c r="CN1" s="68" t="s">
        <v>190</v>
      </c>
      <c r="CO1" s="68" t="s">
        <v>190</v>
      </c>
      <c r="CP1" s="68" t="s">
        <v>190</v>
      </c>
      <c r="CQ1" s="66" t="s">
        <v>193</v>
      </c>
      <c r="CR1" s="66" t="s">
        <v>193</v>
      </c>
      <c r="CS1" s="66" t="s">
        <v>193</v>
      </c>
      <c r="CU1" s="66" t="s">
        <v>190</v>
      </c>
      <c r="CW1" t="s">
        <v>190</v>
      </c>
      <c r="CX1" s="67">
        <v>2</v>
      </c>
      <c r="CY1">
        <v>2</v>
      </c>
      <c r="CZ1">
        <v>2</v>
      </c>
    </row>
    <row r="2" spans="1:220" ht="87" x14ac:dyDescent="0.35">
      <c r="A2" t="s">
        <v>51</v>
      </c>
      <c r="B2" s="9" t="s">
        <v>72</v>
      </c>
      <c r="C2" s="9" t="s">
        <v>83</v>
      </c>
      <c r="D2" s="9" t="s">
        <v>88</v>
      </c>
      <c r="E2" s="9" t="s">
        <v>62</v>
      </c>
      <c r="F2" s="9" t="s">
        <v>84</v>
      </c>
      <c r="G2" s="9" t="s">
        <v>85</v>
      </c>
      <c r="H2" s="9" t="s">
        <v>86</v>
      </c>
      <c r="I2" s="9" t="s">
        <v>87</v>
      </c>
      <c r="J2" s="9" t="s">
        <v>23</v>
      </c>
      <c r="K2" s="9" t="s">
        <v>1</v>
      </c>
      <c r="L2" s="9" t="str">
        <f>covariates!R9</f>
        <v>spawners</v>
      </c>
      <c r="M2" s="9" t="str">
        <f>BR2</f>
        <v>SSLs, control stopped 1970</v>
      </c>
      <c r="N2" s="9" t="str">
        <f>BT2</f>
        <v>PDO juvenile</v>
      </c>
      <c r="O2" s="9" t="str">
        <f>BU2</f>
        <v>NPGO</v>
      </c>
      <c r="P2" s="9" t="str">
        <f>L2</f>
        <v>spawners</v>
      </c>
      <c r="Q2" s="9" t="str">
        <f>BV2</f>
        <v>aquaculture.production</v>
      </c>
      <c r="R2" s="9" t="str">
        <f>BT2</f>
        <v>PDO juvenile</v>
      </c>
      <c r="S2" s="9" t="str">
        <f>BU2</f>
        <v>NPGO</v>
      </c>
      <c r="T2" s="9" t="str">
        <f>L2</f>
        <v>spawners</v>
      </c>
      <c r="U2" s="9" t="str">
        <f>BS2</f>
        <v>adult.sst</v>
      </c>
      <c r="V2" s="9" t="str">
        <f>BU2</f>
        <v>NPGO</v>
      </c>
      <c r="W2" s="9" t="str">
        <f>BR2</f>
        <v>SSLs, control stopped 1970</v>
      </c>
      <c r="X2" s="9" t="str">
        <f>T2</f>
        <v>spawners</v>
      </c>
      <c r="Y2" s="9" t="str">
        <f>AQ2</f>
        <v>smolt.sst</v>
      </c>
      <c r="Z2" s="9" t="str">
        <f>V2</f>
        <v>NPGO</v>
      </c>
      <c r="AA2" s="9" t="str">
        <f>W2</f>
        <v>SSLs, control stopped 1970</v>
      </c>
      <c r="AB2" s="9" t="s">
        <v>30</v>
      </c>
      <c r="AC2" s="33" t="s">
        <v>194</v>
      </c>
      <c r="AD2" s="9" t="str">
        <f>Z2</f>
        <v>NPGO</v>
      </c>
      <c r="AE2" s="9" t="str">
        <f>AA2</f>
        <v>SSLs, control stopped 1970</v>
      </c>
      <c r="AF2" s="9" t="str">
        <f>AP2</f>
        <v>spawners</v>
      </c>
      <c r="AG2" s="9" t="str">
        <f>covariates!P9</f>
        <v>PDO adult</v>
      </c>
      <c r="AH2" s="9" t="str">
        <f>AR2</f>
        <v>NPGO</v>
      </c>
      <c r="AI2" s="33" t="str">
        <f t="shared" ref="AI2:AJ3" si="0">AS2</f>
        <v>PDO juvenile</v>
      </c>
      <c r="AJ2" s="9" t="str">
        <f t="shared" si="0"/>
        <v>SSLs, control stopped 1970</v>
      </c>
      <c r="AK2" s="9"/>
      <c r="AL2" s="9"/>
      <c r="AM2" s="9"/>
      <c r="AN2" s="9"/>
      <c r="AO2" s="9"/>
      <c r="AP2" s="9" t="str">
        <f>T2</f>
        <v>spawners</v>
      </c>
      <c r="AQ2" s="9" t="str">
        <f>covariates!T9</f>
        <v>smolt.sst</v>
      </c>
      <c r="AR2" s="9" t="str">
        <f>V2</f>
        <v>NPGO</v>
      </c>
      <c r="AS2" s="9" t="str">
        <f>R2</f>
        <v>PDO juvenile</v>
      </c>
      <c r="AT2" s="9" t="str">
        <f>W2</f>
        <v>SSLs, control stopped 1970</v>
      </c>
      <c r="AU2" s="9" t="str">
        <f>AP2</f>
        <v>spawners</v>
      </c>
      <c r="AV2" s="9" t="str">
        <f>AG2</f>
        <v>PDO adult</v>
      </c>
      <c r="AW2" s="9" t="str">
        <f>AH2</f>
        <v>NPGO</v>
      </c>
      <c r="AX2" s="9" t="str">
        <f>AI2</f>
        <v>PDO juvenile</v>
      </c>
      <c r="AY2" s="9" t="str">
        <f>AJ2</f>
        <v>SSLs, control stopped 1970</v>
      </c>
      <c r="AZ2" s="9" t="str">
        <f>Q2</f>
        <v>aquaculture.production</v>
      </c>
      <c r="BA2" s="9" t="s">
        <v>1</v>
      </c>
      <c r="BB2" s="9" t="str">
        <f>AF2</f>
        <v>spawners</v>
      </c>
      <c r="BC2" s="9" t="str">
        <f t="shared" ref="BC2:BE2" si="1">AG2</f>
        <v>PDO adult</v>
      </c>
      <c r="BD2" s="9" t="str">
        <f t="shared" si="1"/>
        <v>NPGO</v>
      </c>
      <c r="BE2" s="9" t="str">
        <f t="shared" si="1"/>
        <v>PDO juvenile</v>
      </c>
      <c r="BF2" s="9" t="str">
        <f>AJ2</f>
        <v>SSLs, control stopped 1970</v>
      </c>
      <c r="BG2" s="9" t="s">
        <v>343</v>
      </c>
      <c r="BH2" s="9"/>
      <c r="BI2" s="9"/>
      <c r="BJ2" s="9"/>
      <c r="BK2" s="9"/>
      <c r="BL2" s="9"/>
      <c r="BM2" s="9"/>
      <c r="BN2" s="9"/>
      <c r="BO2" s="9"/>
      <c r="BP2" s="9"/>
      <c r="BQ2" s="9"/>
      <c r="BR2" s="33" t="str">
        <f>covariates!V9</f>
        <v>SSLs, control stopped 1970</v>
      </c>
      <c r="BS2" s="33" t="str">
        <f>covariates!W9</f>
        <v>adult.sst</v>
      </c>
      <c r="BT2" s="33" t="str">
        <f>covariates!Y9</f>
        <v>PDO juvenile</v>
      </c>
      <c r="BU2" s="33" t="str">
        <f>covariates!U9</f>
        <v>NPGO</v>
      </c>
      <c r="BV2" s="33" t="str">
        <f>covariates!AA9</f>
        <v>aquaculture.production</v>
      </c>
      <c r="BW2" s="9" t="str">
        <f t="shared" ref="BW2:BW33" si="2">H2</f>
        <v>lnRSC</v>
      </c>
      <c r="BX2" s="63" t="s">
        <v>156</v>
      </c>
      <c r="BY2" s="63" t="s">
        <v>201</v>
      </c>
      <c r="BZ2" t="s">
        <v>1</v>
      </c>
      <c r="CA2" s="9" t="s">
        <v>173</v>
      </c>
      <c r="CB2" s="9" t="s">
        <v>158</v>
      </c>
      <c r="CC2" s="9" t="s">
        <v>179</v>
      </c>
      <c r="CD2" s="9" t="s">
        <v>174</v>
      </c>
      <c r="CE2" s="9" t="s">
        <v>158</v>
      </c>
      <c r="CF2" s="9" t="s">
        <v>175</v>
      </c>
      <c r="CG2" s="9" t="s">
        <v>182</v>
      </c>
      <c r="CH2" s="9" t="s">
        <v>176</v>
      </c>
      <c r="CI2" s="9" t="s">
        <v>178</v>
      </c>
      <c r="CJ2" s="9" t="s">
        <v>183</v>
      </c>
      <c r="CK2" s="9" t="s">
        <v>177</v>
      </c>
      <c r="CL2" s="9" t="s">
        <v>184</v>
      </c>
      <c r="CM2" s="33" t="s">
        <v>192</v>
      </c>
      <c r="CN2" s="33" t="s">
        <v>177</v>
      </c>
      <c r="CO2" s="33" t="s">
        <v>184</v>
      </c>
      <c r="CP2" s="33" t="s">
        <v>206</v>
      </c>
      <c r="CQ2" s="9" t="s">
        <v>197</v>
      </c>
      <c r="CR2" s="9" t="s">
        <v>177</v>
      </c>
      <c r="CS2" s="9" t="s">
        <v>198</v>
      </c>
      <c r="CT2" s="9" t="s">
        <v>159</v>
      </c>
      <c r="CU2" s="9" t="s">
        <v>202</v>
      </c>
      <c r="CV2" s="9" t="s">
        <v>177</v>
      </c>
      <c r="CW2" s="9" t="s">
        <v>181</v>
      </c>
      <c r="CX2" s="9" t="s">
        <v>203</v>
      </c>
      <c r="CY2" s="9" t="s">
        <v>177</v>
      </c>
      <c r="CZ2" s="9" t="s">
        <v>204</v>
      </c>
      <c r="FP2" s="56" t="s">
        <v>196</v>
      </c>
      <c r="GT2" t="s">
        <v>345</v>
      </c>
      <c r="GU2" t="s">
        <v>347</v>
      </c>
      <c r="GV2" t="s">
        <v>348</v>
      </c>
      <c r="HE2" t="s">
        <v>346</v>
      </c>
      <c r="HG2" t="s">
        <v>349</v>
      </c>
    </row>
    <row r="3" spans="1:220" s="26" customFormat="1" ht="12.75" customHeight="1" x14ac:dyDescent="0.35">
      <c r="A3" s="26" t="s">
        <v>52</v>
      </c>
      <c r="B3" s="26">
        <v>1951</v>
      </c>
      <c r="C3" s="26">
        <f>'Orig data'!G5</f>
        <v>171725</v>
      </c>
      <c r="D3" s="26">
        <f>'Orig data'!Q5</f>
        <v>1187739</v>
      </c>
      <c r="E3" s="26">
        <f>'Orig data'!W5</f>
        <v>457007.21211789281</v>
      </c>
      <c r="F3" s="26">
        <f>C3/1000</f>
        <v>171.72499999999999</v>
      </c>
      <c r="G3" s="26">
        <f>E3/1000</f>
        <v>457.00721211789283</v>
      </c>
      <c r="H3" s="26">
        <f>LN(E3/C3)</f>
        <v>0.97880481210932424</v>
      </c>
      <c r="I3" s="26">
        <f>D3-C3</f>
        <v>1016014</v>
      </c>
      <c r="J3" s="26">
        <f>I3/D3</f>
        <v>0.85541857259886223</v>
      </c>
      <c r="K3" s="26">
        <f>B3</f>
        <v>1951</v>
      </c>
      <c r="L3" s="26">
        <f>covariates!R11</f>
        <v>171725</v>
      </c>
      <c r="M3" s="26">
        <f>BR3</f>
        <v>0.21616787065846596</v>
      </c>
      <c r="N3" s="26">
        <f>BT3</f>
        <v>-1.1840628881527986</v>
      </c>
      <c r="O3" s="26">
        <f>BU3</f>
        <v>-1.0984670611522276</v>
      </c>
      <c r="P3" s="26">
        <f>L3</f>
        <v>171725</v>
      </c>
      <c r="Q3" s="26">
        <f>BV3</f>
        <v>-0.76057812645171086</v>
      </c>
      <c r="R3" s="26">
        <f>BT3</f>
        <v>-1.1840628881527986</v>
      </c>
      <c r="S3" s="26">
        <f>BU3</f>
        <v>-1.0984670611522276</v>
      </c>
      <c r="T3" s="26">
        <f>L3</f>
        <v>171725</v>
      </c>
      <c r="U3" s="26">
        <f>BS3</f>
        <v>-1.1106466558980101</v>
      </c>
      <c r="V3" s="26">
        <f>BU3</f>
        <v>-1.0984670611522276</v>
      </c>
      <c r="W3" s="26">
        <f>BR3</f>
        <v>0.21616787065846596</v>
      </c>
      <c r="X3" s="26">
        <f>T3</f>
        <v>171725</v>
      </c>
      <c r="Y3" s="26">
        <f>AQ3</f>
        <v>-1.4648118701481911</v>
      </c>
      <c r="Z3" s="105">
        <f>V3</f>
        <v>-1.0984670611522276</v>
      </c>
      <c r="AA3" s="105">
        <f>W3</f>
        <v>0.21616787065846596</v>
      </c>
      <c r="AB3" s="105">
        <f>X3</f>
        <v>171725</v>
      </c>
      <c r="AC3" s="159">
        <f>AG3</f>
        <v>-2.2405166393895652</v>
      </c>
      <c r="AD3" s="105">
        <f>Z3</f>
        <v>-1.0984670611522276</v>
      </c>
      <c r="AE3" s="105">
        <f>AA3</f>
        <v>0.21616787065846596</v>
      </c>
      <c r="AF3" s="105">
        <f>AP3</f>
        <v>171725</v>
      </c>
      <c r="AG3" s="105">
        <f>covariates!X11</f>
        <v>-2.2405166393895652</v>
      </c>
      <c r="AH3" s="105">
        <f>AR3</f>
        <v>-1.0984670611522276</v>
      </c>
      <c r="AI3" s="159">
        <f t="shared" si="0"/>
        <v>-1.1840628881527986</v>
      </c>
      <c r="AJ3" s="105">
        <f t="shared" si="0"/>
        <v>0.21616787065846596</v>
      </c>
      <c r="AK3" s="105"/>
      <c r="AL3" s="105"/>
      <c r="AM3" s="105"/>
      <c r="AN3" s="105"/>
      <c r="AO3" s="105"/>
      <c r="AP3" s="105">
        <f>T3</f>
        <v>171725</v>
      </c>
      <c r="AQ3" s="105">
        <f>covariates!T11</f>
        <v>-1.4648118701481911</v>
      </c>
      <c r="AR3" s="105">
        <f>V3</f>
        <v>-1.0984670611522276</v>
      </c>
      <c r="AS3" s="105">
        <f>R3</f>
        <v>-1.1840628881527986</v>
      </c>
      <c r="AT3" s="26">
        <f>W3</f>
        <v>0.21616787065846596</v>
      </c>
      <c r="AU3" s="26">
        <f>AF3</f>
        <v>171725</v>
      </c>
      <c r="AV3" s="26">
        <f t="shared" ref="AV3" si="3">AG3</f>
        <v>-2.2405166393895652</v>
      </c>
      <c r="AW3" s="26">
        <f>AH3</f>
        <v>-1.0984670611522276</v>
      </c>
      <c r="AX3" s="26">
        <f>AI3</f>
        <v>-1.1840628881527986</v>
      </c>
      <c r="AY3" s="26">
        <f>AJ3</f>
        <v>0.21616787065846596</v>
      </c>
      <c r="AZ3" s="26">
        <f>Q3</f>
        <v>-0.76057812645171086</v>
      </c>
      <c r="BA3" s="61">
        <v>1951</v>
      </c>
      <c r="BB3" s="164">
        <f t="shared" ref="BB3:BB66" si="4">AF3</f>
        <v>171725</v>
      </c>
      <c r="BC3" s="105">
        <f t="shared" ref="BC3:BC66" si="5">AG3</f>
        <v>-2.2405166393895652</v>
      </c>
      <c r="BD3" s="105">
        <f t="shared" ref="BD3:BD66" si="6">AH3</f>
        <v>-1.0984670611522276</v>
      </c>
      <c r="BE3" s="105">
        <f t="shared" ref="BE3:BE66" si="7">AI3</f>
        <v>-1.1840628881527986</v>
      </c>
      <c r="BF3" s="105">
        <f t="shared" ref="BF3:BF66" si="8">AJ3</f>
        <v>0.21616787065846596</v>
      </c>
      <c r="BG3">
        <v>180</v>
      </c>
      <c r="BR3" s="26">
        <f>covariates!V11</f>
        <v>0.21616787065846596</v>
      </c>
      <c r="BS3" s="26">
        <f>covariates!W11</f>
        <v>-1.1106466558980101</v>
      </c>
      <c r="BT3" s="26">
        <f>covariates!Y11</f>
        <v>-1.1840628881527986</v>
      </c>
      <c r="BU3" s="26">
        <f>covariates!U11</f>
        <v>-1.0984670611522276</v>
      </c>
      <c r="BV3" s="26">
        <f>covariates!AA11</f>
        <v>-0.76057812645171086</v>
      </c>
      <c r="BW3" s="26">
        <f t="shared" si="2"/>
        <v>0.97880481210932424</v>
      </c>
      <c r="BX3" s="26">
        <f t="shared" ref="BX3:BX22" si="9">BR3</f>
        <v>0.21616787065846596</v>
      </c>
      <c r="BY3" s="26">
        <f t="shared" ref="BY3:BY36" si="10">Q3</f>
        <v>-0.76057812645171086</v>
      </c>
      <c r="BZ3" s="26">
        <f t="shared" ref="BZ3:BZ34" si="11">B3</f>
        <v>1951</v>
      </c>
      <c r="CA3" s="26">
        <f>$DO$24+$M3*$DO$26+$N3*$DO$27+$DO$28*O3</f>
        <v>1.0074590448710805</v>
      </c>
      <c r="CB3" s="26">
        <f>AVERAGE(CA3:CA12)</f>
        <v>1.1778252851223718</v>
      </c>
      <c r="CC3" s="26">
        <f>$L3*EXP(CA3+$L3*$DO$25)</f>
        <v>430578.30629531323</v>
      </c>
      <c r="CD3" s="26">
        <f t="shared" ref="CD3:CD34" si="12">$EA$23+$Q3*$EA$25+$R3*$EA$26+$S3*$EA$27</f>
        <v>1.1798551641139252</v>
      </c>
      <c r="CE3" s="26">
        <f>AVERAGE(CD3:CD12)</f>
        <v>1.2106812608030384</v>
      </c>
      <c r="CF3" s="26">
        <f t="shared" ref="CF3:CF34" si="13">$L3*EXP(CD3+$L3*$EA$24)</f>
        <v>516250.68470730091</v>
      </c>
      <c r="CG3" s="26">
        <f t="shared" ref="CG3:CG34" si="14">$EV$21+$Y3*$EV$23+$Z3*$EV$24+$AA3*$EV$25</f>
        <v>0.99279013654772408</v>
      </c>
      <c r="CH3" s="26">
        <f>AVERAGE(CG3:CG12)</f>
        <v>1.1722253828017553</v>
      </c>
      <c r="CI3" s="26">
        <f t="shared" ref="CI3:CI34" si="15">$L3*EXP(CG3+$L3*$EV$22)</f>
        <v>426063.89174645557</v>
      </c>
      <c r="CJ3" s="26">
        <f t="shared" ref="CJ3:CJ34" si="16">$FG$21+$AQ3*$FG$23+$AR3*$FG$24+$AS3*$FG$25+$AT3*$FG$26</f>
        <v>0.98303796692088685</v>
      </c>
      <c r="CK3" s="26">
        <f>AVERAGE(CJ3:CJ12)</f>
        <v>1.1740589793291436</v>
      </c>
      <c r="CL3" s="26">
        <f t="shared" ref="CL3:CL34" si="17">$L3*EXP(CJ3+$L3*$FG$22)</f>
        <v>419557.84614778648</v>
      </c>
      <c r="CM3" s="26">
        <f>$FQ$21+$AG3*$FQ$23+$AH3*$FQ$24+$AI3*$FQ$25+$AJ3*$FQ$26</f>
        <v>0.79338251571153884</v>
      </c>
      <c r="CN3" s="26">
        <f>AVERAGE(CM3:CM12)</f>
        <v>1.1484773547398874</v>
      </c>
      <c r="CO3" s="26">
        <f t="shared" ref="CO3:CO34" si="18">$L3*EXP(CM3+$L3*$FQ$22)</f>
        <v>348713.10634828266</v>
      </c>
      <c r="CP3" s="26">
        <f>LN(E3)-LN(CO3)</f>
        <v>0.27044963291831792</v>
      </c>
      <c r="CQ3" s="26">
        <f t="shared" ref="CQ3:CQ34" si="19">$GA$21+$AC3*$GA$23+$AD3*$GA$24+$AE3*$GA$25</f>
        <v>0.64822554839236957</v>
      </c>
      <c r="CR3" s="26">
        <f>AVERAGE(CQ3:CQ12)</f>
        <v>1.1209941341114498</v>
      </c>
      <c r="CS3" s="26">
        <f t="shared" ref="CS3:CS34" si="20">$L3*EXP(CQ3+$L3*$GA$22)</f>
        <v>301695.25119619654</v>
      </c>
      <c r="CT3" s="26">
        <f t="shared" ref="CT3:CT34" si="21">$L3*EXP($DB$24+$L3*$DB$25)</f>
        <v>482450.99732116441</v>
      </c>
      <c r="CU3" s="26">
        <f t="shared" ref="CU3:CU34" si="22">$FQ$21+$AG3*$FQ$23+$AH3*$FQ$24+$AI3*$FQ$25+$BX3*$FQ$26</f>
        <v>0.79338251571153884</v>
      </c>
      <c r="CV3" s="26">
        <f>AVERAGE(CU3:CU12)</f>
        <v>1.1484773547398874</v>
      </c>
      <c r="CW3" s="26">
        <f t="shared" ref="CW3:CW34" si="23">$L3*EXP(CU3+$L3*$FG$22)</f>
        <v>347076.75736748381</v>
      </c>
      <c r="CX3" s="26">
        <f t="shared" ref="CX3:CX34" si="24">$EA$23+$BY3*$EA$25+$R3*$EA$26+$S3*$EA$27</f>
        <v>1.1798551641139252</v>
      </c>
      <c r="CY3" s="26">
        <f>AVERAGE(CX3:CX12)</f>
        <v>1.2106812608030384</v>
      </c>
      <c r="CZ3" s="26">
        <f>$L3*EXP(CX3+$L3*$EA$24)</f>
        <v>516250.68470730091</v>
      </c>
    </row>
    <row r="4" spans="1:220" s="26" customFormat="1" ht="12.75" customHeight="1" x14ac:dyDescent="0.35">
      <c r="A4" s="26" t="s">
        <v>52</v>
      </c>
      <c r="B4" s="26">
        <v>1952</v>
      </c>
      <c r="C4" s="26">
        <f>'Orig data'!G6</f>
        <v>176250</v>
      </c>
      <c r="D4" s="26">
        <f>'Orig data'!Q6</f>
        <v>927000</v>
      </c>
      <c r="E4" s="26">
        <f>'Orig data'!W6</f>
        <v>298716.92108672787</v>
      </c>
      <c r="F4" s="26">
        <f t="shared" ref="F4:F67" si="25">C4/1000</f>
        <v>176.25</v>
      </c>
      <c r="G4" s="26">
        <f t="shared" ref="G4:G67" si="26">E4/1000</f>
        <v>298.71692108672789</v>
      </c>
      <c r="H4" s="26">
        <f t="shared" ref="H4:H67" si="27">LN(E4/C4)</f>
        <v>0.52759293102705396</v>
      </c>
      <c r="I4" s="26">
        <f t="shared" ref="I4:I67" si="28">D4-C4</f>
        <v>750750</v>
      </c>
      <c r="J4" s="26">
        <f t="shared" ref="J4:J67" si="29">I4/D4</f>
        <v>0.80987055016181231</v>
      </c>
      <c r="K4" s="26">
        <f t="shared" ref="K4:K67" si="30">B4</f>
        <v>1952</v>
      </c>
      <c r="L4" s="26">
        <f>covariates!R12</f>
        <v>176250</v>
      </c>
      <c r="M4" s="26">
        <f t="shared" ref="M4:M67" si="31">BR4</f>
        <v>0.16409794103909278</v>
      </c>
      <c r="N4" s="26">
        <f t="shared" ref="N4:N67" si="32">BT4</f>
        <v>-0.4109978162228024</v>
      </c>
      <c r="O4" s="26">
        <f t="shared" ref="O4:O67" si="33">BU4</f>
        <v>0.85361448514897043</v>
      </c>
      <c r="P4" s="26">
        <f t="shared" ref="P4:P67" si="34">L4</f>
        <v>176250</v>
      </c>
      <c r="Q4" s="26">
        <f t="shared" ref="Q4:Q67" si="35">BV4</f>
        <v>-0.76057812645171086</v>
      </c>
      <c r="R4" s="26">
        <f t="shared" ref="R4:R67" si="36">BT4</f>
        <v>-0.4109978162228024</v>
      </c>
      <c r="S4" s="26">
        <f t="shared" ref="S4:S67" si="37">BU4</f>
        <v>0.85361448514897043</v>
      </c>
      <c r="T4" s="26">
        <f t="shared" ref="T4:T67" si="38">L4</f>
        <v>176250</v>
      </c>
      <c r="U4" s="26">
        <f t="shared" ref="U4:U67" si="39">BS4</f>
        <v>-0.40960074392191576</v>
      </c>
      <c r="V4" s="26">
        <f t="shared" ref="V4:V67" si="40">BU4</f>
        <v>0.85361448514897043</v>
      </c>
      <c r="W4" s="26">
        <f t="shared" ref="W4:W67" si="41">BR4</f>
        <v>0.16409794103909278</v>
      </c>
      <c r="X4" s="26">
        <f t="shared" ref="X4:X67" si="42">T4</f>
        <v>176250</v>
      </c>
      <c r="Y4" s="26">
        <f t="shared" ref="Y4:Y67" si="43">AQ4</f>
        <v>-0.66139704940209409</v>
      </c>
      <c r="Z4" s="105">
        <f t="shared" ref="Z4:Z67" si="44">V4</f>
        <v>0.85361448514897043</v>
      </c>
      <c r="AA4" s="105">
        <f t="shared" ref="AA4:AA67" si="45">W4</f>
        <v>0.16409794103909278</v>
      </c>
      <c r="AB4" s="105">
        <f t="shared" ref="AB4:AB67" si="46">X4</f>
        <v>176250</v>
      </c>
      <c r="AC4" s="159">
        <f t="shared" ref="AC4:AC67" si="47">AG4</f>
        <v>-1.2495899854078174</v>
      </c>
      <c r="AD4" s="105">
        <f t="shared" ref="AD4:AD67" si="48">Z4</f>
        <v>0.85361448514897043</v>
      </c>
      <c r="AE4" s="105">
        <f t="shared" ref="AE4:AE67" si="49">AA4</f>
        <v>0.16409794103909278</v>
      </c>
      <c r="AF4" s="105">
        <f t="shared" ref="AF4:AF67" si="50">AP4</f>
        <v>176250</v>
      </c>
      <c r="AG4" s="105">
        <f>covariates!X12</f>
        <v>-1.2495899854078174</v>
      </c>
      <c r="AH4" s="105">
        <f t="shared" ref="AH4:AH67" si="51">AR4</f>
        <v>0.85361448514897043</v>
      </c>
      <c r="AI4" s="159">
        <f t="shared" ref="AI4:AI67" si="52">AS4</f>
        <v>-0.4109978162228024</v>
      </c>
      <c r="AJ4" s="105">
        <f t="shared" ref="AJ4:AJ67" si="53">AT4</f>
        <v>0.16409794103909278</v>
      </c>
      <c r="AK4" s="105"/>
      <c r="AL4" s="105"/>
      <c r="AM4" s="105"/>
      <c r="AN4" s="105"/>
      <c r="AO4" s="105"/>
      <c r="AP4" s="105">
        <f t="shared" ref="AP4:AP67" si="54">T4</f>
        <v>176250</v>
      </c>
      <c r="AQ4" s="105">
        <f>covariates!T12</f>
        <v>-0.66139704940209409</v>
      </c>
      <c r="AR4" s="105">
        <f t="shared" ref="AR4:AR67" si="55">V4</f>
        <v>0.85361448514897043</v>
      </c>
      <c r="AS4" s="105">
        <f t="shared" ref="AS4:AS67" si="56">R4</f>
        <v>-0.4109978162228024</v>
      </c>
      <c r="AT4" s="26">
        <f t="shared" ref="AT4:AT67" si="57">W4</f>
        <v>0.16409794103909278</v>
      </c>
      <c r="AU4" s="26">
        <f t="shared" ref="AU4:AU67" si="58">AF4</f>
        <v>176250</v>
      </c>
      <c r="AV4" s="26">
        <f t="shared" ref="AV4:AV67" si="59">AG4</f>
        <v>-1.2495899854078174</v>
      </c>
      <c r="AW4" s="26">
        <f t="shared" ref="AW4:AW67" si="60">AH4</f>
        <v>0.85361448514897043</v>
      </c>
      <c r="AX4" s="26">
        <f t="shared" ref="AX4:AX67" si="61">AI4</f>
        <v>-0.4109978162228024</v>
      </c>
      <c r="AY4" s="26">
        <f t="shared" ref="AY4:AY67" si="62">AJ4</f>
        <v>0.16409794103909278</v>
      </c>
      <c r="AZ4" s="26">
        <f t="shared" ref="AZ4:AZ67" si="63">Q4</f>
        <v>-0.76057812645171086</v>
      </c>
      <c r="BA4" s="61">
        <v>1952</v>
      </c>
      <c r="BB4" s="164">
        <f t="shared" si="4"/>
        <v>176250</v>
      </c>
      <c r="BC4" s="105">
        <f t="shared" si="5"/>
        <v>-1.2495899854078174</v>
      </c>
      <c r="BD4" s="105">
        <f t="shared" si="6"/>
        <v>0.85361448514897043</v>
      </c>
      <c r="BE4" s="105">
        <f t="shared" si="7"/>
        <v>-0.4109978162228024</v>
      </c>
      <c r="BF4" s="105">
        <f t="shared" si="8"/>
        <v>0.16409794103909278</v>
      </c>
      <c r="BG4">
        <v>180</v>
      </c>
      <c r="BR4" s="26">
        <f>covariates!V12</f>
        <v>0.16409794103909278</v>
      </c>
      <c r="BS4" s="26">
        <f>covariates!W12</f>
        <v>-0.40960074392191576</v>
      </c>
      <c r="BT4" s="26">
        <f>covariates!Y12</f>
        <v>-0.4109978162228024</v>
      </c>
      <c r="BU4" s="26">
        <f>covariates!U12</f>
        <v>0.85361448514897043</v>
      </c>
      <c r="BV4" s="26">
        <f>covariates!AA12</f>
        <v>-0.76057812645171086</v>
      </c>
      <c r="BW4" s="26">
        <f t="shared" si="2"/>
        <v>0.52759293102705396</v>
      </c>
      <c r="BX4" s="26">
        <f t="shared" si="9"/>
        <v>0.16409794103909278</v>
      </c>
      <c r="BY4" s="26">
        <f t="shared" si="10"/>
        <v>-0.76057812645171086</v>
      </c>
      <c r="BZ4" s="26">
        <f t="shared" si="11"/>
        <v>1952</v>
      </c>
      <c r="CA4" s="26">
        <f t="shared" ref="CA4:CA34" si="64">$DO$24+$M4*$DO$26+$N4*$DO$27+$DO$28*O4</f>
        <v>1.156302063454147</v>
      </c>
      <c r="CB4" s="26">
        <f>AVERAGE(CA3:CA12)</f>
        <v>1.1778252851223718</v>
      </c>
      <c r="CC4" s="26">
        <f t="shared" ref="CC4:CC35" si="65">L4*EXP(CA4+$L4*$DO$25)</f>
        <v>511658.07116614899</v>
      </c>
      <c r="CD4" s="26">
        <f t="shared" si="12"/>
        <v>1.3354808961466196</v>
      </c>
      <c r="CE4" s="26">
        <f>AVERAGE(CD3:CD12)</f>
        <v>1.2106812608030384</v>
      </c>
      <c r="CF4" s="26">
        <f t="shared" si="13"/>
        <v>617785.60174714797</v>
      </c>
      <c r="CG4" s="26">
        <f t="shared" si="14"/>
        <v>1.1336360417585134</v>
      </c>
      <c r="CH4" s="26">
        <f>AVERAGE(CG3:CG12)</f>
        <v>1.1722253828017553</v>
      </c>
      <c r="CI4" s="26">
        <f t="shared" si="15"/>
        <v>502315.48164082936</v>
      </c>
      <c r="CJ4" s="26">
        <f t="shared" si="16"/>
        <v>1.1560895099852719</v>
      </c>
      <c r="CK4" s="26">
        <f>AVERAGE(CJ3:CJ12)</f>
        <v>1.1740589793291436</v>
      </c>
      <c r="CL4" s="26">
        <f t="shared" si="17"/>
        <v>510758.87006679887</v>
      </c>
      <c r="CM4" s="26">
        <f t="shared" ref="CM4:CM34" si="66">$FQ$21+$AG4*$FQ$23+$AH4*$FQ$24+$AI4*$FQ$25+$AJ4*$FQ$26</f>
        <v>1.0155748033370082</v>
      </c>
      <c r="CN4" s="26">
        <f>AVERAGE(CM3:CM12)</f>
        <v>1.1484773547398874</v>
      </c>
      <c r="CO4" s="26">
        <f t="shared" si="18"/>
        <v>445951.59524594119</v>
      </c>
      <c r="CP4" s="26">
        <f t="shared" ref="CP4:CP67" si="67">LN(E4)-LN(CO4)</f>
        <v>-0.40071404257203724</v>
      </c>
      <c r="CQ4" s="26">
        <f t="shared" si="19"/>
        <v>0.96800832253111202</v>
      </c>
      <c r="CR4" s="26">
        <f>AVERAGE(CQ3:CQ12)</f>
        <v>1.1209941341114498</v>
      </c>
      <c r="CS4" s="26">
        <f t="shared" si="20"/>
        <v>425377.63522468682</v>
      </c>
      <c r="CT4" s="26">
        <f t="shared" si="21"/>
        <v>493773.34673134005</v>
      </c>
      <c r="CU4" s="26">
        <f t="shared" si="22"/>
        <v>1.0155748033370082</v>
      </c>
      <c r="CV4" s="26">
        <f>AVERAGE(CU3:CU12)</f>
        <v>1.1484773547398874</v>
      </c>
      <c r="CW4" s="26">
        <f t="shared" si="23"/>
        <v>443803.94235889387</v>
      </c>
      <c r="CX4" s="26">
        <f t="shared" si="24"/>
        <v>1.3354808961466196</v>
      </c>
      <c r="CY4" s="26">
        <f>AVERAGE(CX3:CX12)</f>
        <v>1.2106812608030384</v>
      </c>
      <c r="CZ4" s="26">
        <f t="shared" ref="CZ4:CZ67" si="68">$L4*EXP(CX4+$L4*$EA$24)</f>
        <v>617785.60174714797</v>
      </c>
      <c r="EJ4" s="26" t="s">
        <v>166</v>
      </c>
      <c r="EU4" s="26" t="s">
        <v>165</v>
      </c>
      <c r="FF4" s="26" t="s">
        <v>169</v>
      </c>
      <c r="FP4" s="26" t="s">
        <v>191</v>
      </c>
      <c r="FZ4" s="26" t="s">
        <v>195</v>
      </c>
      <c r="GJ4" s="26" t="s">
        <v>205</v>
      </c>
      <c r="GT4" t="s">
        <v>102</v>
      </c>
      <c r="GU4"/>
      <c r="GV4"/>
      <c r="GW4"/>
      <c r="GX4"/>
      <c r="GY4"/>
      <c r="GZ4"/>
      <c r="HA4"/>
      <c r="HB4"/>
      <c r="HD4" t="s">
        <v>102</v>
      </c>
      <c r="HE4"/>
      <c r="HF4"/>
      <c r="HG4"/>
      <c r="HH4"/>
      <c r="HI4"/>
      <c r="HJ4"/>
      <c r="HK4"/>
      <c r="HL4"/>
    </row>
    <row r="5" spans="1:220" s="26" customFormat="1" ht="12.75" customHeight="1" thickBot="1" x14ac:dyDescent="0.4">
      <c r="A5" s="26" t="s">
        <v>52</v>
      </c>
      <c r="B5" s="26">
        <v>1953</v>
      </c>
      <c r="C5" s="26">
        <f>'Orig data'!G7</f>
        <v>137625</v>
      </c>
      <c r="D5" s="26">
        <f>'Orig data'!Q7</f>
        <v>918122</v>
      </c>
      <c r="E5" s="26">
        <f>'Orig data'!W7</f>
        <v>339247.35388798552</v>
      </c>
      <c r="F5" s="26">
        <f t="shared" si="25"/>
        <v>137.625</v>
      </c>
      <c r="G5" s="26">
        <f t="shared" si="26"/>
        <v>339.24735388798553</v>
      </c>
      <c r="H5" s="26">
        <f t="shared" si="27"/>
        <v>0.90219690375368433</v>
      </c>
      <c r="I5" s="26">
        <f t="shared" si="28"/>
        <v>780497</v>
      </c>
      <c r="J5" s="26">
        <f t="shared" si="29"/>
        <v>0.85010162048180959</v>
      </c>
      <c r="K5" s="26">
        <f t="shared" si="30"/>
        <v>1953</v>
      </c>
      <c r="L5" s="26">
        <f>covariates!R13</f>
        <v>137625</v>
      </c>
      <c r="M5" s="26">
        <f t="shared" si="31"/>
        <v>-0.15610450774264295</v>
      </c>
      <c r="N5" s="26">
        <f t="shared" si="32"/>
        <v>-0.5502326544467524</v>
      </c>
      <c r="O5" s="26">
        <f t="shared" si="33"/>
        <v>0.90303427113127921</v>
      </c>
      <c r="P5" s="26">
        <f t="shared" si="34"/>
        <v>137625</v>
      </c>
      <c r="Q5" s="26">
        <f t="shared" si="35"/>
        <v>-0.76057812645171086</v>
      </c>
      <c r="R5" s="26">
        <f t="shared" si="36"/>
        <v>-0.5502326544467524</v>
      </c>
      <c r="S5" s="26">
        <f t="shared" si="37"/>
        <v>0.90303427113127921</v>
      </c>
      <c r="T5" s="26">
        <f t="shared" si="38"/>
        <v>137625</v>
      </c>
      <c r="U5" s="26">
        <f t="shared" si="39"/>
        <v>0.94352578357800954</v>
      </c>
      <c r="V5" s="26">
        <f t="shared" si="40"/>
        <v>0.90303427113127921</v>
      </c>
      <c r="W5" s="26">
        <f t="shared" si="41"/>
        <v>-0.15610450774264295</v>
      </c>
      <c r="X5" s="26">
        <f t="shared" si="42"/>
        <v>137625</v>
      </c>
      <c r="Y5" s="26">
        <f t="shared" si="43"/>
        <v>-1.1472717267104489</v>
      </c>
      <c r="Z5" s="105">
        <f t="shared" si="44"/>
        <v>0.90303427113127921</v>
      </c>
      <c r="AA5" s="105">
        <f t="shared" si="45"/>
        <v>-0.15610450774264295</v>
      </c>
      <c r="AB5" s="105">
        <f t="shared" si="46"/>
        <v>137625</v>
      </c>
      <c r="AC5" s="159">
        <f t="shared" si="47"/>
        <v>1.0113248502778918</v>
      </c>
      <c r="AD5" s="105">
        <f t="shared" si="48"/>
        <v>0.90303427113127921</v>
      </c>
      <c r="AE5" s="105">
        <f t="shared" si="49"/>
        <v>-0.15610450774264295</v>
      </c>
      <c r="AF5" s="105">
        <f t="shared" si="50"/>
        <v>137625</v>
      </c>
      <c r="AG5" s="105">
        <f>covariates!X13</f>
        <v>1.0113248502778918</v>
      </c>
      <c r="AH5" s="105">
        <f t="shared" si="51"/>
        <v>0.90303427113127921</v>
      </c>
      <c r="AI5" s="159">
        <f t="shared" si="52"/>
        <v>-0.5502326544467524</v>
      </c>
      <c r="AJ5" s="105">
        <f t="shared" si="53"/>
        <v>-0.15610450774264295</v>
      </c>
      <c r="AK5" s="105"/>
      <c r="AL5" s="105"/>
      <c r="AM5" s="105"/>
      <c r="AN5" s="105"/>
      <c r="AO5" s="105"/>
      <c r="AP5" s="105">
        <f t="shared" si="54"/>
        <v>137625</v>
      </c>
      <c r="AQ5" s="105">
        <f>covariates!T13</f>
        <v>-1.1472717267104489</v>
      </c>
      <c r="AR5" s="105">
        <f t="shared" si="55"/>
        <v>0.90303427113127921</v>
      </c>
      <c r="AS5" s="105">
        <f t="shared" si="56"/>
        <v>-0.5502326544467524</v>
      </c>
      <c r="AT5" s="26">
        <f t="shared" si="57"/>
        <v>-0.15610450774264295</v>
      </c>
      <c r="AU5" s="26">
        <f t="shared" si="58"/>
        <v>137625</v>
      </c>
      <c r="AV5" s="26">
        <f t="shared" si="59"/>
        <v>1.0113248502778918</v>
      </c>
      <c r="AW5" s="26">
        <f t="shared" si="60"/>
        <v>0.90303427113127921</v>
      </c>
      <c r="AX5" s="26">
        <f t="shared" si="61"/>
        <v>-0.5502326544467524</v>
      </c>
      <c r="AY5" s="26">
        <f t="shared" si="62"/>
        <v>-0.15610450774264295</v>
      </c>
      <c r="AZ5" s="26">
        <f t="shared" si="63"/>
        <v>-0.76057812645171086</v>
      </c>
      <c r="BA5" s="61">
        <v>1953</v>
      </c>
      <c r="BB5" s="164">
        <f t="shared" si="4"/>
        <v>137625</v>
      </c>
      <c r="BC5" s="105">
        <f t="shared" si="5"/>
        <v>1.0113248502778918</v>
      </c>
      <c r="BD5" s="105">
        <f t="shared" si="6"/>
        <v>0.90303427113127921</v>
      </c>
      <c r="BE5" s="105">
        <f t="shared" si="7"/>
        <v>-0.5502326544467524</v>
      </c>
      <c r="BF5" s="105">
        <f t="shared" si="8"/>
        <v>-0.15610450774264295</v>
      </c>
      <c r="BG5">
        <v>180</v>
      </c>
      <c r="BR5" s="26">
        <f>covariates!V13</f>
        <v>-0.15610450774264295</v>
      </c>
      <c r="BS5" s="26">
        <f>covariates!W13</f>
        <v>0.94352578357800954</v>
      </c>
      <c r="BT5" s="26">
        <f>covariates!Y13</f>
        <v>-0.5502326544467524</v>
      </c>
      <c r="BU5" s="26">
        <f>covariates!U13</f>
        <v>0.90303427113127921</v>
      </c>
      <c r="BV5" s="26">
        <f>covariates!AA13</f>
        <v>-0.76057812645171086</v>
      </c>
      <c r="BW5" s="26">
        <f t="shared" si="2"/>
        <v>0.90219690375368433</v>
      </c>
      <c r="BX5" s="26">
        <f t="shared" si="9"/>
        <v>-0.15610450774264295</v>
      </c>
      <c r="BY5" s="26">
        <f t="shared" si="10"/>
        <v>-0.76057812645171086</v>
      </c>
      <c r="BZ5" s="26">
        <f t="shared" si="11"/>
        <v>1953</v>
      </c>
      <c r="CA5" s="26">
        <f t="shared" si="64"/>
        <v>1.2541497647586459</v>
      </c>
      <c r="CB5" s="26">
        <f>AVERAGE(CA3:CA12)</f>
        <v>1.1778252851223718</v>
      </c>
      <c r="CC5" s="26">
        <f t="shared" si="65"/>
        <v>449428.65889163793</v>
      </c>
      <c r="CD5" s="26">
        <f t="shared" si="12"/>
        <v>1.3571158915598378</v>
      </c>
      <c r="CE5" s="26">
        <f>AVERAGE(CD3:CD12)</f>
        <v>1.2106812608030384</v>
      </c>
      <c r="CF5" s="26">
        <f t="shared" si="13"/>
        <v>501804.15312698967</v>
      </c>
      <c r="CG5" s="26">
        <f t="shared" si="14"/>
        <v>1.2410832065489958</v>
      </c>
      <c r="CH5" s="26">
        <f>AVERAGE(CG3:CG12)</f>
        <v>1.1722253828017553</v>
      </c>
      <c r="CI5" s="26">
        <f t="shared" si="15"/>
        <v>445064.7059505803</v>
      </c>
      <c r="CJ5" s="26">
        <f t="shared" si="16"/>
        <v>1.2463510786220224</v>
      </c>
      <c r="CK5" s="26">
        <f>AVERAGE(CJ3:CJ12)</f>
        <v>1.1740589793291436</v>
      </c>
      <c r="CL5" s="26">
        <f t="shared" si="17"/>
        <v>445399.18302179931</v>
      </c>
      <c r="CM5" s="26">
        <f t="shared" si="66"/>
        <v>1.3173499057663574</v>
      </c>
      <c r="CN5" s="26">
        <f>AVERAGE(CM3:CM12)</f>
        <v>1.1484773547398874</v>
      </c>
      <c r="CO5" s="26">
        <f t="shared" si="18"/>
        <v>479977.54574999982</v>
      </c>
      <c r="CP5" s="26">
        <f t="shared" si="67"/>
        <v>-0.34700982432370431</v>
      </c>
      <c r="CQ5" s="26">
        <f t="shared" si="19"/>
        <v>1.267083420875873</v>
      </c>
      <c r="CR5" s="26">
        <f>AVERAGE(CQ3:CQ12)</f>
        <v>1.1209941341114498</v>
      </c>
      <c r="CS5" s="26">
        <f t="shared" si="20"/>
        <v>456565.95475722459</v>
      </c>
      <c r="CT5" s="26">
        <f t="shared" si="21"/>
        <v>394929.53260257619</v>
      </c>
      <c r="CU5" s="26">
        <f t="shared" si="22"/>
        <v>1.3173499057663574</v>
      </c>
      <c r="CV5" s="26">
        <f>AVERAGE(CU3:CU12)</f>
        <v>1.1484773547398874</v>
      </c>
      <c r="CW5" s="26">
        <f t="shared" si="23"/>
        <v>478171.64008266228</v>
      </c>
      <c r="CX5" s="26">
        <f t="shared" si="24"/>
        <v>1.3571158915598378</v>
      </c>
      <c r="CY5" s="26">
        <f>AVERAGE(CX3:CX12)</f>
        <v>1.2106812608030384</v>
      </c>
      <c r="CZ5" s="26">
        <f t="shared" si="68"/>
        <v>501804.15312698967</v>
      </c>
      <c r="EJ5" s="26" t="s">
        <v>102</v>
      </c>
      <c r="EU5" s="26" t="s">
        <v>102</v>
      </c>
      <c r="FF5" s="26" t="s">
        <v>102</v>
      </c>
      <c r="FP5" s="26" t="s">
        <v>102</v>
      </c>
      <c r="FZ5" s="26" t="s">
        <v>102</v>
      </c>
      <c r="GJ5" s="26" t="s">
        <v>102</v>
      </c>
      <c r="GT5"/>
      <c r="GU5"/>
      <c r="GV5"/>
      <c r="GW5"/>
      <c r="GX5"/>
      <c r="GY5"/>
      <c r="GZ5"/>
      <c r="HA5"/>
      <c r="HB5"/>
      <c r="HD5"/>
      <c r="HE5"/>
      <c r="HF5"/>
      <c r="HG5"/>
      <c r="HH5"/>
      <c r="HI5"/>
      <c r="HJ5"/>
      <c r="HK5"/>
      <c r="HL5"/>
    </row>
    <row r="6" spans="1:220" s="26" customFormat="1" ht="12.75" customHeight="1" thickBot="1" x14ac:dyDescent="0.4">
      <c r="A6" s="26" t="s">
        <v>52</v>
      </c>
      <c r="B6" s="26">
        <v>1954</v>
      </c>
      <c r="C6" s="26">
        <f>'Orig data'!G8</f>
        <v>86375</v>
      </c>
      <c r="D6" s="26">
        <f>'Orig data'!Q8</f>
        <v>1096517</v>
      </c>
      <c r="E6" s="26">
        <f>'Orig data'!W8</f>
        <v>544674.7468592932</v>
      </c>
      <c r="F6" s="26">
        <f t="shared" si="25"/>
        <v>86.375</v>
      </c>
      <c r="G6" s="26">
        <f t="shared" si="26"/>
        <v>544.67474685929324</v>
      </c>
      <c r="H6" s="26">
        <f t="shared" si="27"/>
        <v>1.8414905396689467</v>
      </c>
      <c r="I6" s="26">
        <f t="shared" si="28"/>
        <v>1010142</v>
      </c>
      <c r="J6" s="26">
        <f t="shared" si="29"/>
        <v>0.92122785146057928</v>
      </c>
      <c r="K6" s="26">
        <f t="shared" si="30"/>
        <v>1954</v>
      </c>
      <c r="L6" s="26">
        <f>covariates!R14</f>
        <v>86375</v>
      </c>
      <c r="M6" s="26">
        <f t="shared" si="31"/>
        <v>-0.47382880251686166</v>
      </c>
      <c r="N6" s="26">
        <f t="shared" si="32"/>
        <v>2.7488017586953652E-2</v>
      </c>
      <c r="O6" s="26">
        <f t="shared" si="33"/>
        <v>3.8188016440875022E-2</v>
      </c>
      <c r="P6" s="26">
        <f t="shared" si="34"/>
        <v>86375</v>
      </c>
      <c r="Q6" s="26">
        <f t="shared" si="35"/>
        <v>-0.76057812645171086</v>
      </c>
      <c r="R6" s="26">
        <f t="shared" si="36"/>
        <v>2.7488017586953652E-2</v>
      </c>
      <c r="S6" s="26">
        <f t="shared" si="37"/>
        <v>3.8188016440875022E-2</v>
      </c>
      <c r="T6" s="26">
        <f t="shared" si="38"/>
        <v>86375</v>
      </c>
      <c r="U6" s="26">
        <f t="shared" si="39"/>
        <v>0.87421149888705485</v>
      </c>
      <c r="V6" s="26">
        <f t="shared" si="40"/>
        <v>3.8188016440875022E-2</v>
      </c>
      <c r="W6" s="26">
        <f t="shared" si="41"/>
        <v>-0.47382880251686166</v>
      </c>
      <c r="X6" s="26">
        <f t="shared" si="42"/>
        <v>86375</v>
      </c>
      <c r="Y6" s="26">
        <f t="shared" si="43"/>
        <v>-1.4571603004267986</v>
      </c>
      <c r="Z6" s="105">
        <f t="shared" si="44"/>
        <v>3.8188016440875022E-2</v>
      </c>
      <c r="AA6" s="105">
        <f t="shared" si="45"/>
        <v>-0.47382880251686166</v>
      </c>
      <c r="AB6" s="105">
        <f t="shared" si="46"/>
        <v>86375</v>
      </c>
      <c r="AC6" s="159">
        <f t="shared" si="47"/>
        <v>1.0277653862439076</v>
      </c>
      <c r="AD6" s="105">
        <f t="shared" si="48"/>
        <v>3.8188016440875022E-2</v>
      </c>
      <c r="AE6" s="105">
        <f t="shared" si="49"/>
        <v>-0.47382880251686166</v>
      </c>
      <c r="AF6" s="105">
        <f t="shared" si="50"/>
        <v>86375</v>
      </c>
      <c r="AG6" s="105">
        <f>covariates!X14</f>
        <v>1.0277653862439076</v>
      </c>
      <c r="AH6" s="105">
        <f t="shared" si="51"/>
        <v>3.8188016440875022E-2</v>
      </c>
      <c r="AI6" s="159">
        <f t="shared" si="52"/>
        <v>2.7488017586953652E-2</v>
      </c>
      <c r="AJ6" s="105">
        <f t="shared" si="53"/>
        <v>-0.47382880251686166</v>
      </c>
      <c r="AK6" s="105"/>
      <c r="AL6" s="105"/>
      <c r="AM6" s="105"/>
      <c r="AN6" s="105"/>
      <c r="AO6" s="105"/>
      <c r="AP6" s="105">
        <f t="shared" si="54"/>
        <v>86375</v>
      </c>
      <c r="AQ6" s="105">
        <f>covariates!T14</f>
        <v>-1.4571603004267986</v>
      </c>
      <c r="AR6" s="105">
        <f t="shared" si="55"/>
        <v>3.8188016440875022E-2</v>
      </c>
      <c r="AS6" s="105">
        <f t="shared" si="56"/>
        <v>2.7488017586953652E-2</v>
      </c>
      <c r="AT6" s="26">
        <f t="shared" si="57"/>
        <v>-0.47382880251686166</v>
      </c>
      <c r="AU6" s="26">
        <f t="shared" si="58"/>
        <v>86375</v>
      </c>
      <c r="AV6" s="26">
        <f t="shared" si="59"/>
        <v>1.0277653862439076</v>
      </c>
      <c r="AW6" s="26">
        <f t="shared" si="60"/>
        <v>3.8188016440875022E-2</v>
      </c>
      <c r="AX6" s="26">
        <f t="shared" si="61"/>
        <v>2.7488017586953652E-2</v>
      </c>
      <c r="AY6" s="26">
        <f t="shared" si="62"/>
        <v>-0.47382880251686166</v>
      </c>
      <c r="AZ6" s="26">
        <f t="shared" si="63"/>
        <v>-0.76057812645171086</v>
      </c>
      <c r="BA6" s="61">
        <v>1954</v>
      </c>
      <c r="BB6" s="164">
        <f t="shared" si="4"/>
        <v>86375</v>
      </c>
      <c r="BC6" s="105">
        <f t="shared" si="5"/>
        <v>1.0277653862439076</v>
      </c>
      <c r="BD6" s="105">
        <f t="shared" si="6"/>
        <v>3.8188016440875022E-2</v>
      </c>
      <c r="BE6" s="105">
        <f t="shared" si="7"/>
        <v>2.7488017586953652E-2</v>
      </c>
      <c r="BF6" s="105">
        <f t="shared" si="8"/>
        <v>-0.47382880251686166</v>
      </c>
      <c r="BG6">
        <v>180</v>
      </c>
      <c r="BR6" s="26">
        <f>covariates!V14</f>
        <v>-0.47382880251686166</v>
      </c>
      <c r="BS6" s="26">
        <f>covariates!W14</f>
        <v>0.87421149888705485</v>
      </c>
      <c r="BT6" s="26">
        <f>covariates!Y14</f>
        <v>2.7488017586953652E-2</v>
      </c>
      <c r="BU6" s="26">
        <f>covariates!U14</f>
        <v>3.8188016440875022E-2</v>
      </c>
      <c r="BV6" s="26">
        <f>covariates!AA14</f>
        <v>-0.76057812645171086</v>
      </c>
      <c r="BW6" s="26">
        <f t="shared" si="2"/>
        <v>1.8414905396689467</v>
      </c>
      <c r="BX6" s="26">
        <f t="shared" si="9"/>
        <v>-0.47382880251686166</v>
      </c>
      <c r="BY6" s="26">
        <f t="shared" si="10"/>
        <v>-0.76057812645171086</v>
      </c>
      <c r="BZ6" s="26">
        <f t="shared" si="11"/>
        <v>1954</v>
      </c>
      <c r="CA6" s="26">
        <f t="shared" si="64"/>
        <v>1.1672387203727388</v>
      </c>
      <c r="CB6" s="26">
        <f>AVERAGE(CA3:CA12)</f>
        <v>1.1778252851223718</v>
      </c>
      <c r="CC6" s="26">
        <f t="shared" si="65"/>
        <v>265485.86587810115</v>
      </c>
      <c r="CD6" s="26">
        <f t="shared" si="12"/>
        <v>1.1856317364908147</v>
      </c>
      <c r="CE6" s="26">
        <f>AVERAGE(CD3:CD12)</f>
        <v>1.2106812608030384</v>
      </c>
      <c r="CF6" s="26">
        <f t="shared" si="13"/>
        <v>271650.21206445841</v>
      </c>
      <c r="CG6" s="26">
        <f t="shared" si="14"/>
        <v>1.2448933606549</v>
      </c>
      <c r="CH6" s="26">
        <f>AVERAGE(CG3:CG12)</f>
        <v>1.1722253828017553</v>
      </c>
      <c r="CI6" s="26">
        <f t="shared" si="15"/>
        <v>287520.18793324247</v>
      </c>
      <c r="CJ6" s="26">
        <f t="shared" si="16"/>
        <v>1.1380619417031206</v>
      </c>
      <c r="CK6" s="26">
        <f>AVERAGE(CJ3:CJ12)</f>
        <v>1.1740589793291436</v>
      </c>
      <c r="CL6" s="26">
        <f t="shared" si="17"/>
        <v>257656.41434209587</v>
      </c>
      <c r="CM6" s="26">
        <f t="shared" si="66"/>
        <v>1.240168103225584</v>
      </c>
      <c r="CN6" s="26">
        <f>AVERAGE(CM3:CM12)</f>
        <v>1.1484773547398874</v>
      </c>
      <c r="CO6" s="26">
        <f t="shared" si="18"/>
        <v>286030.64617408189</v>
      </c>
      <c r="CP6" s="26">
        <f t="shared" si="67"/>
        <v>0.64408986222272446</v>
      </c>
      <c r="CQ6" s="26">
        <f t="shared" si="19"/>
        <v>1.243560641850626</v>
      </c>
      <c r="CR6" s="26">
        <f>AVERAGE(CQ3:CQ12)</f>
        <v>1.1209941341114498</v>
      </c>
      <c r="CS6" s="26">
        <f t="shared" si="20"/>
        <v>287049.56022422476</v>
      </c>
      <c r="CT6" s="26">
        <f t="shared" si="21"/>
        <v>255882.87428762313</v>
      </c>
      <c r="CU6" s="26">
        <f t="shared" si="22"/>
        <v>1.240168103225584</v>
      </c>
      <c r="CV6" s="26">
        <f>AVERAGE(CU3:CU12)</f>
        <v>1.1484773547398874</v>
      </c>
      <c r="CW6" s="26">
        <f t="shared" si="23"/>
        <v>285354.74671351886</v>
      </c>
      <c r="CX6" s="26">
        <f t="shared" si="24"/>
        <v>1.1856317364908147</v>
      </c>
      <c r="CY6" s="26">
        <f>AVERAGE(CX3:CX12)</f>
        <v>1.2106812608030384</v>
      </c>
      <c r="CZ6" s="26">
        <f t="shared" si="68"/>
        <v>271650.21206445841</v>
      </c>
      <c r="DZ6" s="26" t="s">
        <v>164</v>
      </c>
      <c r="GT6" s="49" t="s">
        <v>103</v>
      </c>
      <c r="GU6" s="49"/>
      <c r="GV6"/>
      <c r="GW6"/>
      <c r="GX6"/>
      <c r="GY6"/>
      <c r="GZ6"/>
      <c r="HA6"/>
      <c r="HB6"/>
      <c r="HD6" s="49" t="s">
        <v>103</v>
      </c>
      <c r="HE6" s="49"/>
      <c r="HF6"/>
      <c r="HG6"/>
      <c r="HH6"/>
      <c r="HI6"/>
      <c r="HJ6"/>
      <c r="HK6"/>
      <c r="HL6"/>
    </row>
    <row r="7" spans="1:220" s="26" customFormat="1" ht="12.75" customHeight="1" x14ac:dyDescent="0.35">
      <c r="A7" s="26" t="s">
        <v>52</v>
      </c>
      <c r="B7" s="26">
        <v>1955</v>
      </c>
      <c r="C7" s="26">
        <f>'Orig data'!G9</f>
        <v>110500</v>
      </c>
      <c r="D7" s="26">
        <f>'Orig data'!Q9</f>
        <v>397099</v>
      </c>
      <c r="E7" s="26">
        <f>'Orig data'!W9</f>
        <v>606789.30472412845</v>
      </c>
      <c r="F7" s="26">
        <f t="shared" si="25"/>
        <v>110.5</v>
      </c>
      <c r="G7" s="26">
        <f t="shared" si="26"/>
        <v>606.78930472412844</v>
      </c>
      <c r="H7" s="26">
        <f t="shared" si="27"/>
        <v>1.7031661006594034</v>
      </c>
      <c r="I7" s="26">
        <f t="shared" si="28"/>
        <v>286599</v>
      </c>
      <c r="J7" s="26">
        <f t="shared" si="29"/>
        <v>0.72173186031694869</v>
      </c>
      <c r="K7" s="26">
        <f t="shared" si="30"/>
        <v>1955</v>
      </c>
      <c r="L7" s="26">
        <f>covariates!R15</f>
        <v>110500</v>
      </c>
      <c r="M7" s="26">
        <f t="shared" si="31"/>
        <v>-0.6324361183778815</v>
      </c>
      <c r="N7" s="26">
        <f t="shared" si="32"/>
        <v>-2.2917071982030355</v>
      </c>
      <c r="O7" s="26">
        <f t="shared" si="33"/>
        <v>-0.15949112748836022</v>
      </c>
      <c r="P7" s="26">
        <f t="shared" si="34"/>
        <v>110500</v>
      </c>
      <c r="Q7" s="26">
        <f t="shared" si="35"/>
        <v>-0.76057812645171086</v>
      </c>
      <c r="R7" s="26">
        <f t="shared" si="36"/>
        <v>-2.2917071982030355</v>
      </c>
      <c r="S7" s="26">
        <f t="shared" si="37"/>
        <v>-0.15949112748836022</v>
      </c>
      <c r="T7" s="26">
        <f t="shared" si="38"/>
        <v>110500</v>
      </c>
      <c r="U7" s="26">
        <f t="shared" si="39"/>
        <v>-0.3588799607274441</v>
      </c>
      <c r="V7" s="26">
        <f t="shared" si="40"/>
        <v>-0.15949112748836022</v>
      </c>
      <c r="W7" s="26">
        <f t="shared" si="41"/>
        <v>-0.6324361183778815</v>
      </c>
      <c r="X7" s="26">
        <f t="shared" si="42"/>
        <v>110500</v>
      </c>
      <c r="Y7" s="26">
        <f t="shared" si="43"/>
        <v>-1.6331464040188008</v>
      </c>
      <c r="Z7" s="105">
        <f t="shared" si="44"/>
        <v>-0.15949112748836022</v>
      </c>
      <c r="AA7" s="105">
        <f t="shared" si="45"/>
        <v>-0.6324361183778815</v>
      </c>
      <c r="AB7" s="105">
        <f t="shared" si="46"/>
        <v>110500</v>
      </c>
      <c r="AC7" s="159">
        <f t="shared" si="47"/>
        <v>1.0857902136565754</v>
      </c>
      <c r="AD7" s="105">
        <f t="shared" si="48"/>
        <v>-0.15949112748836022</v>
      </c>
      <c r="AE7" s="105">
        <f t="shared" si="49"/>
        <v>-0.6324361183778815</v>
      </c>
      <c r="AF7" s="105">
        <f t="shared" si="50"/>
        <v>110500</v>
      </c>
      <c r="AG7" s="105">
        <f>covariates!X15</f>
        <v>1.0857902136565754</v>
      </c>
      <c r="AH7" s="105">
        <f t="shared" si="51"/>
        <v>-0.15949112748836022</v>
      </c>
      <c r="AI7" s="159">
        <f t="shared" si="52"/>
        <v>-2.2917071982030355</v>
      </c>
      <c r="AJ7" s="105">
        <f t="shared" si="53"/>
        <v>-0.6324361183778815</v>
      </c>
      <c r="AK7" s="105"/>
      <c r="AL7" s="105"/>
      <c r="AM7" s="105"/>
      <c r="AN7" s="105"/>
      <c r="AO7" s="105"/>
      <c r="AP7" s="105">
        <f t="shared" si="54"/>
        <v>110500</v>
      </c>
      <c r="AQ7" s="105">
        <f>covariates!T15</f>
        <v>-1.6331464040188008</v>
      </c>
      <c r="AR7" s="105">
        <f t="shared" si="55"/>
        <v>-0.15949112748836022</v>
      </c>
      <c r="AS7" s="105">
        <f t="shared" si="56"/>
        <v>-2.2917071982030355</v>
      </c>
      <c r="AT7" s="26">
        <f t="shared" si="57"/>
        <v>-0.6324361183778815</v>
      </c>
      <c r="AU7" s="26">
        <f t="shared" si="58"/>
        <v>110500</v>
      </c>
      <c r="AV7" s="26">
        <f t="shared" si="59"/>
        <v>1.0857902136565754</v>
      </c>
      <c r="AW7" s="26">
        <f t="shared" si="60"/>
        <v>-0.15949112748836022</v>
      </c>
      <c r="AX7" s="26">
        <f t="shared" si="61"/>
        <v>-2.2917071982030355</v>
      </c>
      <c r="AY7" s="26">
        <f t="shared" si="62"/>
        <v>-0.6324361183778815</v>
      </c>
      <c r="AZ7" s="26">
        <f t="shared" si="63"/>
        <v>-0.76057812645171086</v>
      </c>
      <c r="BA7" s="61">
        <v>1955</v>
      </c>
      <c r="BB7" s="164">
        <f t="shared" si="4"/>
        <v>110500</v>
      </c>
      <c r="BC7" s="105">
        <f t="shared" si="5"/>
        <v>1.0857902136565754</v>
      </c>
      <c r="BD7" s="105">
        <f t="shared" si="6"/>
        <v>-0.15949112748836022</v>
      </c>
      <c r="BE7" s="105">
        <f t="shared" si="7"/>
        <v>-2.2917071982030355</v>
      </c>
      <c r="BF7" s="105">
        <f t="shared" si="8"/>
        <v>-0.6324361183778815</v>
      </c>
      <c r="BG7">
        <v>180</v>
      </c>
      <c r="BR7" s="26">
        <f>covariates!V15</f>
        <v>-0.6324361183778815</v>
      </c>
      <c r="BS7" s="26">
        <f>covariates!W15</f>
        <v>-0.3588799607274441</v>
      </c>
      <c r="BT7" s="26">
        <f>covariates!Y15</f>
        <v>-2.2917071982030355</v>
      </c>
      <c r="BU7" s="26">
        <f>covariates!U15</f>
        <v>-0.15949112748836022</v>
      </c>
      <c r="BV7" s="26">
        <f>covariates!AA15</f>
        <v>-0.76057812645171086</v>
      </c>
      <c r="BW7" s="26">
        <f t="shared" si="2"/>
        <v>1.7031661006594034</v>
      </c>
      <c r="BX7" s="26">
        <f t="shared" si="9"/>
        <v>-0.6324361183778815</v>
      </c>
      <c r="BY7" s="26">
        <f t="shared" si="10"/>
        <v>-0.76057812645171086</v>
      </c>
      <c r="BZ7" s="26">
        <f t="shared" si="11"/>
        <v>1955</v>
      </c>
      <c r="CA7" s="26">
        <f t="shared" si="64"/>
        <v>1.4412440295309406</v>
      </c>
      <c r="CB7" s="26">
        <f>AVERAGE(CA3:CA12)</f>
        <v>1.1778252851223718</v>
      </c>
      <c r="CC7" s="26">
        <f t="shared" si="65"/>
        <v>441196.28400056262</v>
      </c>
      <c r="CD7" s="26">
        <f t="shared" si="12"/>
        <v>1.4195674600281254</v>
      </c>
      <c r="CE7" s="26">
        <f>AVERAGE(CD3:CD12)</f>
        <v>1.2106812608030384</v>
      </c>
      <c r="CF7" s="26">
        <f t="shared" si="13"/>
        <v>434261.86990900803</v>
      </c>
      <c r="CG7" s="26">
        <f t="shared" si="14"/>
        <v>1.2713827653895986</v>
      </c>
      <c r="CH7" s="26">
        <f>AVERAGE(CG3:CG12)</f>
        <v>1.1722253828017553</v>
      </c>
      <c r="CI7" s="26">
        <f t="shared" si="15"/>
        <v>373263.8358357838</v>
      </c>
      <c r="CJ7" s="26">
        <f t="shared" si="16"/>
        <v>1.4466748911401246</v>
      </c>
      <c r="CK7" s="26">
        <f>AVERAGE(CJ3:CJ12)</f>
        <v>1.1740589793291436</v>
      </c>
      <c r="CL7" s="26">
        <f t="shared" si="17"/>
        <v>443169.00520836742</v>
      </c>
      <c r="CM7" s="26">
        <f t="shared" si="66"/>
        <v>1.5065636129896651</v>
      </c>
      <c r="CN7" s="26">
        <f>AVERAGE(CM3:CM12)</f>
        <v>1.1484773547398874</v>
      </c>
      <c r="CO7" s="26">
        <f t="shared" si="18"/>
        <v>471946.92732114426</v>
      </c>
      <c r="CP7" s="26">
        <f t="shared" si="67"/>
        <v>0.2513150844699652</v>
      </c>
      <c r="CQ7" s="26">
        <f t="shared" si="19"/>
        <v>1.2619482440892908</v>
      </c>
      <c r="CR7" s="26">
        <f>AVERAGE(CQ3:CQ12)</f>
        <v>1.1209941341114498</v>
      </c>
      <c r="CS7" s="26">
        <f t="shared" si="20"/>
        <v>369614.35908234876</v>
      </c>
      <c r="CT7" s="26">
        <f t="shared" si="21"/>
        <v>322481.49903567368</v>
      </c>
      <c r="CU7" s="26">
        <f t="shared" si="22"/>
        <v>1.5065636129896651</v>
      </c>
      <c r="CV7" s="26">
        <f>AVERAGE(CU3:CU12)</f>
        <v>1.1484773547398874</v>
      </c>
      <c r="CW7" s="26">
        <f t="shared" si="23"/>
        <v>470520.68444158166</v>
      </c>
      <c r="CX7" s="26">
        <f t="shared" si="24"/>
        <v>1.4195674600281254</v>
      </c>
      <c r="CY7" s="26">
        <f>AVERAGE(CX3:CX12)</f>
        <v>1.2106812608030384</v>
      </c>
      <c r="CZ7" s="26">
        <f t="shared" si="68"/>
        <v>434261.86990900803</v>
      </c>
      <c r="DA7" s="26" t="s">
        <v>171</v>
      </c>
      <c r="DN7" s="26" t="s">
        <v>163</v>
      </c>
      <c r="DZ7" s="26" t="s">
        <v>102</v>
      </c>
      <c r="EJ7" s="160" t="s">
        <v>103</v>
      </c>
      <c r="EK7" s="160"/>
      <c r="EU7" s="160" t="s">
        <v>103</v>
      </c>
      <c r="EV7" s="160"/>
      <c r="FF7" s="160" t="s">
        <v>103</v>
      </c>
      <c r="FG7" s="160"/>
      <c r="FP7" s="160" t="s">
        <v>103</v>
      </c>
      <c r="FQ7" s="160"/>
      <c r="FZ7" s="160" t="s">
        <v>103</v>
      </c>
      <c r="GA7" s="160"/>
      <c r="GJ7" s="160" t="s">
        <v>103</v>
      </c>
      <c r="GK7" s="160"/>
      <c r="GT7" s="46" t="s">
        <v>104</v>
      </c>
      <c r="GU7" s="46">
        <v>0.81506435858530701</v>
      </c>
      <c r="GV7"/>
      <c r="GW7"/>
      <c r="GX7"/>
      <c r="GY7"/>
      <c r="GZ7"/>
      <c r="HA7"/>
      <c r="HB7"/>
      <c r="HD7" s="46" t="s">
        <v>104</v>
      </c>
      <c r="HE7" s="46">
        <v>0.87002585244366293</v>
      </c>
      <c r="HF7"/>
      <c r="HG7"/>
      <c r="HH7"/>
      <c r="HI7"/>
      <c r="HJ7"/>
      <c r="HK7"/>
      <c r="HL7"/>
    </row>
    <row r="8" spans="1:220" s="26" customFormat="1" ht="12.75" customHeight="1" thickBot="1" x14ac:dyDescent="0.4">
      <c r="A8" s="26" t="s">
        <v>52</v>
      </c>
      <c r="B8" s="26">
        <v>1956</v>
      </c>
      <c r="C8" s="26">
        <f>'Orig data'!G10</f>
        <v>32950</v>
      </c>
      <c r="D8" s="26">
        <f>'Orig data'!Q10</f>
        <v>282627</v>
      </c>
      <c r="E8" s="26">
        <f>'Orig data'!W10</f>
        <v>400464.07254387828</v>
      </c>
      <c r="F8" s="26">
        <f t="shared" si="25"/>
        <v>32.950000000000003</v>
      </c>
      <c r="G8" s="26">
        <f t="shared" si="26"/>
        <v>400.46407254387827</v>
      </c>
      <c r="H8" s="26">
        <f t="shared" si="27"/>
        <v>2.4976327950288582</v>
      </c>
      <c r="I8" s="26">
        <f t="shared" si="28"/>
        <v>249677</v>
      </c>
      <c r="J8" s="26">
        <f t="shared" si="29"/>
        <v>0.88341524341269584</v>
      </c>
      <c r="K8" s="26">
        <f t="shared" si="30"/>
        <v>1956</v>
      </c>
      <c r="L8" s="26">
        <f>covariates!R16</f>
        <v>32950</v>
      </c>
      <c r="M8" s="26">
        <f t="shared" si="31"/>
        <v>-0.61854863050825093</v>
      </c>
      <c r="N8" s="26">
        <f t="shared" si="32"/>
        <v>-1.2775788242733628</v>
      </c>
      <c r="O8" s="26">
        <f t="shared" si="33"/>
        <v>-1.3702758840549263</v>
      </c>
      <c r="P8" s="26">
        <f t="shared" si="34"/>
        <v>32950</v>
      </c>
      <c r="Q8" s="26">
        <f t="shared" si="35"/>
        <v>-0.76057812645171086</v>
      </c>
      <c r="R8" s="26">
        <f t="shared" si="36"/>
        <v>-1.2775788242733628</v>
      </c>
      <c r="S8" s="26">
        <f t="shared" si="37"/>
        <v>-1.3702758840549263</v>
      </c>
      <c r="T8" s="26">
        <f t="shared" si="38"/>
        <v>32950</v>
      </c>
      <c r="U8" s="26">
        <f t="shared" si="39"/>
        <v>-0.59361317908774636</v>
      </c>
      <c r="V8" s="26">
        <f t="shared" si="40"/>
        <v>-1.3702758840549263</v>
      </c>
      <c r="W8" s="26">
        <f t="shared" si="41"/>
        <v>-0.61854863050825093</v>
      </c>
      <c r="X8" s="26">
        <f t="shared" si="42"/>
        <v>32950</v>
      </c>
      <c r="Y8" s="26">
        <f t="shared" si="43"/>
        <v>-0.93685355937218384</v>
      </c>
      <c r="Z8" s="105">
        <f t="shared" si="44"/>
        <v>-1.3702758840549263</v>
      </c>
      <c r="AA8" s="105">
        <f t="shared" si="45"/>
        <v>-0.61854863050825093</v>
      </c>
      <c r="AB8" s="105">
        <f t="shared" si="46"/>
        <v>32950</v>
      </c>
      <c r="AC8" s="159">
        <f t="shared" si="47"/>
        <v>0.59134866969738575</v>
      </c>
      <c r="AD8" s="105">
        <f t="shared" si="48"/>
        <v>-1.3702758840549263</v>
      </c>
      <c r="AE8" s="105">
        <f t="shared" si="49"/>
        <v>-0.61854863050825093</v>
      </c>
      <c r="AF8" s="105">
        <f t="shared" si="50"/>
        <v>32950</v>
      </c>
      <c r="AG8" s="105">
        <f>covariates!X16</f>
        <v>0.59134866969738575</v>
      </c>
      <c r="AH8" s="105">
        <f t="shared" si="51"/>
        <v>-1.3702758840549263</v>
      </c>
      <c r="AI8" s="159">
        <f t="shared" si="52"/>
        <v>-1.2775788242733628</v>
      </c>
      <c r="AJ8" s="105">
        <f t="shared" si="53"/>
        <v>-0.61854863050825093</v>
      </c>
      <c r="AK8" s="105"/>
      <c r="AL8" s="105"/>
      <c r="AM8" s="105"/>
      <c r="AN8" s="105"/>
      <c r="AO8" s="105"/>
      <c r="AP8" s="105">
        <f t="shared" si="54"/>
        <v>32950</v>
      </c>
      <c r="AQ8" s="105">
        <f>covariates!T16</f>
        <v>-0.93685355937218384</v>
      </c>
      <c r="AR8" s="105">
        <f t="shared" si="55"/>
        <v>-1.3702758840549263</v>
      </c>
      <c r="AS8" s="105">
        <f t="shared" si="56"/>
        <v>-1.2775788242733628</v>
      </c>
      <c r="AT8" s="26">
        <f t="shared" si="57"/>
        <v>-0.61854863050825093</v>
      </c>
      <c r="AU8" s="26">
        <f t="shared" si="58"/>
        <v>32950</v>
      </c>
      <c r="AV8" s="26">
        <f t="shared" si="59"/>
        <v>0.59134866969738575</v>
      </c>
      <c r="AW8" s="26">
        <f t="shared" si="60"/>
        <v>-1.3702758840549263</v>
      </c>
      <c r="AX8" s="26">
        <f t="shared" si="61"/>
        <v>-1.2775788242733628</v>
      </c>
      <c r="AY8" s="26">
        <f t="shared" si="62"/>
        <v>-0.61854863050825093</v>
      </c>
      <c r="AZ8" s="26">
        <f t="shared" si="63"/>
        <v>-0.76057812645171086</v>
      </c>
      <c r="BA8" s="61">
        <v>1956</v>
      </c>
      <c r="BB8" s="164">
        <f t="shared" si="4"/>
        <v>32950</v>
      </c>
      <c r="BC8" s="105">
        <f t="shared" si="5"/>
        <v>0.59134866969738575</v>
      </c>
      <c r="BD8" s="105">
        <f t="shared" si="6"/>
        <v>-1.3702758840549263</v>
      </c>
      <c r="BE8" s="105">
        <f t="shared" si="7"/>
        <v>-1.2775788242733628</v>
      </c>
      <c r="BF8" s="105">
        <f t="shared" si="8"/>
        <v>-0.61854863050825093</v>
      </c>
      <c r="BG8">
        <v>180</v>
      </c>
      <c r="BR8" s="26">
        <f>covariates!V16</f>
        <v>-0.61854863050825093</v>
      </c>
      <c r="BS8" s="26">
        <f>covariates!W16</f>
        <v>-0.59361317908774636</v>
      </c>
      <c r="BT8" s="26">
        <f>covariates!Y16</f>
        <v>-1.2775788242733628</v>
      </c>
      <c r="BU8" s="26">
        <f>covariates!U16</f>
        <v>-1.3702758840549263</v>
      </c>
      <c r="BV8" s="26">
        <f>covariates!AA16</f>
        <v>-0.76057812645171086</v>
      </c>
      <c r="BW8" s="26">
        <f t="shared" si="2"/>
        <v>2.4976327950288582</v>
      </c>
      <c r="BX8" s="26">
        <f t="shared" si="9"/>
        <v>-0.61854863050825093</v>
      </c>
      <c r="BY8" s="26">
        <f t="shared" si="10"/>
        <v>-0.76057812645171086</v>
      </c>
      <c r="BZ8" s="26">
        <f t="shared" si="11"/>
        <v>1956</v>
      </c>
      <c r="CA8" s="26">
        <f t="shared" si="64"/>
        <v>1.1868162759417327</v>
      </c>
      <c r="CB8" s="26">
        <f>AVERAGE(CA3:CA12)</f>
        <v>1.1778252851223718</v>
      </c>
      <c r="CC8" s="26">
        <f t="shared" si="65"/>
        <v>106152.78048863566</v>
      </c>
      <c r="CD8" s="26">
        <f t="shared" si="12"/>
        <v>1.1566117529945057</v>
      </c>
      <c r="CE8" s="26">
        <f>AVERAGE(CD3:CD12)</f>
        <v>1.2106812608030384</v>
      </c>
      <c r="CF8" s="26">
        <f t="shared" si="13"/>
        <v>103173.76770565395</v>
      </c>
      <c r="CG8" s="26">
        <f t="shared" si="14"/>
        <v>1.0966063052212283</v>
      </c>
      <c r="CH8" s="26">
        <f>AVERAGE(CG3:CG12)</f>
        <v>1.1722253828017553</v>
      </c>
      <c r="CI8" s="26">
        <f t="shared" si="15"/>
        <v>97072.84472779723</v>
      </c>
      <c r="CJ8" s="26">
        <f t="shared" si="16"/>
        <v>1.1858579955335622</v>
      </c>
      <c r="CK8" s="26">
        <f>AVERAGE(CJ3:CJ12)</f>
        <v>1.1740589793291436</v>
      </c>
      <c r="CL8" s="26">
        <f t="shared" si="17"/>
        <v>106020.44977210079</v>
      </c>
      <c r="CM8" s="26">
        <f t="shared" si="66"/>
        <v>1.2257965190082776</v>
      </c>
      <c r="CN8" s="26">
        <f>AVERAGE(CM3:CM12)</f>
        <v>1.1484773547398874</v>
      </c>
      <c r="CO8" s="26">
        <f t="shared" si="18"/>
        <v>110440.07081186434</v>
      </c>
      <c r="CP8" s="26">
        <f t="shared" si="67"/>
        <v>1.2881510277361237</v>
      </c>
      <c r="CQ8" s="26">
        <f t="shared" si="19"/>
        <v>1.0795137911386754</v>
      </c>
      <c r="CR8" s="26">
        <f>AVERAGE(CQ3:CQ12)</f>
        <v>1.1209941341114498</v>
      </c>
      <c r="CS8" s="26">
        <f t="shared" si="20"/>
        <v>95416.605808189139</v>
      </c>
      <c r="CT8" s="26">
        <f t="shared" si="21"/>
        <v>100908.19292370199</v>
      </c>
      <c r="CU8" s="26">
        <f t="shared" si="22"/>
        <v>1.2257965190082776</v>
      </c>
      <c r="CV8" s="26">
        <f>AVERAGE(CU3:CU12)</f>
        <v>1.1484773547398874</v>
      </c>
      <c r="CW8" s="26">
        <f t="shared" si="23"/>
        <v>110340.44285198794</v>
      </c>
      <c r="CX8" s="26">
        <f t="shared" si="24"/>
        <v>1.1566117529945057</v>
      </c>
      <c r="CY8" s="26">
        <f t="shared" ref="CY8:CY39" si="69">AVERAGE(CX3:CX12)</f>
        <v>1.2106812608030384</v>
      </c>
      <c r="CZ8" s="26">
        <f t="shared" si="68"/>
        <v>103173.76770565395</v>
      </c>
      <c r="DA8" s="26" t="s">
        <v>102</v>
      </c>
      <c r="DN8" s="26" t="s">
        <v>102</v>
      </c>
      <c r="EJ8" s="50" t="s">
        <v>104</v>
      </c>
      <c r="EK8" s="50">
        <v>0.78149308845573651</v>
      </c>
      <c r="EU8" s="50" t="s">
        <v>104</v>
      </c>
      <c r="EV8" s="50">
        <v>0.7861709288829154</v>
      </c>
      <c r="FF8" s="50" t="s">
        <v>104</v>
      </c>
      <c r="FG8" s="50">
        <v>0.7969286623042795</v>
      </c>
      <c r="FP8" s="50" t="s">
        <v>104</v>
      </c>
      <c r="FQ8" s="50">
        <v>0.80667253701156838</v>
      </c>
      <c r="FZ8" s="50" t="s">
        <v>104</v>
      </c>
      <c r="GA8" s="50">
        <v>0.79255631672598414</v>
      </c>
      <c r="GJ8" s="50" t="s">
        <v>104</v>
      </c>
      <c r="GK8" s="50">
        <v>0.81066183298623684</v>
      </c>
      <c r="GT8" s="46" t="s">
        <v>105</v>
      </c>
      <c r="GU8" s="46">
        <v>0.66432990863607788</v>
      </c>
      <c r="GV8"/>
      <c r="GW8"/>
      <c r="GX8"/>
      <c r="GY8"/>
      <c r="GZ8"/>
      <c r="HA8"/>
      <c r="HB8"/>
      <c r="HD8" s="46" t="s">
        <v>105</v>
      </c>
      <c r="HE8" s="46">
        <v>0.75694498392032239</v>
      </c>
      <c r="HF8"/>
      <c r="HG8"/>
      <c r="HH8"/>
      <c r="HI8"/>
      <c r="HJ8"/>
      <c r="HK8"/>
      <c r="HL8"/>
    </row>
    <row r="9" spans="1:220" s="26" customFormat="1" ht="12.75" customHeight="1" thickBot="1" x14ac:dyDescent="0.4">
      <c r="A9" s="26" t="s">
        <v>52</v>
      </c>
      <c r="B9" s="26">
        <v>1957</v>
      </c>
      <c r="C9" s="26">
        <f>'Orig data'!G11</f>
        <v>84655</v>
      </c>
      <c r="D9" s="26">
        <f>'Orig data'!Q11</f>
        <v>308363</v>
      </c>
      <c r="E9" s="26">
        <f>'Orig data'!W11</f>
        <v>267911.40112163423</v>
      </c>
      <c r="F9" s="26">
        <f t="shared" si="25"/>
        <v>84.655000000000001</v>
      </c>
      <c r="G9" s="26">
        <f t="shared" si="26"/>
        <v>267.91140112163424</v>
      </c>
      <c r="H9" s="26">
        <f t="shared" si="27"/>
        <v>1.1520721594430823</v>
      </c>
      <c r="I9" s="26">
        <f t="shared" si="28"/>
        <v>223708</v>
      </c>
      <c r="J9" s="26">
        <f t="shared" si="29"/>
        <v>0.72546965751403381</v>
      </c>
      <c r="K9" s="26">
        <f t="shared" si="30"/>
        <v>1957</v>
      </c>
      <c r="L9" s="26">
        <f>covariates!R17</f>
        <v>84655</v>
      </c>
      <c r="M9" s="26">
        <f t="shared" si="31"/>
        <v>-0.63022439690672305</v>
      </c>
      <c r="N9" s="26">
        <f t="shared" si="32"/>
        <v>1.1766949659129966</v>
      </c>
      <c r="O9" s="26">
        <f t="shared" si="33"/>
        <v>-0.45600984338221306</v>
      </c>
      <c r="P9" s="26">
        <f t="shared" si="34"/>
        <v>84655</v>
      </c>
      <c r="Q9" s="26">
        <f t="shared" si="35"/>
        <v>-0.76057812645171086</v>
      </c>
      <c r="R9" s="26">
        <f t="shared" si="36"/>
        <v>1.1766949659129966</v>
      </c>
      <c r="S9" s="26">
        <f t="shared" si="37"/>
        <v>-0.45600984338221306</v>
      </c>
      <c r="T9" s="26">
        <f t="shared" si="38"/>
        <v>84655</v>
      </c>
      <c r="U9" s="26">
        <f t="shared" si="39"/>
        <v>0.12052565437309411</v>
      </c>
      <c r="V9" s="26">
        <f t="shared" si="40"/>
        <v>-0.45600984338221306</v>
      </c>
      <c r="W9" s="26">
        <f t="shared" si="41"/>
        <v>-0.63022439690672305</v>
      </c>
      <c r="X9" s="26">
        <f t="shared" si="42"/>
        <v>84655</v>
      </c>
      <c r="Y9" s="26">
        <f t="shared" si="43"/>
        <v>0.79622698252296464</v>
      </c>
      <c r="Z9" s="105">
        <f t="shared" si="44"/>
        <v>-0.45600984338221306</v>
      </c>
      <c r="AA9" s="105">
        <f t="shared" si="45"/>
        <v>-0.63022439690672305</v>
      </c>
      <c r="AB9" s="105">
        <f t="shared" si="46"/>
        <v>84655</v>
      </c>
      <c r="AC9" s="159">
        <f t="shared" si="47"/>
        <v>-0.78767908160996614</v>
      </c>
      <c r="AD9" s="105">
        <f t="shared" si="48"/>
        <v>-0.45600984338221306</v>
      </c>
      <c r="AE9" s="105">
        <f t="shared" si="49"/>
        <v>-0.63022439690672305</v>
      </c>
      <c r="AF9" s="105">
        <f t="shared" si="50"/>
        <v>84655</v>
      </c>
      <c r="AG9" s="105">
        <f>covariates!X17</f>
        <v>-0.78767908160996614</v>
      </c>
      <c r="AH9" s="105">
        <f t="shared" si="51"/>
        <v>-0.45600984338221306</v>
      </c>
      <c r="AI9" s="159">
        <f t="shared" si="52"/>
        <v>1.1766949659129966</v>
      </c>
      <c r="AJ9" s="105">
        <f t="shared" si="53"/>
        <v>-0.63022439690672305</v>
      </c>
      <c r="AK9" s="105"/>
      <c r="AL9" s="105"/>
      <c r="AM9" s="105"/>
      <c r="AN9" s="105"/>
      <c r="AO9" s="105"/>
      <c r="AP9" s="105">
        <f t="shared" si="54"/>
        <v>84655</v>
      </c>
      <c r="AQ9" s="105">
        <f>covariates!T17</f>
        <v>0.79622698252296464</v>
      </c>
      <c r="AR9" s="105">
        <f t="shared" si="55"/>
        <v>-0.45600984338221306</v>
      </c>
      <c r="AS9" s="105">
        <f t="shared" si="56"/>
        <v>1.1766949659129966</v>
      </c>
      <c r="AT9" s="26">
        <f t="shared" si="57"/>
        <v>-0.63022439690672305</v>
      </c>
      <c r="AU9" s="26">
        <f t="shared" si="58"/>
        <v>84655</v>
      </c>
      <c r="AV9" s="26">
        <f t="shared" si="59"/>
        <v>-0.78767908160996614</v>
      </c>
      <c r="AW9" s="26">
        <f t="shared" si="60"/>
        <v>-0.45600984338221306</v>
      </c>
      <c r="AX9" s="26">
        <f t="shared" si="61"/>
        <v>1.1766949659129966</v>
      </c>
      <c r="AY9" s="26">
        <f t="shared" si="62"/>
        <v>-0.63022439690672305</v>
      </c>
      <c r="AZ9" s="26">
        <f t="shared" si="63"/>
        <v>-0.76057812645171086</v>
      </c>
      <c r="BA9" s="61">
        <v>1957</v>
      </c>
      <c r="BB9" s="164">
        <f t="shared" si="4"/>
        <v>84655</v>
      </c>
      <c r="BC9" s="105">
        <f t="shared" si="5"/>
        <v>-0.78767908160996614</v>
      </c>
      <c r="BD9" s="105">
        <f t="shared" si="6"/>
        <v>-0.45600984338221306</v>
      </c>
      <c r="BE9" s="105">
        <f t="shared" si="7"/>
        <v>1.1766949659129966</v>
      </c>
      <c r="BF9" s="105">
        <f t="shared" si="8"/>
        <v>-0.63022439690672305</v>
      </c>
      <c r="BG9">
        <v>180</v>
      </c>
      <c r="BR9" s="26">
        <f>covariates!V17</f>
        <v>-0.63022439690672305</v>
      </c>
      <c r="BS9" s="26">
        <f>covariates!W17</f>
        <v>0.12052565437309411</v>
      </c>
      <c r="BT9" s="26">
        <f>covariates!Y17</f>
        <v>1.1766949659129966</v>
      </c>
      <c r="BU9" s="26">
        <f>covariates!U17</f>
        <v>-0.45600984338221306</v>
      </c>
      <c r="BV9" s="26">
        <f>covariates!AA17</f>
        <v>-0.76057812645171086</v>
      </c>
      <c r="BW9" s="26">
        <f t="shared" si="2"/>
        <v>1.1520721594430823</v>
      </c>
      <c r="BX9" s="26">
        <f t="shared" si="9"/>
        <v>-0.63022439690672305</v>
      </c>
      <c r="BY9" s="26">
        <f t="shared" si="10"/>
        <v>-0.76057812645171086</v>
      </c>
      <c r="BZ9" s="26">
        <f t="shared" si="11"/>
        <v>1957</v>
      </c>
      <c r="CA9" s="26">
        <f t="shared" si="64"/>
        <v>1.0202338846857082</v>
      </c>
      <c r="CB9" s="26">
        <f t="shared" ref="CB9:CE61" si="70">AVERAGE(CA4:CA13)</f>
        <v>1.2096674653867026</v>
      </c>
      <c r="CC9" s="26">
        <f t="shared" si="65"/>
        <v>224825.89755731836</v>
      </c>
      <c r="CD9" s="26">
        <f t="shared" si="12"/>
        <v>0.99637402044190559</v>
      </c>
      <c r="CE9" s="26">
        <f t="shared" si="70"/>
        <v>1.2214968913977242</v>
      </c>
      <c r="CF9" s="26">
        <f t="shared" si="13"/>
        <v>220508.50536996266</v>
      </c>
      <c r="CG9" s="26">
        <f t="shared" si="14"/>
        <v>1.0564093482769705</v>
      </c>
      <c r="CH9" s="26">
        <f t="shared" ref="CH9:CH61" si="71">AVERAGE(CG4:CG13)</f>
        <v>1.1947595801927255</v>
      </c>
      <c r="CI9" s="26">
        <f t="shared" si="15"/>
        <v>233582.94860233428</v>
      </c>
      <c r="CJ9" s="26">
        <f t="shared" si="16"/>
        <v>1.0333435055404276</v>
      </c>
      <c r="CK9" s="26">
        <f t="shared" ref="CK9:CK61" si="72">AVERAGE(CJ4:CJ13)</f>
        <v>1.2097218299422459</v>
      </c>
      <c r="CL9" s="26">
        <f t="shared" si="17"/>
        <v>227623.55081513865</v>
      </c>
      <c r="CM9" s="26">
        <f t="shared" si="66"/>
        <v>0.93402454544113167</v>
      </c>
      <c r="CN9" s="26">
        <f t="shared" ref="CN9:CN61" si="73">AVERAGE(CM4:CM13)</f>
        <v>1.1977178280463978</v>
      </c>
      <c r="CO9" s="26">
        <f t="shared" si="18"/>
        <v>206581.0704289382</v>
      </c>
      <c r="CP9" s="26">
        <f t="shared" si="67"/>
        <v>0.25996340479039404</v>
      </c>
      <c r="CQ9" s="26">
        <f t="shared" si="19"/>
        <v>1.0428118836200408</v>
      </c>
      <c r="CR9" s="26">
        <f t="shared" ref="CR9:CR61" si="74">AVERAGE(CQ4:CQ13)</f>
        <v>1.1731311486050922</v>
      </c>
      <c r="CS9" s="26">
        <f t="shared" si="20"/>
        <v>230359.33118129586</v>
      </c>
      <c r="CT9" s="26">
        <f t="shared" si="21"/>
        <v>251055.62244969318</v>
      </c>
      <c r="CU9" s="26">
        <f t="shared" si="22"/>
        <v>0.93402454544113167</v>
      </c>
      <c r="CV9" s="26">
        <f t="shared" ref="CV9:CV61" si="75">AVERAGE(CU4:CU13)</f>
        <v>1.1977178280463978</v>
      </c>
      <c r="CW9" s="26">
        <f t="shared" si="23"/>
        <v>206102.62232726076</v>
      </c>
      <c r="CX9" s="26">
        <f t="shared" si="24"/>
        <v>0.99637402044190559</v>
      </c>
      <c r="CY9" s="26">
        <f t="shared" si="69"/>
        <v>1.2214968913977242</v>
      </c>
      <c r="CZ9" s="26">
        <f t="shared" si="68"/>
        <v>220508.50536996266</v>
      </c>
      <c r="DZ9" s="160" t="s">
        <v>103</v>
      </c>
      <c r="EA9" s="160"/>
      <c r="EJ9" s="50" t="s">
        <v>105</v>
      </c>
      <c r="EK9" s="62">
        <v>0.61073144730408557</v>
      </c>
      <c r="EU9" s="50" t="s">
        <v>105</v>
      </c>
      <c r="EV9" s="62">
        <v>0.61806472942062596</v>
      </c>
      <c r="FF9" s="50" t="s">
        <v>105</v>
      </c>
      <c r="FG9" s="50">
        <v>0.63509529280208832</v>
      </c>
      <c r="FP9" s="50" t="s">
        <v>105</v>
      </c>
      <c r="FQ9" s="62">
        <v>0.6507205819686801</v>
      </c>
      <c r="FZ9" s="50" t="s">
        <v>105</v>
      </c>
      <c r="GA9" s="62">
        <v>0.62814551518225847</v>
      </c>
      <c r="GJ9" s="50" t="s">
        <v>105</v>
      </c>
      <c r="GK9" s="50">
        <v>0.65717260746060535</v>
      </c>
      <c r="GT9" s="46" t="s">
        <v>106</v>
      </c>
      <c r="GU9" s="46">
        <v>0.63019396714144171</v>
      </c>
      <c r="GV9"/>
      <c r="GW9"/>
      <c r="GX9"/>
      <c r="GY9"/>
      <c r="GZ9"/>
      <c r="HA9"/>
      <c r="HB9"/>
      <c r="HD9" s="46" t="s">
        <v>106</v>
      </c>
      <c r="HE9" s="46">
        <v>0.71527840973523482</v>
      </c>
      <c r="HF9"/>
      <c r="HG9"/>
      <c r="HH9"/>
      <c r="HI9"/>
      <c r="HJ9"/>
      <c r="HK9"/>
      <c r="HL9"/>
    </row>
    <row r="10" spans="1:220" s="26" customFormat="1" ht="12.75" customHeight="1" x14ac:dyDescent="0.35">
      <c r="A10" s="26" t="s">
        <v>52</v>
      </c>
      <c r="B10" s="26">
        <v>1958</v>
      </c>
      <c r="C10" s="26">
        <f>'Orig data'!G12</f>
        <v>89400</v>
      </c>
      <c r="D10" s="26">
        <f>'Orig data'!Q12</f>
        <v>559829</v>
      </c>
      <c r="E10" s="26">
        <f>'Orig data'!W12</f>
        <v>261839.36777785598</v>
      </c>
      <c r="F10" s="26">
        <f t="shared" si="25"/>
        <v>89.4</v>
      </c>
      <c r="G10" s="26">
        <f t="shared" si="26"/>
        <v>261.83936777785595</v>
      </c>
      <c r="H10" s="26">
        <f t="shared" si="27"/>
        <v>1.0746105334743974</v>
      </c>
      <c r="I10" s="26">
        <f t="shared" si="28"/>
        <v>470429</v>
      </c>
      <c r="J10" s="26">
        <f t="shared" si="29"/>
        <v>0.84030837988028484</v>
      </c>
      <c r="K10" s="26">
        <f t="shared" si="30"/>
        <v>1958</v>
      </c>
      <c r="L10" s="26">
        <f>covariates!R18</f>
        <v>89400</v>
      </c>
      <c r="M10" s="26">
        <f t="shared" si="31"/>
        <v>-0.64877421733348783</v>
      </c>
      <c r="N10" s="26">
        <f t="shared" si="32"/>
        <v>0.81925627674106294</v>
      </c>
      <c r="O10" s="26">
        <f t="shared" si="33"/>
        <v>-0.3571702714175955</v>
      </c>
      <c r="P10" s="26">
        <f t="shared" si="34"/>
        <v>89400</v>
      </c>
      <c r="Q10" s="26">
        <f t="shared" si="35"/>
        <v>-0.76057812645171086</v>
      </c>
      <c r="R10" s="26">
        <f t="shared" si="36"/>
        <v>0.81925627674106294</v>
      </c>
      <c r="S10" s="26">
        <f t="shared" si="37"/>
        <v>-0.3571702714175955</v>
      </c>
      <c r="T10" s="26">
        <f t="shared" si="38"/>
        <v>89400</v>
      </c>
      <c r="U10" s="26">
        <f t="shared" si="39"/>
        <v>0.49073089373909129</v>
      </c>
      <c r="V10" s="26">
        <f t="shared" si="40"/>
        <v>-0.3571702714175955</v>
      </c>
      <c r="W10" s="26">
        <f t="shared" si="41"/>
        <v>-0.64877421733348783</v>
      </c>
      <c r="X10" s="26">
        <f t="shared" si="42"/>
        <v>89400</v>
      </c>
      <c r="Y10" s="26">
        <f t="shared" si="43"/>
        <v>-0.16021923265095964</v>
      </c>
      <c r="Z10" s="105">
        <f t="shared" si="44"/>
        <v>-0.3571702714175955</v>
      </c>
      <c r="AA10" s="105">
        <f t="shared" si="45"/>
        <v>-0.64877421733348783</v>
      </c>
      <c r="AB10" s="105">
        <f t="shared" si="46"/>
        <v>89400</v>
      </c>
      <c r="AC10" s="159">
        <f t="shared" si="47"/>
        <v>2.3031264886805868E-2</v>
      </c>
      <c r="AD10" s="105">
        <f t="shared" si="48"/>
        <v>-0.3571702714175955</v>
      </c>
      <c r="AE10" s="105">
        <f t="shared" si="49"/>
        <v>-0.64877421733348783</v>
      </c>
      <c r="AF10" s="105">
        <f t="shared" si="50"/>
        <v>89400</v>
      </c>
      <c r="AG10" s="105">
        <f>covariates!X18</f>
        <v>2.3031264886805868E-2</v>
      </c>
      <c r="AH10" s="105">
        <f t="shared" si="51"/>
        <v>-0.3571702714175955</v>
      </c>
      <c r="AI10" s="159">
        <f t="shared" si="52"/>
        <v>0.81925627674106294</v>
      </c>
      <c r="AJ10" s="105">
        <f t="shared" si="53"/>
        <v>-0.64877421733348783</v>
      </c>
      <c r="AK10" s="105"/>
      <c r="AL10" s="105"/>
      <c r="AM10" s="105"/>
      <c r="AN10" s="105"/>
      <c r="AO10" s="105"/>
      <c r="AP10" s="105">
        <f t="shared" si="54"/>
        <v>89400</v>
      </c>
      <c r="AQ10" s="105">
        <f>covariates!T18</f>
        <v>-0.16021923265095964</v>
      </c>
      <c r="AR10" s="105">
        <f t="shared" si="55"/>
        <v>-0.3571702714175955</v>
      </c>
      <c r="AS10" s="105">
        <f t="shared" si="56"/>
        <v>0.81925627674106294</v>
      </c>
      <c r="AT10" s="26">
        <f t="shared" si="57"/>
        <v>-0.64877421733348783</v>
      </c>
      <c r="AU10" s="26">
        <f t="shared" si="58"/>
        <v>89400</v>
      </c>
      <c r="AV10" s="26">
        <f t="shared" si="59"/>
        <v>2.3031264886805868E-2</v>
      </c>
      <c r="AW10" s="26">
        <f t="shared" si="60"/>
        <v>-0.3571702714175955</v>
      </c>
      <c r="AX10" s="26">
        <f t="shared" si="61"/>
        <v>0.81925627674106294</v>
      </c>
      <c r="AY10" s="26">
        <f t="shared" si="62"/>
        <v>-0.64877421733348783</v>
      </c>
      <c r="AZ10" s="26">
        <f t="shared" si="63"/>
        <v>-0.76057812645171086</v>
      </c>
      <c r="BA10" s="61">
        <v>1958</v>
      </c>
      <c r="BB10" s="164">
        <f t="shared" si="4"/>
        <v>89400</v>
      </c>
      <c r="BC10" s="105">
        <f t="shared" si="5"/>
        <v>2.3031264886805868E-2</v>
      </c>
      <c r="BD10" s="105">
        <f t="shared" si="6"/>
        <v>-0.3571702714175955</v>
      </c>
      <c r="BE10" s="105">
        <f t="shared" si="7"/>
        <v>0.81925627674106294</v>
      </c>
      <c r="BF10" s="105">
        <f t="shared" si="8"/>
        <v>-0.64877421733348783</v>
      </c>
      <c r="BG10">
        <v>180</v>
      </c>
      <c r="BR10" s="26">
        <f>covariates!V18</f>
        <v>-0.64877421733348783</v>
      </c>
      <c r="BS10" s="26">
        <f>covariates!W18</f>
        <v>0.49073089373909129</v>
      </c>
      <c r="BT10" s="26">
        <f>covariates!Y18</f>
        <v>0.81925627674106294</v>
      </c>
      <c r="BU10" s="26">
        <f>covariates!U18</f>
        <v>-0.3571702714175955</v>
      </c>
      <c r="BV10" s="26">
        <f>covariates!AA18</f>
        <v>-0.76057812645171086</v>
      </c>
      <c r="BW10" s="26">
        <f t="shared" si="2"/>
        <v>1.0746105334743974</v>
      </c>
      <c r="BX10" s="26">
        <f t="shared" si="9"/>
        <v>-0.64877421733348783</v>
      </c>
      <c r="BY10" s="26">
        <f t="shared" si="10"/>
        <v>-0.76057812645171086</v>
      </c>
      <c r="BZ10" s="26">
        <f t="shared" si="11"/>
        <v>1958</v>
      </c>
      <c r="CA10" s="26">
        <f t="shared" si="64"/>
        <v>1.0757944047041113</v>
      </c>
      <c r="CB10" s="26">
        <f t="shared" si="70"/>
        <v>1.2098892342501393</v>
      </c>
      <c r="CC10" s="26">
        <f t="shared" si="65"/>
        <v>250381.45765119619</v>
      </c>
      <c r="CD10" s="26">
        <f t="shared" si="12"/>
        <v>1.0484431997056451</v>
      </c>
      <c r="CE10" s="26">
        <f t="shared" si="70"/>
        <v>1.199187239109065</v>
      </c>
      <c r="CF10" s="26">
        <f t="shared" si="13"/>
        <v>244778.74867425207</v>
      </c>
      <c r="CG10" s="26">
        <f t="shared" si="14"/>
        <v>1.1429054976859658</v>
      </c>
      <c r="CH10" s="26">
        <f t="shared" si="71"/>
        <v>1.1928767465573684</v>
      </c>
      <c r="CI10" s="26">
        <f t="shared" si="15"/>
        <v>268337.69567098597</v>
      </c>
      <c r="CJ10" s="26">
        <f t="shared" si="16"/>
        <v>1.0688554502511265</v>
      </c>
      <c r="CK10" s="26">
        <f t="shared" si="72"/>
        <v>1.2116806428205549</v>
      </c>
      <c r="CL10" s="26">
        <f t="shared" si="17"/>
        <v>248455.12234653014</v>
      </c>
      <c r="CM10" s="26">
        <f t="shared" si="66"/>
        <v>1.0615517610835263</v>
      </c>
      <c r="CN10" s="26">
        <f t="shared" si="73"/>
        <v>1.2083570526090581</v>
      </c>
      <c r="CO10" s="26">
        <f t="shared" si="18"/>
        <v>247251.79471943746</v>
      </c>
      <c r="CP10" s="26">
        <f t="shared" si="67"/>
        <v>5.7323986453678089E-2</v>
      </c>
      <c r="CQ10" s="26">
        <f t="shared" si="19"/>
        <v>1.1382257027662446</v>
      </c>
      <c r="CR10" s="26">
        <f t="shared" si="74"/>
        <v>1.1886875190196089</v>
      </c>
      <c r="CS10" s="26">
        <f t="shared" si="20"/>
        <v>267000.43279504753</v>
      </c>
      <c r="CT10" s="26">
        <f t="shared" si="21"/>
        <v>264346.9594941503</v>
      </c>
      <c r="CU10" s="26">
        <f t="shared" si="22"/>
        <v>1.0615517610835263</v>
      </c>
      <c r="CV10" s="26">
        <f t="shared" si="75"/>
        <v>1.2083570526090581</v>
      </c>
      <c r="CW10" s="26">
        <f t="shared" si="23"/>
        <v>246647.09403646708</v>
      </c>
      <c r="CX10" s="26">
        <f t="shared" si="24"/>
        <v>1.0484431997056451</v>
      </c>
      <c r="CY10" s="26">
        <f t="shared" si="69"/>
        <v>1.199187239109065</v>
      </c>
      <c r="CZ10" s="26">
        <f t="shared" si="68"/>
        <v>244778.74867425207</v>
      </c>
      <c r="DA10" s="160" t="s">
        <v>103</v>
      </c>
      <c r="DB10" s="160"/>
      <c r="DN10" s="160" t="s">
        <v>103</v>
      </c>
      <c r="DO10" s="160"/>
      <c r="DZ10" s="50" t="s">
        <v>104</v>
      </c>
      <c r="EA10" s="50">
        <v>0.77491606332567919</v>
      </c>
      <c r="EJ10" s="50" t="s">
        <v>106</v>
      </c>
      <c r="EK10" s="50">
        <v>0.58520564056992719</v>
      </c>
      <c r="EU10" s="50" t="s">
        <v>106</v>
      </c>
      <c r="EV10" s="50">
        <v>0.59301979364492929</v>
      </c>
      <c r="FF10" s="50" t="s">
        <v>106</v>
      </c>
      <c r="FG10" s="50">
        <v>0.60468656720226244</v>
      </c>
      <c r="FP10" s="50" t="s">
        <v>106</v>
      </c>
      <c r="FQ10" s="50">
        <v>0.62161396379940337</v>
      </c>
      <c r="FZ10" s="50" t="s">
        <v>106</v>
      </c>
      <c r="GA10" s="50">
        <v>0.60376161453847221</v>
      </c>
      <c r="GJ10" s="50" t="s">
        <v>106</v>
      </c>
      <c r="GK10" s="50">
        <v>0.62230880482948037</v>
      </c>
      <c r="GT10" s="46" t="s">
        <v>107</v>
      </c>
      <c r="GU10" s="46">
        <v>0.42517670172030603</v>
      </c>
      <c r="GV10"/>
      <c r="GW10"/>
      <c r="GX10"/>
      <c r="GY10"/>
      <c r="GZ10"/>
      <c r="HA10"/>
      <c r="HB10"/>
      <c r="HD10" s="46" t="s">
        <v>107</v>
      </c>
      <c r="HE10" s="46">
        <v>0.36185422652565885</v>
      </c>
      <c r="HF10"/>
      <c r="HG10"/>
      <c r="HH10"/>
      <c r="HI10"/>
      <c r="HJ10"/>
      <c r="HK10"/>
      <c r="HL10"/>
    </row>
    <row r="11" spans="1:220" s="26" customFormat="1" ht="12.75" customHeight="1" thickBot="1" x14ac:dyDescent="0.4">
      <c r="A11" s="26" t="s">
        <v>52</v>
      </c>
      <c r="B11" s="26">
        <v>1959</v>
      </c>
      <c r="C11" s="26">
        <f>'Orig data'!G13</f>
        <v>152300</v>
      </c>
      <c r="D11" s="26">
        <f>'Orig data'!Q13</f>
        <v>651622</v>
      </c>
      <c r="E11" s="26">
        <f>'Orig data'!W13</f>
        <v>334077.81684886321</v>
      </c>
      <c r="F11" s="26">
        <f t="shared" si="25"/>
        <v>152.30000000000001</v>
      </c>
      <c r="G11" s="26">
        <f t="shared" si="26"/>
        <v>334.07781684886322</v>
      </c>
      <c r="H11" s="26">
        <f t="shared" si="27"/>
        <v>0.78552169051632736</v>
      </c>
      <c r="I11" s="26">
        <f t="shared" si="28"/>
        <v>499322</v>
      </c>
      <c r="J11" s="26">
        <f t="shared" si="29"/>
        <v>0.76627554011374688</v>
      </c>
      <c r="K11" s="26">
        <f t="shared" si="30"/>
        <v>1959</v>
      </c>
      <c r="L11" s="26">
        <f>covariates!R19</f>
        <v>152300</v>
      </c>
      <c r="M11" s="26">
        <f t="shared" si="31"/>
        <v>-0.66732403776025306</v>
      </c>
      <c r="N11" s="26">
        <f t="shared" si="32"/>
        <v>0.98758496175807819</v>
      </c>
      <c r="O11" s="26">
        <f t="shared" si="33"/>
        <v>0.73006502019319841</v>
      </c>
      <c r="P11" s="26">
        <f t="shared" si="34"/>
        <v>152300</v>
      </c>
      <c r="Q11" s="26">
        <f t="shared" si="35"/>
        <v>-0.76057812645171086</v>
      </c>
      <c r="R11" s="26">
        <f t="shared" si="36"/>
        <v>0.98758496175807819</v>
      </c>
      <c r="S11" s="26">
        <f t="shared" si="37"/>
        <v>0.73006502019319841</v>
      </c>
      <c r="T11" s="26">
        <f t="shared" si="38"/>
        <v>152300</v>
      </c>
      <c r="U11" s="26">
        <f t="shared" si="39"/>
        <v>0.8550132034622554</v>
      </c>
      <c r="V11" s="26">
        <f t="shared" si="40"/>
        <v>0.73006502019319841</v>
      </c>
      <c r="W11" s="26">
        <f t="shared" si="41"/>
        <v>-0.66732403776025306</v>
      </c>
      <c r="X11" s="26">
        <f t="shared" si="42"/>
        <v>152300</v>
      </c>
      <c r="Y11" s="26">
        <f t="shared" si="43"/>
        <v>-0.35916004540713437</v>
      </c>
      <c r="Z11" s="105">
        <f t="shared" si="44"/>
        <v>0.73006502019319841</v>
      </c>
      <c r="AA11" s="105">
        <f t="shared" si="45"/>
        <v>-0.66732403776025306</v>
      </c>
      <c r="AB11" s="105">
        <f t="shared" si="46"/>
        <v>152300</v>
      </c>
      <c r="AC11" s="159">
        <f t="shared" si="47"/>
        <v>0.15222651509944574</v>
      </c>
      <c r="AD11" s="105">
        <f t="shared" si="48"/>
        <v>0.73006502019319841</v>
      </c>
      <c r="AE11" s="105">
        <f t="shared" si="49"/>
        <v>-0.66732403776025306</v>
      </c>
      <c r="AF11" s="105">
        <f t="shared" si="50"/>
        <v>152300</v>
      </c>
      <c r="AG11" s="105">
        <f>covariates!X19</f>
        <v>0.15222651509944574</v>
      </c>
      <c r="AH11" s="105">
        <f t="shared" si="51"/>
        <v>0.73006502019319841</v>
      </c>
      <c r="AI11" s="159">
        <f t="shared" si="52"/>
        <v>0.98758496175807819</v>
      </c>
      <c r="AJ11" s="105">
        <f t="shared" si="53"/>
        <v>-0.66732403776025306</v>
      </c>
      <c r="AK11" s="105"/>
      <c r="AL11" s="105"/>
      <c r="AM11" s="105"/>
      <c r="AN11" s="105"/>
      <c r="AO11" s="105"/>
      <c r="AP11" s="105">
        <f t="shared" si="54"/>
        <v>152300</v>
      </c>
      <c r="AQ11" s="105">
        <f>covariates!T19</f>
        <v>-0.35916004540713437</v>
      </c>
      <c r="AR11" s="105">
        <f t="shared" si="55"/>
        <v>0.73006502019319841</v>
      </c>
      <c r="AS11" s="105">
        <f t="shared" si="56"/>
        <v>0.98758496175807819</v>
      </c>
      <c r="AT11" s="26">
        <f t="shared" si="57"/>
        <v>-0.66732403776025306</v>
      </c>
      <c r="AU11" s="26">
        <f t="shared" si="58"/>
        <v>152300</v>
      </c>
      <c r="AV11" s="26">
        <f t="shared" si="59"/>
        <v>0.15222651509944574</v>
      </c>
      <c r="AW11" s="26">
        <f t="shared" si="60"/>
        <v>0.73006502019319841</v>
      </c>
      <c r="AX11" s="26">
        <f t="shared" si="61"/>
        <v>0.98758496175807819</v>
      </c>
      <c r="AY11" s="26">
        <f t="shared" si="62"/>
        <v>-0.66732403776025306</v>
      </c>
      <c r="AZ11" s="26">
        <f t="shared" si="63"/>
        <v>-0.76057812645171086</v>
      </c>
      <c r="BA11" s="61">
        <v>1959</v>
      </c>
      <c r="BB11" s="164">
        <f t="shared" si="4"/>
        <v>152300</v>
      </c>
      <c r="BC11" s="105">
        <f t="shared" si="5"/>
        <v>0.15222651509944574</v>
      </c>
      <c r="BD11" s="105">
        <f t="shared" si="6"/>
        <v>0.73006502019319841</v>
      </c>
      <c r="BE11" s="105">
        <f t="shared" si="7"/>
        <v>0.98758496175807819</v>
      </c>
      <c r="BF11" s="105">
        <f t="shared" si="8"/>
        <v>-0.66732403776025306</v>
      </c>
      <c r="BG11">
        <v>180</v>
      </c>
      <c r="BR11" s="26">
        <f>covariates!V19</f>
        <v>-0.66732403776025306</v>
      </c>
      <c r="BS11" s="26">
        <f>covariates!W19</f>
        <v>0.8550132034622554</v>
      </c>
      <c r="BT11" s="26">
        <f>covariates!Y19</f>
        <v>0.98758496175807819</v>
      </c>
      <c r="BU11" s="26">
        <f>covariates!U19</f>
        <v>0.73006502019319841</v>
      </c>
      <c r="BV11" s="26">
        <f>covariates!AA19</f>
        <v>-0.76057812645171086</v>
      </c>
      <c r="BW11" s="26">
        <f t="shared" si="2"/>
        <v>0.78552169051632736</v>
      </c>
      <c r="BX11" s="26">
        <f t="shared" si="9"/>
        <v>-0.66732403776025306</v>
      </c>
      <c r="BY11" s="26">
        <f t="shared" si="10"/>
        <v>-0.76057812645171086</v>
      </c>
      <c r="BZ11" s="26">
        <f t="shared" si="11"/>
        <v>1959</v>
      </c>
      <c r="CA11" s="26">
        <f t="shared" si="64"/>
        <v>1.1854268868921143</v>
      </c>
      <c r="CB11" s="26">
        <f t="shared" si="70"/>
        <v>1.211089331518147</v>
      </c>
      <c r="CC11" s="26">
        <f t="shared" si="65"/>
        <v>460832.48030060664</v>
      </c>
      <c r="CD11" s="26">
        <f t="shared" si="12"/>
        <v>1.164341045638402</v>
      </c>
      <c r="CE11" s="26">
        <f t="shared" si="70"/>
        <v>1.1860059748636389</v>
      </c>
      <c r="CF11" s="26">
        <f t="shared" si="13"/>
        <v>454860.26076822937</v>
      </c>
      <c r="CG11" s="26">
        <f t="shared" si="14"/>
        <v>1.2685525814677692</v>
      </c>
      <c r="CH11" s="26">
        <f t="shared" si="71"/>
        <v>1.1963996477736185</v>
      </c>
      <c r="CI11" s="26">
        <f t="shared" si="15"/>
        <v>502613.88281307014</v>
      </c>
      <c r="CJ11" s="26">
        <f t="shared" si="16"/>
        <v>1.1780447521326678</v>
      </c>
      <c r="CK11" s="26">
        <f t="shared" si="72"/>
        <v>1.2137159223418328</v>
      </c>
      <c r="CL11" s="26">
        <f t="shared" si="17"/>
        <v>456832.2144715201</v>
      </c>
      <c r="CM11" s="26">
        <f t="shared" si="66"/>
        <v>1.1714548832933209</v>
      </c>
      <c r="CN11" s="26">
        <f t="shared" si="73"/>
        <v>1.1995522318349086</v>
      </c>
      <c r="CO11" s="26">
        <f t="shared" si="18"/>
        <v>455728.77257526823</v>
      </c>
      <c r="CP11" s="26">
        <f t="shared" si="67"/>
        <v>-0.31052388515098173</v>
      </c>
      <c r="CQ11" s="26">
        <f t="shared" si="19"/>
        <v>1.2719572153415144</v>
      </c>
      <c r="CR11" s="26">
        <f t="shared" si="74"/>
        <v>1.1865146292453226</v>
      </c>
      <c r="CS11" s="26">
        <f t="shared" si="20"/>
        <v>504056.44574580621</v>
      </c>
      <c r="CT11" s="26">
        <f t="shared" si="21"/>
        <v>433073.71751069766</v>
      </c>
      <c r="CU11" s="26">
        <f t="shared" si="22"/>
        <v>1.1714548832933209</v>
      </c>
      <c r="CV11" s="26">
        <f t="shared" si="75"/>
        <v>1.1995522318349086</v>
      </c>
      <c r="CW11" s="26">
        <f t="shared" si="23"/>
        <v>453831.64762617799</v>
      </c>
      <c r="CX11" s="26">
        <f t="shared" si="24"/>
        <v>1.164341045638402</v>
      </c>
      <c r="CY11" s="26">
        <f t="shared" si="69"/>
        <v>1.1860059748636389</v>
      </c>
      <c r="CZ11" s="26">
        <f t="shared" si="68"/>
        <v>454860.26076822937</v>
      </c>
      <c r="DA11" s="50" t="s">
        <v>104</v>
      </c>
      <c r="DB11" s="50">
        <v>0.70965881780469831</v>
      </c>
      <c r="DN11" s="50" t="s">
        <v>104</v>
      </c>
      <c r="DO11" s="50">
        <v>0.79654769758482125</v>
      </c>
      <c r="DZ11" s="50" t="s">
        <v>105</v>
      </c>
      <c r="EA11" s="62">
        <v>0.60049490520016813</v>
      </c>
      <c r="EJ11" s="50" t="s">
        <v>107</v>
      </c>
      <c r="EK11" s="50">
        <v>0.45029682387390063</v>
      </c>
      <c r="EU11" s="50" t="s">
        <v>107</v>
      </c>
      <c r="EV11" s="50">
        <v>0.44603517229221396</v>
      </c>
      <c r="FF11" s="50" t="s">
        <v>107</v>
      </c>
      <c r="FG11" s="50">
        <v>0.43959551078809112</v>
      </c>
      <c r="FP11" s="50" t="s">
        <v>107</v>
      </c>
      <c r="FQ11" s="50">
        <v>0.43008075874094198</v>
      </c>
      <c r="FZ11" s="50" t="s">
        <v>107</v>
      </c>
      <c r="GA11" s="50">
        <v>0.44010949215027889</v>
      </c>
      <c r="GJ11" s="50" t="s">
        <v>107</v>
      </c>
      <c r="GK11" s="50">
        <v>0.42968569253078676</v>
      </c>
      <c r="GT11" s="47" t="s">
        <v>108</v>
      </c>
      <c r="GU11" s="47">
        <v>66</v>
      </c>
      <c r="GV11"/>
      <c r="GW11"/>
      <c r="GX11"/>
      <c r="GY11"/>
      <c r="GZ11"/>
      <c r="HA11"/>
      <c r="HB11"/>
      <c r="HD11" s="47" t="s">
        <v>108</v>
      </c>
      <c r="HE11" s="47">
        <v>42</v>
      </c>
      <c r="HF11"/>
      <c r="HG11"/>
      <c r="HH11"/>
      <c r="HI11"/>
      <c r="HJ11"/>
      <c r="HK11"/>
      <c r="HL11"/>
    </row>
    <row r="12" spans="1:220" s="26" customFormat="1" ht="12.75" customHeight="1" thickBot="1" x14ac:dyDescent="0.4">
      <c r="A12" s="26" t="s">
        <v>52</v>
      </c>
      <c r="B12" s="26">
        <v>1960</v>
      </c>
      <c r="C12" s="26">
        <f>'Orig data'!G14</f>
        <v>144782</v>
      </c>
      <c r="D12" s="26">
        <f>'Orig data'!Q14</f>
        <v>390714</v>
      </c>
      <c r="E12" s="26">
        <f>'Orig data'!W14</f>
        <v>341713.55149719119</v>
      </c>
      <c r="F12" s="26">
        <f t="shared" si="25"/>
        <v>144.78200000000001</v>
      </c>
      <c r="G12" s="26">
        <f t="shared" si="26"/>
        <v>341.71355149719119</v>
      </c>
      <c r="H12" s="26">
        <f t="shared" si="27"/>
        <v>0.85874365455198176</v>
      </c>
      <c r="I12" s="26">
        <f t="shared" si="28"/>
        <v>245932</v>
      </c>
      <c r="J12" s="26">
        <f t="shared" si="29"/>
        <v>0.62944250781901856</v>
      </c>
      <c r="K12" s="26">
        <f t="shared" si="30"/>
        <v>1960</v>
      </c>
      <c r="L12" s="26">
        <f>covariates!R20</f>
        <v>144782</v>
      </c>
      <c r="M12" s="26">
        <f t="shared" si="31"/>
        <v>-0.68587385818701796</v>
      </c>
      <c r="N12" s="26">
        <f t="shared" si="32"/>
        <v>0.70288088956880534</v>
      </c>
      <c r="O12" s="26">
        <f t="shared" si="33"/>
        <v>1.2736826659985954</v>
      </c>
      <c r="P12" s="26">
        <f t="shared" si="34"/>
        <v>144782</v>
      </c>
      <c r="Q12" s="26">
        <f t="shared" si="35"/>
        <v>-0.76057812645171086</v>
      </c>
      <c r="R12" s="26">
        <f t="shared" si="36"/>
        <v>0.70288088956880534</v>
      </c>
      <c r="S12" s="26">
        <f t="shared" si="37"/>
        <v>1.2736826659985954</v>
      </c>
      <c r="T12" s="26">
        <f t="shared" si="38"/>
        <v>144782</v>
      </c>
      <c r="U12" s="26">
        <f t="shared" si="39"/>
        <v>-0.39676862648266104</v>
      </c>
      <c r="V12" s="26">
        <f t="shared" si="40"/>
        <v>1.2736826659985954</v>
      </c>
      <c r="W12" s="26">
        <f t="shared" si="41"/>
        <v>-0.68587385818701796</v>
      </c>
      <c r="X12" s="26">
        <f t="shared" si="42"/>
        <v>144782</v>
      </c>
      <c r="Y12" s="26">
        <f t="shared" si="43"/>
        <v>0.31800387493600252</v>
      </c>
      <c r="Z12" s="105">
        <f t="shared" si="44"/>
        <v>1.2736826659985954</v>
      </c>
      <c r="AA12" s="105">
        <f t="shared" si="45"/>
        <v>-0.68587385818701796</v>
      </c>
      <c r="AB12" s="105">
        <f t="shared" si="46"/>
        <v>144782</v>
      </c>
      <c r="AC12" s="159">
        <f t="shared" si="47"/>
        <v>-0.30670833768597178</v>
      </c>
      <c r="AD12" s="105">
        <f t="shared" si="48"/>
        <v>1.2736826659985954</v>
      </c>
      <c r="AE12" s="105">
        <f t="shared" si="49"/>
        <v>-0.68587385818701796</v>
      </c>
      <c r="AF12" s="105">
        <f t="shared" si="50"/>
        <v>144782</v>
      </c>
      <c r="AG12" s="105">
        <f>covariates!X20</f>
        <v>-0.30670833768597178</v>
      </c>
      <c r="AH12" s="105">
        <f t="shared" si="51"/>
        <v>1.2736826659985954</v>
      </c>
      <c r="AI12" s="159">
        <f t="shared" si="52"/>
        <v>0.70288088956880534</v>
      </c>
      <c r="AJ12" s="105">
        <f t="shared" si="53"/>
        <v>-0.68587385818701796</v>
      </c>
      <c r="AK12" s="105"/>
      <c r="AL12" s="105"/>
      <c r="AM12" s="105"/>
      <c r="AN12" s="105"/>
      <c r="AO12" s="105"/>
      <c r="AP12" s="105">
        <f t="shared" si="54"/>
        <v>144782</v>
      </c>
      <c r="AQ12" s="105">
        <f>covariates!T20</f>
        <v>0.31800387493600252</v>
      </c>
      <c r="AR12" s="105">
        <f t="shared" si="55"/>
        <v>1.2736826659985954</v>
      </c>
      <c r="AS12" s="105">
        <f t="shared" si="56"/>
        <v>0.70288088956880534</v>
      </c>
      <c r="AT12" s="26">
        <f t="shared" si="57"/>
        <v>-0.68587385818701796</v>
      </c>
      <c r="AU12" s="26">
        <f t="shared" si="58"/>
        <v>144782</v>
      </c>
      <c r="AV12" s="26">
        <f t="shared" si="59"/>
        <v>-0.30670833768597178</v>
      </c>
      <c r="AW12" s="26">
        <f t="shared" si="60"/>
        <v>1.2736826659985954</v>
      </c>
      <c r="AX12" s="26">
        <f t="shared" si="61"/>
        <v>0.70288088956880534</v>
      </c>
      <c r="AY12" s="26">
        <f t="shared" si="62"/>
        <v>-0.68587385818701796</v>
      </c>
      <c r="AZ12" s="26">
        <f t="shared" si="63"/>
        <v>-0.76057812645171086</v>
      </c>
      <c r="BA12" s="61">
        <v>1960</v>
      </c>
      <c r="BB12" s="164">
        <f t="shared" si="4"/>
        <v>144782</v>
      </c>
      <c r="BC12" s="105">
        <f t="shared" si="5"/>
        <v>-0.30670833768597178</v>
      </c>
      <c r="BD12" s="105">
        <f t="shared" si="6"/>
        <v>1.2736826659985954</v>
      </c>
      <c r="BE12" s="105">
        <f t="shared" si="7"/>
        <v>0.70288088956880534</v>
      </c>
      <c r="BF12" s="105">
        <f t="shared" si="8"/>
        <v>-0.68587385818701796</v>
      </c>
      <c r="BG12">
        <v>180</v>
      </c>
      <c r="BR12" s="26">
        <f>covariates!V20</f>
        <v>-0.68587385818701796</v>
      </c>
      <c r="BS12" s="26">
        <f>covariates!W20</f>
        <v>-0.39676862648266104</v>
      </c>
      <c r="BT12" s="26">
        <f>covariates!Y20</f>
        <v>0.70288088956880534</v>
      </c>
      <c r="BU12" s="26">
        <f>covariates!U20</f>
        <v>1.2736826659985954</v>
      </c>
      <c r="BV12" s="26">
        <f>covariates!AA20</f>
        <v>-0.76057812645171086</v>
      </c>
      <c r="BW12" s="26">
        <f t="shared" si="2"/>
        <v>0.85874365455198176</v>
      </c>
      <c r="BX12" s="26">
        <f t="shared" si="9"/>
        <v>-0.68587385818701796</v>
      </c>
      <c r="BY12" s="26">
        <f t="shared" si="10"/>
        <v>-0.76057812645171086</v>
      </c>
      <c r="BZ12" s="26">
        <f t="shared" si="11"/>
        <v>1960</v>
      </c>
      <c r="CA12" s="26">
        <f t="shared" si="64"/>
        <v>1.2835877760124967</v>
      </c>
      <c r="CB12" s="26">
        <f t="shared" si="70"/>
        <v>1.2130271616584694</v>
      </c>
      <c r="CC12" s="26">
        <f t="shared" si="65"/>
        <v>485138.67570035002</v>
      </c>
      <c r="CD12" s="26">
        <f t="shared" si="12"/>
        <v>1.2633914409106024</v>
      </c>
      <c r="CE12" s="26">
        <f t="shared" si="70"/>
        <v>1.1802833625162719</v>
      </c>
      <c r="CF12" s="26">
        <f t="shared" si="13"/>
        <v>479087.37452404422</v>
      </c>
      <c r="CG12" s="26">
        <f t="shared" si="14"/>
        <v>1.2739945844658871</v>
      </c>
      <c r="CH12" s="26">
        <f t="shared" si="71"/>
        <v>1.1879485776661902</v>
      </c>
      <c r="CI12" s="26">
        <f t="shared" si="15"/>
        <v>482182.5518683152</v>
      </c>
      <c r="CJ12" s="26">
        <f t="shared" si="16"/>
        <v>1.3042727014622257</v>
      </c>
      <c r="CK12" s="26">
        <f t="shared" si="72"/>
        <v>1.2183723377210254</v>
      </c>
      <c r="CL12" s="26">
        <f t="shared" si="17"/>
        <v>494649.47814456187</v>
      </c>
      <c r="CM12" s="26">
        <f t="shared" si="66"/>
        <v>1.2189068975424648</v>
      </c>
      <c r="CN12" s="26">
        <f t="shared" si="73"/>
        <v>1.1904007003975914</v>
      </c>
      <c r="CO12" s="26">
        <f t="shared" si="18"/>
        <v>455980.10987945419</v>
      </c>
      <c r="CP12" s="26">
        <f t="shared" si="67"/>
        <v>-0.28847637249337588</v>
      </c>
      <c r="CQ12" s="26">
        <f t="shared" si="19"/>
        <v>1.2886065705087504</v>
      </c>
      <c r="CR12" s="26">
        <f t="shared" si="74"/>
        <v>1.1716681527982888</v>
      </c>
      <c r="CS12" s="26">
        <f t="shared" si="20"/>
        <v>489029.4592640684</v>
      </c>
      <c r="CT12" s="26">
        <f t="shared" si="21"/>
        <v>413623.67147255508</v>
      </c>
      <c r="CU12" s="26">
        <f t="shared" si="22"/>
        <v>1.2189068975424648</v>
      </c>
      <c r="CV12" s="26">
        <f t="shared" si="75"/>
        <v>1.1904007003975914</v>
      </c>
      <c r="CW12" s="26">
        <f t="shared" si="23"/>
        <v>454175.45259684749</v>
      </c>
      <c r="CX12" s="26">
        <f t="shared" si="24"/>
        <v>1.2633914409106024</v>
      </c>
      <c r="CY12" s="26">
        <f t="shared" si="69"/>
        <v>1.1802833625162719</v>
      </c>
      <c r="CZ12" s="26">
        <f t="shared" si="68"/>
        <v>479087.37452404422</v>
      </c>
      <c r="DA12" s="50" t="s">
        <v>105</v>
      </c>
      <c r="DB12" s="50">
        <v>0.50361563768796191</v>
      </c>
      <c r="DN12" s="50" t="s">
        <v>105</v>
      </c>
      <c r="DO12" s="62">
        <v>0.63448823452767977</v>
      </c>
      <c r="DZ12" s="50" t="s">
        <v>106</v>
      </c>
      <c r="EA12" s="50">
        <v>0.57429784980345777</v>
      </c>
      <c r="EJ12" s="103" t="s">
        <v>108</v>
      </c>
      <c r="EK12" s="103">
        <v>66</v>
      </c>
      <c r="EU12" s="103" t="s">
        <v>108</v>
      </c>
      <c r="EV12" s="103">
        <v>66</v>
      </c>
      <c r="FF12" s="103" t="s">
        <v>108</v>
      </c>
      <c r="FG12" s="103">
        <v>66</v>
      </c>
      <c r="FP12" s="103" t="s">
        <v>108</v>
      </c>
      <c r="FQ12" s="103">
        <v>66</v>
      </c>
      <c r="FZ12" s="103" t="s">
        <v>108</v>
      </c>
      <c r="GA12" s="103">
        <v>66</v>
      </c>
      <c r="GJ12" s="103" t="s">
        <v>108</v>
      </c>
      <c r="GK12" s="103">
        <v>66</v>
      </c>
      <c r="GT12"/>
      <c r="GU12"/>
      <c r="GV12"/>
      <c r="GW12"/>
      <c r="GX12"/>
      <c r="GY12"/>
      <c r="GZ12"/>
      <c r="HA12"/>
      <c r="HB12"/>
      <c r="HD12"/>
      <c r="HE12"/>
      <c r="HF12"/>
      <c r="HG12"/>
      <c r="HH12"/>
      <c r="HI12"/>
      <c r="HJ12"/>
      <c r="HK12"/>
      <c r="HL12"/>
    </row>
    <row r="13" spans="1:220" s="26" customFormat="1" ht="12.75" customHeight="1" thickBot="1" x14ac:dyDescent="0.4">
      <c r="A13" s="26" t="s">
        <v>52</v>
      </c>
      <c r="B13" s="26">
        <v>1961</v>
      </c>
      <c r="C13" s="26">
        <f>'Orig data'!G15</f>
        <v>103920</v>
      </c>
      <c r="D13" s="26">
        <f>'Orig data'!Q15</f>
        <v>253644</v>
      </c>
      <c r="E13" s="26">
        <f>'Orig data'!W15</f>
        <v>225157.1117145376</v>
      </c>
      <c r="F13" s="26">
        <f t="shared" si="25"/>
        <v>103.92</v>
      </c>
      <c r="G13" s="26">
        <f t="shared" si="26"/>
        <v>225.15711171453759</v>
      </c>
      <c r="H13" s="26">
        <f t="shared" si="27"/>
        <v>0.77317706044885048</v>
      </c>
      <c r="I13" s="26">
        <f t="shared" si="28"/>
        <v>149724</v>
      </c>
      <c r="J13" s="26">
        <f t="shared" si="29"/>
        <v>0.59029190518995123</v>
      </c>
      <c r="K13" s="26">
        <f t="shared" si="30"/>
        <v>1961</v>
      </c>
      <c r="L13" s="26">
        <f>covariates!R21</f>
        <v>103920</v>
      </c>
      <c r="M13" s="26">
        <f t="shared" si="31"/>
        <v>-0.70442367861378297</v>
      </c>
      <c r="N13" s="26">
        <f t="shared" si="32"/>
        <v>-1.0011872797392511</v>
      </c>
      <c r="O13" s="26">
        <f t="shared" si="33"/>
        <v>-6.0651555523742504E-2</v>
      </c>
      <c r="P13" s="26">
        <f t="shared" si="34"/>
        <v>103920</v>
      </c>
      <c r="Q13" s="26">
        <f t="shared" si="35"/>
        <v>-0.76057812645171086</v>
      </c>
      <c r="R13" s="26">
        <f t="shared" si="36"/>
        <v>-1.0011872797392511</v>
      </c>
      <c r="S13" s="26">
        <f t="shared" si="37"/>
        <v>-6.0651555523742504E-2</v>
      </c>
      <c r="T13" s="26">
        <f t="shared" si="38"/>
        <v>103920</v>
      </c>
      <c r="U13" s="26">
        <f t="shared" si="39"/>
        <v>-0.39606328894993104</v>
      </c>
      <c r="V13" s="26">
        <f t="shared" si="40"/>
        <v>-6.0651555523742504E-2</v>
      </c>
      <c r="W13" s="26">
        <f t="shared" si="41"/>
        <v>-0.70442367861378297</v>
      </c>
      <c r="X13" s="26">
        <f t="shared" si="42"/>
        <v>103920</v>
      </c>
      <c r="Y13" s="26">
        <f t="shared" si="43"/>
        <v>-0.61548763107374671</v>
      </c>
      <c r="Z13" s="105">
        <f t="shared" si="44"/>
        <v>-6.0651555523742504E-2</v>
      </c>
      <c r="AA13" s="105">
        <f t="shared" si="45"/>
        <v>-0.70442367861378297</v>
      </c>
      <c r="AB13" s="105">
        <f t="shared" si="46"/>
        <v>103920</v>
      </c>
      <c r="AC13" s="159">
        <f t="shared" si="47"/>
        <v>-0.10122219620501262</v>
      </c>
      <c r="AD13" s="105">
        <f t="shared" si="48"/>
        <v>-6.0651555523742504E-2</v>
      </c>
      <c r="AE13" s="105">
        <f t="shared" si="49"/>
        <v>-0.70442367861378297</v>
      </c>
      <c r="AF13" s="105">
        <f t="shared" si="50"/>
        <v>103920</v>
      </c>
      <c r="AG13" s="105">
        <f>covariates!X21</f>
        <v>-0.10122219620501262</v>
      </c>
      <c r="AH13" s="105">
        <f t="shared" si="51"/>
        <v>-6.0651555523742504E-2</v>
      </c>
      <c r="AI13" s="159">
        <f t="shared" si="52"/>
        <v>-1.0011872797392511</v>
      </c>
      <c r="AJ13" s="105">
        <f t="shared" si="53"/>
        <v>-0.70442367861378297</v>
      </c>
      <c r="AK13" s="105"/>
      <c r="AL13" s="105"/>
      <c r="AM13" s="105"/>
      <c r="AN13" s="105"/>
      <c r="AO13" s="105"/>
      <c r="AP13" s="105">
        <f t="shared" si="54"/>
        <v>103920</v>
      </c>
      <c r="AQ13" s="105">
        <f>covariates!T21</f>
        <v>-0.61548763107374671</v>
      </c>
      <c r="AR13" s="105">
        <f t="shared" si="55"/>
        <v>-6.0651555523742504E-2</v>
      </c>
      <c r="AS13" s="105">
        <f t="shared" si="56"/>
        <v>-1.0011872797392511</v>
      </c>
      <c r="AT13" s="26">
        <f t="shared" si="57"/>
        <v>-0.70442367861378297</v>
      </c>
      <c r="AU13" s="26">
        <f t="shared" si="58"/>
        <v>103920</v>
      </c>
      <c r="AV13" s="26">
        <f t="shared" si="59"/>
        <v>-0.10122219620501262</v>
      </c>
      <c r="AW13" s="26">
        <f t="shared" si="60"/>
        <v>-6.0651555523742504E-2</v>
      </c>
      <c r="AX13" s="26">
        <f t="shared" si="61"/>
        <v>-1.0011872797392511</v>
      </c>
      <c r="AY13" s="26">
        <f t="shared" si="62"/>
        <v>-0.70442367861378297</v>
      </c>
      <c r="AZ13" s="26">
        <f t="shared" si="63"/>
        <v>-0.76057812645171086</v>
      </c>
      <c r="BA13" s="61">
        <v>1961</v>
      </c>
      <c r="BB13" s="164">
        <f t="shared" si="4"/>
        <v>103920</v>
      </c>
      <c r="BC13" s="105">
        <f t="shared" si="5"/>
        <v>-0.10122219620501262</v>
      </c>
      <c r="BD13" s="105">
        <f t="shared" si="6"/>
        <v>-6.0651555523742504E-2</v>
      </c>
      <c r="BE13" s="105">
        <f t="shared" si="7"/>
        <v>-1.0011872797392511</v>
      </c>
      <c r="BF13" s="105">
        <f t="shared" si="8"/>
        <v>-0.70442367861378297</v>
      </c>
      <c r="BG13">
        <v>180</v>
      </c>
      <c r="BR13" s="26">
        <f>covariates!V21</f>
        <v>-0.70442367861378297</v>
      </c>
      <c r="BS13" s="26">
        <f>covariates!W21</f>
        <v>-0.39606328894993104</v>
      </c>
      <c r="BT13" s="26">
        <f>covariates!Y21</f>
        <v>-1.0011872797392511</v>
      </c>
      <c r="BU13" s="26">
        <f>covariates!U21</f>
        <v>-6.0651555523742504E-2</v>
      </c>
      <c r="BV13" s="26">
        <f>covariates!AA21</f>
        <v>-0.76057812645171086</v>
      </c>
      <c r="BW13" s="26">
        <f t="shared" si="2"/>
        <v>0.77317706044885048</v>
      </c>
      <c r="BX13" s="26">
        <f t="shared" si="9"/>
        <v>-0.70442367861378297</v>
      </c>
      <c r="BY13" s="26">
        <f t="shared" si="10"/>
        <v>-0.76057812645171086</v>
      </c>
      <c r="BZ13" s="26">
        <f t="shared" si="11"/>
        <v>1961</v>
      </c>
      <c r="CA13" s="26">
        <f t="shared" si="64"/>
        <v>1.3258808475143902</v>
      </c>
      <c r="CB13" s="26">
        <f t="shared" si="70"/>
        <v>1.183621940600514</v>
      </c>
      <c r="CC13" s="26">
        <f t="shared" si="65"/>
        <v>370966.96953690291</v>
      </c>
      <c r="CD13" s="26">
        <f t="shared" si="12"/>
        <v>1.2880114700607839</v>
      </c>
      <c r="CE13" s="26">
        <f t="shared" si="70"/>
        <v>1.1467344138873898</v>
      </c>
      <c r="CF13" s="26">
        <f t="shared" si="13"/>
        <v>359146.60203910177</v>
      </c>
      <c r="CG13" s="26">
        <f t="shared" si="14"/>
        <v>1.2181321104574254</v>
      </c>
      <c r="CH13" s="26">
        <f t="shared" si="71"/>
        <v>1.1775603367180136</v>
      </c>
      <c r="CI13" s="26">
        <f t="shared" si="15"/>
        <v>333907.15732535691</v>
      </c>
      <c r="CJ13" s="26">
        <f t="shared" si="16"/>
        <v>1.3396664730519101</v>
      </c>
      <c r="CK13" s="26">
        <f t="shared" si="72"/>
        <v>1.1873253978175724</v>
      </c>
      <c r="CL13" s="26">
        <f t="shared" si="17"/>
        <v>375773.60912385554</v>
      </c>
      <c r="CM13" s="26">
        <f t="shared" si="66"/>
        <v>1.2857872487766422</v>
      </c>
      <c r="CN13" s="26">
        <f t="shared" si="73"/>
        <v>1.1614086213588162</v>
      </c>
      <c r="CO13" s="26">
        <f t="shared" si="18"/>
        <v>357077.92073081399</v>
      </c>
      <c r="CP13" s="26">
        <f t="shared" si="67"/>
        <v>-0.46115559050444865</v>
      </c>
      <c r="CQ13" s="26">
        <f t="shared" si="19"/>
        <v>1.1695956933287945</v>
      </c>
      <c r="CR13" s="26">
        <f t="shared" si="74"/>
        <v>1.1661351745098407</v>
      </c>
      <c r="CS13" s="26">
        <f t="shared" si="20"/>
        <v>317970.63707624073</v>
      </c>
      <c r="CT13" s="26">
        <f t="shared" si="21"/>
        <v>304521.11700155376</v>
      </c>
      <c r="CU13" s="26">
        <f t="shared" si="22"/>
        <v>1.2857872487766422</v>
      </c>
      <c r="CV13" s="26">
        <f t="shared" si="75"/>
        <v>1.1614086213588162</v>
      </c>
      <c r="CW13" s="26">
        <f t="shared" si="23"/>
        <v>356062.98322804656</v>
      </c>
      <c r="CX13" s="26">
        <f t="shared" si="24"/>
        <v>1.2880114700607839</v>
      </c>
      <c r="CY13" s="26">
        <f t="shared" si="69"/>
        <v>1.1467344138873898</v>
      </c>
      <c r="CZ13" s="26">
        <f t="shared" si="68"/>
        <v>359146.60203910177</v>
      </c>
      <c r="DA13" s="50" t="s">
        <v>106</v>
      </c>
      <c r="DB13" s="50">
        <v>0.49585963202683636</v>
      </c>
      <c r="DN13" s="50" t="s">
        <v>106</v>
      </c>
      <c r="DO13" s="50">
        <v>0.61052024990654408</v>
      </c>
      <c r="DZ13" s="50" t="s">
        <v>107</v>
      </c>
      <c r="EA13" s="50">
        <v>0.45617910058050387</v>
      </c>
      <c r="GT13" t="s">
        <v>109</v>
      </c>
      <c r="GU13"/>
      <c r="GV13"/>
      <c r="GW13"/>
      <c r="GX13"/>
      <c r="GY13"/>
      <c r="GZ13"/>
      <c r="HA13"/>
      <c r="HB13"/>
      <c r="HD13" t="s">
        <v>109</v>
      </c>
      <c r="HE13"/>
      <c r="HF13"/>
      <c r="HG13"/>
      <c r="HH13"/>
      <c r="HI13"/>
      <c r="HJ13"/>
      <c r="HK13"/>
      <c r="HL13"/>
    </row>
    <row r="14" spans="1:220" s="26" customFormat="1" ht="12.75" customHeight="1" thickBot="1" x14ac:dyDescent="0.4">
      <c r="A14" s="26" t="s">
        <v>52</v>
      </c>
      <c r="B14" s="26">
        <v>1962</v>
      </c>
      <c r="C14" s="26">
        <f>'Orig data'!G16</f>
        <v>130357</v>
      </c>
      <c r="D14" s="26">
        <f>'Orig data'!Q16</f>
        <v>249239</v>
      </c>
      <c r="E14" s="26">
        <f>'Orig data'!W16</f>
        <v>381286.83850328019</v>
      </c>
      <c r="F14" s="26">
        <f t="shared" si="25"/>
        <v>130.357</v>
      </c>
      <c r="G14" s="26">
        <f t="shared" si="26"/>
        <v>381.28683850328019</v>
      </c>
      <c r="H14" s="26">
        <f t="shared" si="27"/>
        <v>1.0732751083257228</v>
      </c>
      <c r="I14" s="26">
        <f t="shared" si="28"/>
        <v>118882</v>
      </c>
      <c r="J14" s="26">
        <f t="shared" si="29"/>
        <v>0.47697992689747593</v>
      </c>
      <c r="K14" s="26">
        <f t="shared" si="30"/>
        <v>1962</v>
      </c>
      <c r="L14" s="26">
        <f>covariates!R22</f>
        <v>130357</v>
      </c>
      <c r="M14" s="26">
        <f t="shared" si="31"/>
        <v>-0.72297349904054808</v>
      </c>
      <c r="N14" s="26">
        <f t="shared" si="32"/>
        <v>0.13555087710404992</v>
      </c>
      <c r="O14" s="26">
        <f t="shared" si="33"/>
        <v>-0.45600984338221306</v>
      </c>
      <c r="P14" s="26">
        <f t="shared" si="34"/>
        <v>130357</v>
      </c>
      <c r="Q14" s="26">
        <f t="shared" si="35"/>
        <v>-0.76057812645171086</v>
      </c>
      <c r="R14" s="26">
        <f t="shared" si="36"/>
        <v>0.13555087710404992</v>
      </c>
      <c r="S14" s="26">
        <f t="shared" si="37"/>
        <v>-0.45600984338221306</v>
      </c>
      <c r="T14" s="26">
        <f t="shared" si="38"/>
        <v>130357</v>
      </c>
      <c r="U14" s="26">
        <f t="shared" si="39"/>
        <v>-0.3590096859316973</v>
      </c>
      <c r="V14" s="26">
        <f t="shared" si="40"/>
        <v>-0.45600984338221306</v>
      </c>
      <c r="W14" s="26">
        <f t="shared" si="41"/>
        <v>-0.72297349904054808</v>
      </c>
      <c r="X14" s="26">
        <f t="shared" si="42"/>
        <v>130357</v>
      </c>
      <c r="Y14" s="26">
        <f t="shared" si="43"/>
        <v>0.27974602632904771</v>
      </c>
      <c r="Z14" s="105">
        <f t="shared" si="44"/>
        <v>-0.45600984338221306</v>
      </c>
      <c r="AA14" s="105">
        <f t="shared" si="45"/>
        <v>-0.72297349904054808</v>
      </c>
      <c r="AB14" s="105">
        <f t="shared" si="46"/>
        <v>130357</v>
      </c>
      <c r="AC14" s="159">
        <f t="shared" si="47"/>
        <v>-0.17622041618659259</v>
      </c>
      <c r="AD14" s="105">
        <f t="shared" si="48"/>
        <v>-0.45600984338221306</v>
      </c>
      <c r="AE14" s="105">
        <f t="shared" si="49"/>
        <v>-0.72297349904054808</v>
      </c>
      <c r="AF14" s="105">
        <f t="shared" si="50"/>
        <v>130357</v>
      </c>
      <c r="AG14" s="105">
        <f>covariates!X22</f>
        <v>-0.17622041618659259</v>
      </c>
      <c r="AH14" s="105">
        <f t="shared" si="51"/>
        <v>-0.45600984338221306</v>
      </c>
      <c r="AI14" s="159">
        <f t="shared" si="52"/>
        <v>0.13555087710404992</v>
      </c>
      <c r="AJ14" s="105">
        <f t="shared" si="53"/>
        <v>-0.72297349904054808</v>
      </c>
      <c r="AK14" s="105"/>
      <c r="AL14" s="105"/>
      <c r="AM14" s="105"/>
      <c r="AN14" s="105"/>
      <c r="AO14" s="105"/>
      <c r="AP14" s="105">
        <f t="shared" si="54"/>
        <v>130357</v>
      </c>
      <c r="AQ14" s="105">
        <f>covariates!T22</f>
        <v>0.27974602632904771</v>
      </c>
      <c r="AR14" s="105">
        <f t="shared" si="55"/>
        <v>-0.45600984338221306</v>
      </c>
      <c r="AS14" s="105">
        <f t="shared" si="56"/>
        <v>0.13555087710404992</v>
      </c>
      <c r="AT14" s="26">
        <f t="shared" si="57"/>
        <v>-0.72297349904054808</v>
      </c>
      <c r="AU14" s="26">
        <f t="shared" si="58"/>
        <v>130357</v>
      </c>
      <c r="AV14" s="26">
        <f t="shared" si="59"/>
        <v>-0.17622041618659259</v>
      </c>
      <c r="AW14" s="26">
        <f t="shared" si="60"/>
        <v>-0.45600984338221306</v>
      </c>
      <c r="AX14" s="26">
        <f t="shared" si="61"/>
        <v>0.13555087710404992</v>
      </c>
      <c r="AY14" s="26">
        <f t="shared" si="62"/>
        <v>-0.72297349904054808</v>
      </c>
      <c r="AZ14" s="26">
        <f t="shared" si="63"/>
        <v>-0.76057812645171086</v>
      </c>
      <c r="BA14" s="61">
        <v>1962</v>
      </c>
      <c r="BB14" s="164">
        <f t="shared" si="4"/>
        <v>130357</v>
      </c>
      <c r="BC14" s="105">
        <f t="shared" si="5"/>
        <v>-0.17622041618659259</v>
      </c>
      <c r="BD14" s="105">
        <f t="shared" si="6"/>
        <v>-0.45600984338221306</v>
      </c>
      <c r="BE14" s="105">
        <f t="shared" si="7"/>
        <v>0.13555087710404992</v>
      </c>
      <c r="BF14" s="105">
        <f t="shared" si="8"/>
        <v>-0.72297349904054808</v>
      </c>
      <c r="BG14">
        <v>180</v>
      </c>
      <c r="BR14" s="26">
        <f>covariates!V22</f>
        <v>-0.72297349904054808</v>
      </c>
      <c r="BS14" s="26">
        <f>covariates!W22</f>
        <v>-0.3590096859316973</v>
      </c>
      <c r="BT14" s="26">
        <f>covariates!Y22</f>
        <v>0.13555087710404992</v>
      </c>
      <c r="BU14" s="26">
        <f>covariates!U22</f>
        <v>-0.45600984338221306</v>
      </c>
      <c r="BV14" s="26">
        <f>covariates!AA22</f>
        <v>-0.76057812645171086</v>
      </c>
      <c r="BW14" s="26">
        <f t="shared" si="2"/>
        <v>1.0732751083257228</v>
      </c>
      <c r="BX14" s="26">
        <f t="shared" si="9"/>
        <v>-0.72297349904054808</v>
      </c>
      <c r="BY14" s="26">
        <f t="shared" si="10"/>
        <v>-0.76057812645171086</v>
      </c>
      <c r="BZ14" s="26">
        <f t="shared" si="11"/>
        <v>1962</v>
      </c>
      <c r="CA14" s="26">
        <f t="shared" si="64"/>
        <v>1.1585197520885149</v>
      </c>
      <c r="CB14" s="26">
        <f t="shared" si="70"/>
        <v>1.1828130758121973</v>
      </c>
      <c r="CC14" s="26">
        <f t="shared" si="65"/>
        <v>388318.28185190196</v>
      </c>
      <c r="CD14" s="26">
        <f t="shared" si="12"/>
        <v>1.1123843732600285</v>
      </c>
      <c r="CE14" s="26">
        <f t="shared" si="70"/>
        <v>1.1423210594905553</v>
      </c>
      <c r="CF14" s="26">
        <f t="shared" si="13"/>
        <v>373371.10316048079</v>
      </c>
      <c r="CG14" s="26">
        <f t="shared" si="14"/>
        <v>1.1148077054049423</v>
      </c>
      <c r="CH14" s="26">
        <f t="shared" si="71"/>
        <v>1.1821145212080242</v>
      </c>
      <c r="CI14" s="26">
        <f t="shared" si="15"/>
        <v>372876.63342735817</v>
      </c>
      <c r="CJ14" s="26">
        <f t="shared" si="16"/>
        <v>1.1756776387683625</v>
      </c>
      <c r="CK14" s="26">
        <f t="shared" si="72"/>
        <v>1.1872058934108285</v>
      </c>
      <c r="CL14" s="26">
        <f t="shared" si="17"/>
        <v>394586.92218260368</v>
      </c>
      <c r="CM14" s="26">
        <f t="shared" si="66"/>
        <v>1.1219670489636093</v>
      </c>
      <c r="CN14" s="26">
        <f t="shared" si="73"/>
        <v>1.1455631551056922</v>
      </c>
      <c r="CO14" s="26">
        <f t="shared" si="18"/>
        <v>375290.11420925206</v>
      </c>
      <c r="CP14" s="26">
        <f t="shared" si="67"/>
        <v>1.5852584077833853E-2</v>
      </c>
      <c r="CQ14" s="26">
        <f t="shared" si="19"/>
        <v>1.123572026676279</v>
      </c>
      <c r="CR14" s="26">
        <f t="shared" si="74"/>
        <v>1.1608081795212972</v>
      </c>
      <c r="CS14" s="26">
        <f t="shared" si="20"/>
        <v>375985.63013848697</v>
      </c>
      <c r="CT14" s="26">
        <f t="shared" si="21"/>
        <v>375766.49833789963</v>
      </c>
      <c r="CU14" s="26">
        <f t="shared" si="22"/>
        <v>1.1219670489636093</v>
      </c>
      <c r="CV14" s="26">
        <f t="shared" si="75"/>
        <v>1.1455631551056922</v>
      </c>
      <c r="CW14" s="26">
        <f t="shared" si="23"/>
        <v>373952.52889663033</v>
      </c>
      <c r="CX14" s="26">
        <f t="shared" si="24"/>
        <v>1.1123843732600285</v>
      </c>
      <c r="CY14" s="26">
        <f t="shared" si="69"/>
        <v>1.1423210594905553</v>
      </c>
      <c r="CZ14" s="26">
        <f t="shared" si="68"/>
        <v>373371.10316048079</v>
      </c>
      <c r="DA14" s="50" t="s">
        <v>107</v>
      </c>
      <c r="DB14" s="62">
        <v>0.4964302069574828</v>
      </c>
      <c r="DD14" s="26">
        <f>SQRT(DB14)</f>
        <v>0.70457803468280422</v>
      </c>
      <c r="DN14" s="50" t="s">
        <v>107</v>
      </c>
      <c r="DO14" s="50">
        <v>0.43633987617110681</v>
      </c>
      <c r="DZ14" s="103" t="s">
        <v>108</v>
      </c>
      <c r="EA14" s="103">
        <v>66</v>
      </c>
      <c r="EJ14" s="26" t="s">
        <v>109</v>
      </c>
      <c r="EU14" s="26" t="s">
        <v>109</v>
      </c>
      <c r="FF14" s="26" t="s">
        <v>109</v>
      </c>
      <c r="FP14" s="26" t="s">
        <v>109</v>
      </c>
      <c r="FZ14" s="26" t="s">
        <v>109</v>
      </c>
      <c r="GJ14" s="26" t="s">
        <v>109</v>
      </c>
      <c r="GT14" s="48"/>
      <c r="GU14" s="48" t="s">
        <v>113</v>
      </c>
      <c r="GV14" s="48" t="s">
        <v>114</v>
      </c>
      <c r="GW14" s="48" t="s">
        <v>115</v>
      </c>
      <c r="GX14" s="48" t="s">
        <v>116</v>
      </c>
      <c r="GY14" s="48" t="s">
        <v>117</v>
      </c>
      <c r="GZ14"/>
      <c r="HA14"/>
      <c r="HB14"/>
      <c r="HD14" s="48"/>
      <c r="HE14" s="48" t="s">
        <v>113</v>
      </c>
      <c r="HF14" s="48" t="s">
        <v>114</v>
      </c>
      <c r="HG14" s="48" t="s">
        <v>115</v>
      </c>
      <c r="HH14" s="48" t="s">
        <v>116</v>
      </c>
      <c r="HI14" s="48" t="s">
        <v>117</v>
      </c>
      <c r="HJ14"/>
      <c r="HK14"/>
      <c r="HL14"/>
    </row>
    <row r="15" spans="1:220" s="26" customFormat="1" ht="12.75" customHeight="1" thickBot="1" x14ac:dyDescent="0.4">
      <c r="A15" s="26" t="s">
        <v>52</v>
      </c>
      <c r="B15" s="26">
        <v>1963</v>
      </c>
      <c r="C15" s="26">
        <f>'Orig data'!G17</f>
        <v>192245</v>
      </c>
      <c r="D15" s="26">
        <f>'Orig data'!Q17</f>
        <v>339884</v>
      </c>
      <c r="E15" s="26">
        <f>'Orig data'!W17</f>
        <v>443223.01796618348</v>
      </c>
      <c r="F15" s="26">
        <f t="shared" si="25"/>
        <v>192.245</v>
      </c>
      <c r="G15" s="26">
        <f t="shared" si="26"/>
        <v>443.22301796618348</v>
      </c>
      <c r="H15" s="26">
        <f t="shared" si="27"/>
        <v>0.83530246968352773</v>
      </c>
      <c r="I15" s="26">
        <f t="shared" si="28"/>
        <v>147639</v>
      </c>
      <c r="J15" s="26">
        <f t="shared" si="29"/>
        <v>0.43438055336526582</v>
      </c>
      <c r="K15" s="26">
        <f t="shared" si="30"/>
        <v>1963</v>
      </c>
      <c r="L15" s="26">
        <f>covariates!R23</f>
        <v>192245</v>
      </c>
      <c r="M15" s="26">
        <f t="shared" si="31"/>
        <v>-0.7415233194673132</v>
      </c>
      <c r="N15" s="26">
        <f t="shared" si="32"/>
        <v>0.22075428556945287</v>
      </c>
      <c r="O15" s="26">
        <f t="shared" si="33"/>
        <v>0.53238587626396305</v>
      </c>
      <c r="P15" s="26">
        <f t="shared" si="34"/>
        <v>192245</v>
      </c>
      <c r="Q15" s="26">
        <f t="shared" si="35"/>
        <v>-0.76057812645171086</v>
      </c>
      <c r="R15" s="26">
        <f t="shared" si="36"/>
        <v>0.22075428556945287</v>
      </c>
      <c r="S15" s="26">
        <f t="shared" si="37"/>
        <v>0.53238587626396305</v>
      </c>
      <c r="T15" s="26">
        <f t="shared" si="38"/>
        <v>192245</v>
      </c>
      <c r="U15" s="26">
        <f t="shared" si="39"/>
        <v>0.49333066915708146</v>
      </c>
      <c r="V15" s="26">
        <f t="shared" si="40"/>
        <v>0.53238587626396305</v>
      </c>
      <c r="W15" s="26">
        <f t="shared" si="41"/>
        <v>-0.7415233194673132</v>
      </c>
      <c r="X15" s="26">
        <f t="shared" si="42"/>
        <v>192245</v>
      </c>
      <c r="Y15" s="26">
        <f t="shared" si="43"/>
        <v>-0.51601722469565936</v>
      </c>
      <c r="Z15" s="105">
        <f t="shared" si="44"/>
        <v>0.53238587626396305</v>
      </c>
      <c r="AA15" s="105">
        <f t="shared" si="45"/>
        <v>-0.7415233194673132</v>
      </c>
      <c r="AB15" s="105">
        <f t="shared" si="46"/>
        <v>192245</v>
      </c>
      <c r="AC15" s="159">
        <f t="shared" si="47"/>
        <v>-6.0290395923992553E-2</v>
      </c>
      <c r="AD15" s="105">
        <f t="shared" si="48"/>
        <v>0.53238587626396305</v>
      </c>
      <c r="AE15" s="105">
        <f t="shared" si="49"/>
        <v>-0.7415233194673132</v>
      </c>
      <c r="AF15" s="105">
        <f t="shared" si="50"/>
        <v>192245</v>
      </c>
      <c r="AG15" s="105">
        <f>covariates!X23</f>
        <v>-6.0290395923992553E-2</v>
      </c>
      <c r="AH15" s="105">
        <f t="shared" si="51"/>
        <v>0.53238587626396305</v>
      </c>
      <c r="AI15" s="159">
        <f t="shared" si="52"/>
        <v>0.22075428556945287</v>
      </c>
      <c r="AJ15" s="105">
        <f t="shared" si="53"/>
        <v>-0.7415233194673132</v>
      </c>
      <c r="AK15" s="105"/>
      <c r="AL15" s="105"/>
      <c r="AM15" s="105"/>
      <c r="AN15" s="105"/>
      <c r="AO15" s="105"/>
      <c r="AP15" s="105">
        <f t="shared" si="54"/>
        <v>192245</v>
      </c>
      <c r="AQ15" s="105">
        <f>covariates!T23</f>
        <v>-0.51601722469565936</v>
      </c>
      <c r="AR15" s="105">
        <f t="shared" si="55"/>
        <v>0.53238587626396305</v>
      </c>
      <c r="AS15" s="105">
        <f t="shared" si="56"/>
        <v>0.22075428556945287</v>
      </c>
      <c r="AT15" s="26">
        <f t="shared" si="57"/>
        <v>-0.7415233194673132</v>
      </c>
      <c r="AU15" s="26">
        <f t="shared" si="58"/>
        <v>192245</v>
      </c>
      <c r="AV15" s="26">
        <f t="shared" si="59"/>
        <v>-6.0290395923992553E-2</v>
      </c>
      <c r="AW15" s="26">
        <f t="shared" si="60"/>
        <v>0.53238587626396305</v>
      </c>
      <c r="AX15" s="26">
        <f t="shared" si="61"/>
        <v>0.22075428556945287</v>
      </c>
      <c r="AY15" s="26">
        <f t="shared" si="62"/>
        <v>-0.7415233194673132</v>
      </c>
      <c r="AZ15" s="26">
        <f t="shared" si="63"/>
        <v>-0.76057812645171086</v>
      </c>
      <c r="BA15" s="61">
        <v>1963</v>
      </c>
      <c r="BB15" s="164">
        <f t="shared" si="4"/>
        <v>192245</v>
      </c>
      <c r="BC15" s="105">
        <f t="shared" si="5"/>
        <v>-6.0290395923992553E-2</v>
      </c>
      <c r="BD15" s="105">
        <f t="shared" si="6"/>
        <v>0.53238587626396305</v>
      </c>
      <c r="BE15" s="105">
        <f t="shared" si="7"/>
        <v>0.22075428556945287</v>
      </c>
      <c r="BF15" s="105">
        <f t="shared" si="8"/>
        <v>-0.7415233194673132</v>
      </c>
      <c r="BG15">
        <v>180</v>
      </c>
      <c r="BR15" s="26">
        <f>covariates!V23</f>
        <v>-0.7415233194673132</v>
      </c>
      <c r="BS15" s="26">
        <f>covariates!W23</f>
        <v>0.49333066915708146</v>
      </c>
      <c r="BT15" s="26">
        <f>covariates!Y23</f>
        <v>0.22075428556945287</v>
      </c>
      <c r="BU15" s="26">
        <f>covariates!U23</f>
        <v>0.53238587626396305</v>
      </c>
      <c r="BV15" s="26">
        <f>covariates!AA23</f>
        <v>-0.76057812645171086</v>
      </c>
      <c r="BW15" s="26">
        <f t="shared" si="2"/>
        <v>0.83530246968352773</v>
      </c>
      <c r="BX15" s="26">
        <f t="shared" si="9"/>
        <v>-0.7415233194673132</v>
      </c>
      <c r="BY15" s="26">
        <f t="shared" si="10"/>
        <v>-0.76057812645171086</v>
      </c>
      <c r="BZ15" s="26">
        <f t="shared" si="11"/>
        <v>1963</v>
      </c>
      <c r="CA15" s="26">
        <f t="shared" si="64"/>
        <v>1.2661507374387233</v>
      </c>
      <c r="CB15" s="26">
        <f t="shared" si="70"/>
        <v>1.1981023827880823</v>
      </c>
      <c r="CC15" s="26">
        <f t="shared" si="65"/>
        <v>617793.91348135634</v>
      </c>
      <c r="CD15" s="26">
        <f t="shared" si="12"/>
        <v>1.2253032491055773</v>
      </c>
      <c r="CE15" s="26">
        <f t="shared" si="70"/>
        <v>1.1534571004752845</v>
      </c>
      <c r="CF15" s="26">
        <f t="shared" si="13"/>
        <v>599117.68752366072</v>
      </c>
      <c r="CG15" s="26">
        <f t="shared" si="14"/>
        <v>1.2763122187114977</v>
      </c>
      <c r="CH15" s="26">
        <f t="shared" si="71"/>
        <v>1.1914951012433035</v>
      </c>
      <c r="CI15" s="26">
        <f t="shared" si="15"/>
        <v>626995.15972852637</v>
      </c>
      <c r="CJ15" s="26">
        <f t="shared" si="16"/>
        <v>1.2667038738348004</v>
      </c>
      <c r="CK15" s="26">
        <f t="shared" si="72"/>
        <v>1.201864807519146</v>
      </c>
      <c r="CL15" s="26">
        <f t="shared" si="17"/>
        <v>617093.96537355718</v>
      </c>
      <c r="CM15" s="26">
        <f t="shared" si="66"/>
        <v>1.2293016980248599</v>
      </c>
      <c r="CN15" s="26">
        <f t="shared" si="73"/>
        <v>1.1532512588382569</v>
      </c>
      <c r="CO15" s="26">
        <f t="shared" si="18"/>
        <v>597577.96356843982</v>
      </c>
      <c r="CP15" s="26">
        <f t="shared" si="67"/>
        <v>-0.29881168832450555</v>
      </c>
      <c r="CQ15" s="26">
        <f t="shared" si="19"/>
        <v>1.2453545231330101</v>
      </c>
      <c r="CR15" s="26">
        <f t="shared" si="74"/>
        <v>1.1557125603994918</v>
      </c>
      <c r="CS15" s="26">
        <f t="shared" si="20"/>
        <v>607469.0532594074</v>
      </c>
      <c r="CT15" s="26">
        <f t="shared" si="21"/>
        <v>533257.51806853781</v>
      </c>
      <c r="CU15" s="26">
        <f t="shared" si="22"/>
        <v>1.2293016980248599</v>
      </c>
      <c r="CV15" s="26">
        <f t="shared" si="75"/>
        <v>1.1532512588382569</v>
      </c>
      <c r="CW15" s="26">
        <f t="shared" si="23"/>
        <v>594439.61038626812</v>
      </c>
      <c r="CX15" s="26">
        <f t="shared" si="24"/>
        <v>1.2253032491055773</v>
      </c>
      <c r="CY15" s="26">
        <f t="shared" si="69"/>
        <v>1.1534571004752845</v>
      </c>
      <c r="CZ15" s="26">
        <f t="shared" si="68"/>
        <v>599117.68752366072</v>
      </c>
      <c r="DA15" s="103" t="s">
        <v>108</v>
      </c>
      <c r="DB15" s="103">
        <v>66</v>
      </c>
      <c r="DN15" s="103" t="s">
        <v>108</v>
      </c>
      <c r="DO15" s="103">
        <v>66</v>
      </c>
      <c r="EJ15" s="161"/>
      <c r="EK15" s="161" t="s">
        <v>113</v>
      </c>
      <c r="EL15" s="161" t="s">
        <v>114</v>
      </c>
      <c r="EM15" s="161" t="s">
        <v>115</v>
      </c>
      <c r="EN15" s="161" t="s">
        <v>116</v>
      </c>
      <c r="EO15" s="161" t="s">
        <v>117</v>
      </c>
      <c r="EU15" s="161"/>
      <c r="EV15" s="161" t="s">
        <v>113</v>
      </c>
      <c r="EW15" s="161" t="s">
        <v>114</v>
      </c>
      <c r="EX15" s="161" t="s">
        <v>115</v>
      </c>
      <c r="EY15" s="161" t="s">
        <v>116</v>
      </c>
      <c r="EZ15" s="161" t="s">
        <v>117</v>
      </c>
      <c r="FF15" s="161"/>
      <c r="FG15" s="161" t="s">
        <v>113</v>
      </c>
      <c r="FH15" s="161" t="s">
        <v>114</v>
      </c>
      <c r="FI15" s="161" t="s">
        <v>115</v>
      </c>
      <c r="FJ15" s="161" t="s">
        <v>116</v>
      </c>
      <c r="FK15" s="161" t="s">
        <v>117</v>
      </c>
      <c r="FP15" s="161"/>
      <c r="FQ15" s="161" t="s">
        <v>113</v>
      </c>
      <c r="FR15" s="161" t="s">
        <v>114</v>
      </c>
      <c r="FS15" s="161" t="s">
        <v>115</v>
      </c>
      <c r="FT15" s="161" t="s">
        <v>116</v>
      </c>
      <c r="FU15" s="161" t="s">
        <v>117</v>
      </c>
      <c r="FZ15" s="161"/>
      <c r="GA15" s="161" t="s">
        <v>113</v>
      </c>
      <c r="GB15" s="161" t="s">
        <v>114</v>
      </c>
      <c r="GC15" s="161" t="s">
        <v>115</v>
      </c>
      <c r="GD15" s="161" t="s">
        <v>116</v>
      </c>
      <c r="GE15" s="161" t="s">
        <v>117</v>
      </c>
      <c r="GJ15" s="161"/>
      <c r="GK15" s="161" t="s">
        <v>113</v>
      </c>
      <c r="GL15" s="161" t="s">
        <v>114</v>
      </c>
      <c r="GM15" s="161" t="s">
        <v>115</v>
      </c>
      <c r="GN15" s="161" t="s">
        <v>116</v>
      </c>
      <c r="GO15" s="161" t="s">
        <v>117</v>
      </c>
      <c r="GT15" s="46" t="s">
        <v>110</v>
      </c>
      <c r="GU15" s="46">
        <v>6</v>
      </c>
      <c r="GV15" s="46">
        <v>21.108729140108807</v>
      </c>
      <c r="GW15" s="46">
        <v>3.5181215233514678</v>
      </c>
      <c r="GX15" s="46">
        <v>19.461303234904644</v>
      </c>
      <c r="GY15" s="46">
        <v>2.2654298520178957E-12</v>
      </c>
      <c r="GZ15"/>
      <c r="HA15"/>
      <c r="HB15"/>
      <c r="HD15" s="46" t="s">
        <v>110</v>
      </c>
      <c r="HE15" s="46">
        <v>6</v>
      </c>
      <c r="HF15" s="46">
        <v>14.27233630690931</v>
      </c>
      <c r="HG15" s="46">
        <v>2.3787227178182184</v>
      </c>
      <c r="HH15" s="46">
        <v>18.166719936174452</v>
      </c>
      <c r="HI15" s="46">
        <v>1.9019331369264911E-9</v>
      </c>
      <c r="HJ15"/>
      <c r="HK15"/>
      <c r="HL15"/>
    </row>
    <row r="16" spans="1:220" s="26" customFormat="1" ht="12.75" customHeight="1" thickBot="1" x14ac:dyDescent="0.4">
      <c r="A16" s="26" t="s">
        <v>52</v>
      </c>
      <c r="B16" s="26">
        <v>1964</v>
      </c>
      <c r="C16" s="26">
        <f>'Orig data'!G18</f>
        <v>246741</v>
      </c>
      <c r="D16" s="26">
        <f>'Orig data'!Q18</f>
        <v>371556</v>
      </c>
      <c r="E16" s="26">
        <f>'Orig data'!W18</f>
        <v>987701.82797867933</v>
      </c>
      <c r="F16" s="26">
        <f t="shared" si="25"/>
        <v>246.74100000000001</v>
      </c>
      <c r="G16" s="26">
        <f t="shared" si="26"/>
        <v>987.70182797867938</v>
      </c>
      <c r="H16" s="26">
        <f t="shared" si="27"/>
        <v>1.3870416551709261</v>
      </c>
      <c r="I16" s="26">
        <f t="shared" si="28"/>
        <v>124815</v>
      </c>
      <c r="J16" s="26">
        <f t="shared" si="29"/>
        <v>0.33592513645318606</v>
      </c>
      <c r="K16" s="26">
        <f t="shared" si="30"/>
        <v>1964</v>
      </c>
      <c r="L16" s="26">
        <f>covariates!R24</f>
        <v>246741</v>
      </c>
      <c r="M16" s="26">
        <f t="shared" si="31"/>
        <v>-0.7600731398940781</v>
      </c>
      <c r="N16" s="26">
        <f t="shared" si="32"/>
        <v>-0.36527891411941549</v>
      </c>
      <c r="O16" s="26">
        <f t="shared" si="33"/>
        <v>-0.77723845226722044</v>
      </c>
      <c r="P16" s="26">
        <f t="shared" si="34"/>
        <v>246741</v>
      </c>
      <c r="Q16" s="26">
        <f t="shared" si="35"/>
        <v>-0.76057812645171086</v>
      </c>
      <c r="R16" s="26">
        <f t="shared" si="36"/>
        <v>-0.36527891411941549</v>
      </c>
      <c r="S16" s="26">
        <f t="shared" si="37"/>
        <v>-0.77723845226722044</v>
      </c>
      <c r="T16" s="26">
        <f t="shared" si="38"/>
        <v>246741</v>
      </c>
      <c r="U16" s="26">
        <f t="shared" si="39"/>
        <v>2.2873874054561309E-2</v>
      </c>
      <c r="V16" s="26">
        <f t="shared" si="40"/>
        <v>-0.77723845226722044</v>
      </c>
      <c r="W16" s="26">
        <f t="shared" si="41"/>
        <v>-0.7600731398940781</v>
      </c>
      <c r="X16" s="26">
        <f t="shared" si="42"/>
        <v>246741</v>
      </c>
      <c r="Y16" s="26">
        <f t="shared" si="43"/>
        <v>-0.63079077051652921</v>
      </c>
      <c r="Z16" s="105">
        <f t="shared" si="44"/>
        <v>-0.77723845226722044</v>
      </c>
      <c r="AA16" s="105">
        <f t="shared" si="45"/>
        <v>-0.7600731398940781</v>
      </c>
      <c r="AB16" s="105">
        <f t="shared" si="46"/>
        <v>246741</v>
      </c>
      <c r="AC16" s="159">
        <f t="shared" si="47"/>
        <v>-0.19486840546877593</v>
      </c>
      <c r="AD16" s="105">
        <f t="shared" si="48"/>
        <v>-0.77723845226722044</v>
      </c>
      <c r="AE16" s="105">
        <f t="shared" si="49"/>
        <v>-0.7600731398940781</v>
      </c>
      <c r="AF16" s="105">
        <f t="shared" si="50"/>
        <v>246741</v>
      </c>
      <c r="AG16" s="105">
        <f>covariates!X24</f>
        <v>-0.19486840546877593</v>
      </c>
      <c r="AH16" s="105">
        <f t="shared" si="51"/>
        <v>-0.77723845226722044</v>
      </c>
      <c r="AI16" s="159">
        <f t="shared" si="52"/>
        <v>-0.36527891411941549</v>
      </c>
      <c r="AJ16" s="105">
        <f t="shared" si="53"/>
        <v>-0.7600731398940781</v>
      </c>
      <c r="AK16" s="105"/>
      <c r="AL16" s="105"/>
      <c r="AM16" s="105"/>
      <c r="AN16" s="105"/>
      <c r="AO16" s="105"/>
      <c r="AP16" s="105">
        <f t="shared" si="54"/>
        <v>246741</v>
      </c>
      <c r="AQ16" s="105">
        <f>covariates!T24</f>
        <v>-0.63079077051652921</v>
      </c>
      <c r="AR16" s="105">
        <f t="shared" si="55"/>
        <v>-0.77723845226722044</v>
      </c>
      <c r="AS16" s="105">
        <f t="shared" si="56"/>
        <v>-0.36527891411941549</v>
      </c>
      <c r="AT16" s="26">
        <f t="shared" si="57"/>
        <v>-0.7600731398940781</v>
      </c>
      <c r="AU16" s="26">
        <f t="shared" si="58"/>
        <v>246741</v>
      </c>
      <c r="AV16" s="26">
        <f t="shared" si="59"/>
        <v>-0.19486840546877593</v>
      </c>
      <c r="AW16" s="26">
        <f t="shared" si="60"/>
        <v>-0.77723845226722044</v>
      </c>
      <c r="AX16" s="26">
        <f t="shared" si="61"/>
        <v>-0.36527891411941549</v>
      </c>
      <c r="AY16" s="26">
        <f t="shared" si="62"/>
        <v>-0.7600731398940781</v>
      </c>
      <c r="AZ16" s="26">
        <f t="shared" si="63"/>
        <v>-0.76057812645171086</v>
      </c>
      <c r="BA16" s="61">
        <v>1964</v>
      </c>
      <c r="BB16" s="164">
        <f t="shared" si="4"/>
        <v>246741</v>
      </c>
      <c r="BC16" s="105">
        <f t="shared" si="5"/>
        <v>-0.19486840546877593</v>
      </c>
      <c r="BD16" s="105">
        <f t="shared" si="6"/>
        <v>-0.77723845226722044</v>
      </c>
      <c r="BE16" s="105">
        <f t="shared" si="7"/>
        <v>-0.36527891411941549</v>
      </c>
      <c r="BF16" s="105">
        <f t="shared" si="8"/>
        <v>-0.7600731398940781</v>
      </c>
      <c r="BG16">
        <v>180</v>
      </c>
      <c r="BR16" s="26">
        <f>covariates!V24</f>
        <v>-0.7600731398940781</v>
      </c>
      <c r="BS16" s="26">
        <f>covariates!W24</f>
        <v>2.2873874054561309E-2</v>
      </c>
      <c r="BT16" s="26">
        <f>covariates!Y24</f>
        <v>-0.36527891411941549</v>
      </c>
      <c r="BU16" s="26">
        <f>covariates!U24</f>
        <v>-0.77723845226722044</v>
      </c>
      <c r="BV16" s="26">
        <f>covariates!AA24</f>
        <v>-0.76057812645171086</v>
      </c>
      <c r="BW16" s="26">
        <f t="shared" si="2"/>
        <v>1.3870416551709261</v>
      </c>
      <c r="BX16" s="26">
        <f t="shared" si="9"/>
        <v>-0.7600731398940781</v>
      </c>
      <c r="BY16" s="26">
        <f t="shared" si="10"/>
        <v>-0.76057812645171086</v>
      </c>
      <c r="BZ16" s="26">
        <f t="shared" si="11"/>
        <v>1964</v>
      </c>
      <c r="CA16" s="26">
        <f t="shared" si="64"/>
        <v>1.1866170217759624</v>
      </c>
      <c r="CB16" s="26">
        <f t="shared" si="70"/>
        <v>1.2058481159896537</v>
      </c>
      <c r="CC16" s="26">
        <f t="shared" si="65"/>
        <v>712081.47987701802</v>
      </c>
      <c r="CD16" s="26">
        <f t="shared" si="12"/>
        <v>1.1284056130171438</v>
      </c>
      <c r="CE16" s="26">
        <f t="shared" si="70"/>
        <v>1.1564954998810435</v>
      </c>
      <c r="CF16" s="26">
        <f t="shared" si="13"/>
        <v>680623.2730856546</v>
      </c>
      <c r="CG16" s="26">
        <f t="shared" si="14"/>
        <v>1.1603826595806161</v>
      </c>
      <c r="CH16" s="26">
        <f t="shared" si="71"/>
        <v>1.1897143217466124</v>
      </c>
      <c r="CI16" s="26">
        <f t="shared" si="15"/>
        <v>697770.82235015614</v>
      </c>
      <c r="CJ16" s="26">
        <f t="shared" si="16"/>
        <v>1.1846260954950474</v>
      </c>
      <c r="CK16" s="26">
        <f t="shared" si="72"/>
        <v>1.2099168066575379</v>
      </c>
      <c r="CL16" s="26">
        <f t="shared" si="17"/>
        <v>709128.32873900537</v>
      </c>
      <c r="CM16" s="26">
        <f t="shared" si="66"/>
        <v>1.1486527888524127</v>
      </c>
      <c r="CN16" s="26">
        <f t="shared" si="73"/>
        <v>1.15641323775975</v>
      </c>
      <c r="CO16" s="26">
        <f t="shared" si="18"/>
        <v>688710.82946739777</v>
      </c>
      <c r="CP16" s="26">
        <f t="shared" si="67"/>
        <v>0.36055937172199393</v>
      </c>
      <c r="CQ16" s="26">
        <f t="shared" si="19"/>
        <v>1.0950958773802915</v>
      </c>
      <c r="CR16" s="26">
        <f t="shared" si="74"/>
        <v>1.1445637177426489</v>
      </c>
      <c r="CS16" s="26">
        <f t="shared" si="20"/>
        <v>653100.68723030097</v>
      </c>
      <c r="CT16" s="26">
        <f t="shared" si="21"/>
        <v>661631.80331721168</v>
      </c>
      <c r="CU16" s="26">
        <f t="shared" si="22"/>
        <v>1.1486527888524127</v>
      </c>
      <c r="CV16" s="26">
        <f t="shared" si="75"/>
        <v>1.15641323775975</v>
      </c>
      <c r="CW16" s="26">
        <f t="shared" si="23"/>
        <v>684072.01908714918</v>
      </c>
      <c r="CX16" s="26">
        <f t="shared" si="24"/>
        <v>1.1284056130171438</v>
      </c>
      <c r="CY16" s="26">
        <f t="shared" si="69"/>
        <v>1.1564954998810435</v>
      </c>
      <c r="CZ16" s="26">
        <f t="shared" si="68"/>
        <v>680623.2730856546</v>
      </c>
      <c r="DZ16" s="26" t="s">
        <v>109</v>
      </c>
      <c r="EJ16" s="50" t="s">
        <v>110</v>
      </c>
      <c r="EK16" s="50">
        <v>4</v>
      </c>
      <c r="EL16" s="50">
        <v>19.40566656852225</v>
      </c>
      <c r="EM16" s="50">
        <v>4.8514166421305625</v>
      </c>
      <c r="EN16" s="50">
        <v>23.92603899514809</v>
      </c>
      <c r="EO16" s="50">
        <v>6.2440307710831775E-12</v>
      </c>
      <c r="EU16" s="50" t="s">
        <v>110</v>
      </c>
      <c r="EV16" s="50">
        <v>4</v>
      </c>
      <c r="EW16" s="50">
        <v>19.63867770334209</v>
      </c>
      <c r="EX16" s="50">
        <v>4.9096694258355225</v>
      </c>
      <c r="EY16" s="50">
        <v>24.678231757351497</v>
      </c>
      <c r="EZ16" s="50">
        <v>3.5356534410749936E-12</v>
      </c>
      <c r="FF16" s="50" t="s">
        <v>110</v>
      </c>
      <c r="FG16" s="50">
        <v>5</v>
      </c>
      <c r="FH16" s="50">
        <v>20.179814787265972</v>
      </c>
      <c r="FI16" s="50">
        <v>4.0359629574531946</v>
      </c>
      <c r="FJ16" s="50">
        <v>20.885297896394679</v>
      </c>
      <c r="FK16" s="50">
        <v>5.0148766638343556E-12</v>
      </c>
      <c r="FP16" s="50" t="s">
        <v>110</v>
      </c>
      <c r="FQ16" s="50">
        <v>5</v>
      </c>
      <c r="FR16" s="50">
        <v>20.676300031217473</v>
      </c>
      <c r="FS16" s="50">
        <v>4.1352600062434943</v>
      </c>
      <c r="FT16" s="50">
        <v>22.356447533143683</v>
      </c>
      <c r="FU16" s="50">
        <v>1.3967310398400585E-12</v>
      </c>
      <c r="FZ16" s="50" t="s">
        <v>110</v>
      </c>
      <c r="GA16" s="50">
        <v>4</v>
      </c>
      <c r="GB16" s="50">
        <v>19.958989303641175</v>
      </c>
      <c r="GC16" s="50">
        <v>4.9897473259102938</v>
      </c>
      <c r="GD16" s="50">
        <v>25.760665791686076</v>
      </c>
      <c r="GE16" s="50">
        <v>1.5879400632710586E-12</v>
      </c>
      <c r="GJ16" s="50" t="s">
        <v>110</v>
      </c>
      <c r="GK16" s="50">
        <v>6</v>
      </c>
      <c r="GL16" s="50">
        <v>20.881309705994489</v>
      </c>
      <c r="GM16" s="50">
        <v>3.4802182843324148</v>
      </c>
      <c r="GN16" s="50">
        <v>18.849711100472742</v>
      </c>
      <c r="GO16" s="50">
        <v>4.1353539564479306E-12</v>
      </c>
      <c r="GT16" s="46" t="s">
        <v>111</v>
      </c>
      <c r="GU16" s="46">
        <v>59</v>
      </c>
      <c r="GV16" s="46">
        <v>10.665738433459728</v>
      </c>
      <c r="GW16" s="46">
        <v>0.1807752276857581</v>
      </c>
      <c r="GX16" s="46"/>
      <c r="GY16" s="46"/>
      <c r="GZ16"/>
      <c r="HA16"/>
      <c r="HB16"/>
      <c r="HD16" s="46" t="s">
        <v>111</v>
      </c>
      <c r="HE16" s="46">
        <v>35</v>
      </c>
      <c r="HF16" s="46">
        <v>4.5828468439068999</v>
      </c>
      <c r="HG16" s="46">
        <v>0.13093848125448285</v>
      </c>
      <c r="HH16" s="46"/>
      <c r="HI16" s="46"/>
      <c r="HJ16"/>
      <c r="HK16"/>
      <c r="HL16"/>
    </row>
    <row r="17" spans="1:220" s="26" customFormat="1" ht="12.75" customHeight="1" thickBot="1" x14ac:dyDescent="0.4">
      <c r="A17" s="26" t="s">
        <v>52</v>
      </c>
      <c r="B17" s="26">
        <v>1965</v>
      </c>
      <c r="C17" s="26">
        <f>'Orig data'!G19</f>
        <v>129459</v>
      </c>
      <c r="D17" s="26">
        <f>'Orig data'!Q19</f>
        <v>170472</v>
      </c>
      <c r="E17" s="26">
        <f>'Orig data'!W19</f>
        <v>661146.40932591667</v>
      </c>
      <c r="F17" s="26">
        <f t="shared" si="25"/>
        <v>129.459</v>
      </c>
      <c r="G17" s="26">
        <f t="shared" si="26"/>
        <v>661.14640932591669</v>
      </c>
      <c r="H17" s="26">
        <f t="shared" si="27"/>
        <v>1.6306110833419334</v>
      </c>
      <c r="I17" s="26">
        <f t="shared" si="28"/>
        <v>41013</v>
      </c>
      <c r="J17" s="26">
        <f t="shared" si="29"/>
        <v>0.2405849640996762</v>
      </c>
      <c r="K17" s="26">
        <f t="shared" si="30"/>
        <v>1965</v>
      </c>
      <c r="L17" s="26">
        <f>covariates!R25</f>
        <v>129459</v>
      </c>
      <c r="M17" s="26">
        <f t="shared" si="31"/>
        <v>-0.77859612886262075</v>
      </c>
      <c r="N17" s="26">
        <f t="shared" si="32"/>
        <v>-2.2387148344013872E-2</v>
      </c>
      <c r="O17" s="26">
        <f t="shared" si="33"/>
        <v>-0.82665823824952933</v>
      </c>
      <c r="P17" s="26">
        <f t="shared" si="34"/>
        <v>129459</v>
      </c>
      <c r="Q17" s="26">
        <f t="shared" si="35"/>
        <v>-0.76057812645171086</v>
      </c>
      <c r="R17" s="26">
        <f t="shared" si="36"/>
        <v>-2.2387148344013872E-2</v>
      </c>
      <c r="S17" s="26">
        <f t="shared" si="37"/>
        <v>-0.82665823824952933</v>
      </c>
      <c r="T17" s="26">
        <f t="shared" si="38"/>
        <v>129459</v>
      </c>
      <c r="U17" s="26">
        <f t="shared" si="39"/>
        <v>-0.69640221160453175</v>
      </c>
      <c r="V17" s="26">
        <f t="shared" si="40"/>
        <v>-0.82665823824952933</v>
      </c>
      <c r="W17" s="26">
        <f t="shared" si="41"/>
        <v>-0.77859612886262075</v>
      </c>
      <c r="X17" s="26">
        <f t="shared" si="42"/>
        <v>129459</v>
      </c>
      <c r="Y17" s="26">
        <f t="shared" si="43"/>
        <v>-0.73791274661600914</v>
      </c>
      <c r="Z17" s="105">
        <f t="shared" si="44"/>
        <v>-0.82665823824952933</v>
      </c>
      <c r="AA17" s="105">
        <f t="shared" si="45"/>
        <v>-0.77859612886262075</v>
      </c>
      <c r="AB17" s="105">
        <f t="shared" si="46"/>
        <v>129459</v>
      </c>
      <c r="AC17" s="159">
        <f t="shared" si="47"/>
        <v>0.9373485616547218</v>
      </c>
      <c r="AD17" s="105">
        <f t="shared" si="48"/>
        <v>-0.82665823824952933</v>
      </c>
      <c r="AE17" s="105">
        <f t="shared" si="49"/>
        <v>-0.77859612886262075</v>
      </c>
      <c r="AF17" s="105">
        <f t="shared" si="50"/>
        <v>129459</v>
      </c>
      <c r="AG17" s="105">
        <f>covariates!X25</f>
        <v>0.9373485616547218</v>
      </c>
      <c r="AH17" s="105">
        <f t="shared" si="51"/>
        <v>-0.82665823824952933</v>
      </c>
      <c r="AI17" s="159">
        <f t="shared" si="52"/>
        <v>-2.2387148344013872E-2</v>
      </c>
      <c r="AJ17" s="105">
        <f t="shared" si="53"/>
        <v>-0.77859612886262075</v>
      </c>
      <c r="AK17" s="105"/>
      <c r="AL17" s="105"/>
      <c r="AM17" s="105"/>
      <c r="AN17" s="105"/>
      <c r="AO17" s="105"/>
      <c r="AP17" s="105">
        <f t="shared" si="54"/>
        <v>129459</v>
      </c>
      <c r="AQ17" s="105">
        <f>covariates!T25</f>
        <v>-0.73791274661600914</v>
      </c>
      <c r="AR17" s="105">
        <f t="shared" si="55"/>
        <v>-0.82665823824952933</v>
      </c>
      <c r="AS17" s="105">
        <f t="shared" si="56"/>
        <v>-2.2387148344013872E-2</v>
      </c>
      <c r="AT17" s="26">
        <f t="shared" si="57"/>
        <v>-0.77859612886262075</v>
      </c>
      <c r="AU17" s="26">
        <f t="shared" si="58"/>
        <v>129459</v>
      </c>
      <c r="AV17" s="26">
        <f t="shared" si="59"/>
        <v>0.9373485616547218</v>
      </c>
      <c r="AW17" s="26">
        <f t="shared" si="60"/>
        <v>-0.82665823824952933</v>
      </c>
      <c r="AX17" s="26">
        <f t="shared" si="61"/>
        <v>-2.2387148344013872E-2</v>
      </c>
      <c r="AY17" s="26">
        <f t="shared" si="62"/>
        <v>-0.77859612886262075</v>
      </c>
      <c r="AZ17" s="26">
        <f t="shared" si="63"/>
        <v>-0.76057812645171086</v>
      </c>
      <c r="BA17" s="61">
        <v>1965</v>
      </c>
      <c r="BB17" s="164">
        <f t="shared" si="4"/>
        <v>129459</v>
      </c>
      <c r="BC17" s="105">
        <f t="shared" si="5"/>
        <v>0.9373485616547218</v>
      </c>
      <c r="BD17" s="105">
        <f t="shared" si="6"/>
        <v>-0.82665823824952933</v>
      </c>
      <c r="BE17" s="105">
        <f t="shared" si="7"/>
        <v>-2.2387148344013872E-2</v>
      </c>
      <c r="BF17" s="105">
        <f t="shared" si="8"/>
        <v>-0.77859612886262075</v>
      </c>
      <c r="BG17">
        <v>180</v>
      </c>
      <c r="BR17" s="26">
        <f>covariates!V25</f>
        <v>-0.77859612886262075</v>
      </c>
      <c r="BS17" s="26">
        <f>covariates!W25</f>
        <v>-0.69640221160453175</v>
      </c>
      <c r="BT17" s="26">
        <f>covariates!Y25</f>
        <v>-2.2387148344013872E-2</v>
      </c>
      <c r="BU17" s="26">
        <f>covariates!U25</f>
        <v>-0.82665823824952933</v>
      </c>
      <c r="BV17" s="26">
        <f>covariates!AA25</f>
        <v>-0.76057812645171086</v>
      </c>
      <c r="BW17" s="26">
        <f t="shared" si="2"/>
        <v>1.6306110833419334</v>
      </c>
      <c r="BX17" s="26">
        <f t="shared" si="9"/>
        <v>-0.77859612886262075</v>
      </c>
      <c r="BY17" s="26">
        <f t="shared" si="10"/>
        <v>-0.76057812645171086</v>
      </c>
      <c r="BZ17" s="26">
        <f t="shared" si="11"/>
        <v>1965</v>
      </c>
      <c r="CA17" s="26">
        <f t="shared" si="64"/>
        <v>1.1471918189513866</v>
      </c>
      <c r="CB17" s="26">
        <f t="shared" si="70"/>
        <v>1.1976358812097847</v>
      </c>
      <c r="CC17" s="26">
        <f t="shared" si="65"/>
        <v>381475.30697073165</v>
      </c>
      <c r="CD17" s="26">
        <f t="shared" si="12"/>
        <v>1.0840779737393025</v>
      </c>
      <c r="CE17" s="26">
        <f t="shared" si="70"/>
        <v>1.1441472125877827</v>
      </c>
      <c r="CF17" s="26">
        <f t="shared" si="13"/>
        <v>360599.442096985</v>
      </c>
      <c r="CG17" s="26">
        <f t="shared" si="14"/>
        <v>1.1675003559078345</v>
      </c>
      <c r="CH17" s="26">
        <f t="shared" si="71"/>
        <v>1.188770198083742</v>
      </c>
      <c r="CI17" s="26">
        <f t="shared" si="15"/>
        <v>390515.40593365015</v>
      </c>
      <c r="CJ17" s="26">
        <f t="shared" si="16"/>
        <v>1.1362054921055926</v>
      </c>
      <c r="CK17" s="26">
        <f t="shared" si="72"/>
        <v>1.199646189024671</v>
      </c>
      <c r="CL17" s="26">
        <f t="shared" si="17"/>
        <v>376878.90225925093</v>
      </c>
      <c r="CM17" s="26">
        <f t="shared" si="66"/>
        <v>1.2166428226019144</v>
      </c>
      <c r="CN17" s="26">
        <f t="shared" si="73"/>
        <v>1.1394370730390513</v>
      </c>
      <c r="CO17" s="26">
        <f t="shared" si="18"/>
        <v>409897.51263470727</v>
      </c>
      <c r="CP17" s="26">
        <f t="shared" si="67"/>
        <v>0.47806815276861947</v>
      </c>
      <c r="CQ17" s="26">
        <f t="shared" si="19"/>
        <v>1.2066184612048065</v>
      </c>
      <c r="CR17" s="26">
        <f t="shared" si="74"/>
        <v>1.1296922478658242</v>
      </c>
      <c r="CS17" s="26">
        <f t="shared" si="20"/>
        <v>405908.46628801367</v>
      </c>
      <c r="CT17" s="26">
        <f t="shared" si="21"/>
        <v>373386.22561077343</v>
      </c>
      <c r="CU17" s="26">
        <f t="shared" si="22"/>
        <v>1.2166428226019144</v>
      </c>
      <c r="CV17" s="26">
        <f t="shared" si="75"/>
        <v>1.1394370730390513</v>
      </c>
      <c r="CW17" s="26">
        <f t="shared" si="23"/>
        <v>408446.62800988805</v>
      </c>
      <c r="CX17" s="26">
        <f t="shared" si="24"/>
        <v>1.0840779737393025</v>
      </c>
      <c r="CY17" s="26">
        <f t="shared" si="69"/>
        <v>1.1441472125877827</v>
      </c>
      <c r="CZ17" s="26">
        <f t="shared" si="68"/>
        <v>360599.442096985</v>
      </c>
      <c r="DA17" s="26" t="s">
        <v>109</v>
      </c>
      <c r="DN17" s="26" t="s">
        <v>109</v>
      </c>
      <c r="DZ17" s="161"/>
      <c r="EA17" s="161" t="s">
        <v>113</v>
      </c>
      <c r="EB17" s="161" t="s">
        <v>114</v>
      </c>
      <c r="EC17" s="161" t="s">
        <v>115</v>
      </c>
      <c r="ED17" s="161" t="s">
        <v>116</v>
      </c>
      <c r="EE17" s="161" t="s">
        <v>117</v>
      </c>
      <c r="EJ17" s="50" t="s">
        <v>111</v>
      </c>
      <c r="EK17" s="50">
        <v>61</v>
      </c>
      <c r="EL17" s="50">
        <v>12.368801005046285</v>
      </c>
      <c r="EM17" s="50">
        <v>0.20276722959092269</v>
      </c>
      <c r="EN17" s="50"/>
      <c r="EO17" s="50"/>
      <c r="EU17" s="50" t="s">
        <v>111</v>
      </c>
      <c r="EV17" s="50">
        <v>61</v>
      </c>
      <c r="EW17" s="50">
        <v>12.135789870226445</v>
      </c>
      <c r="EX17" s="50">
        <v>0.198947374921745</v>
      </c>
      <c r="EY17" s="50"/>
      <c r="EZ17" s="50"/>
      <c r="FF17" s="50" t="s">
        <v>111</v>
      </c>
      <c r="FG17" s="50">
        <v>60</v>
      </c>
      <c r="FH17" s="50">
        <v>11.594652786302564</v>
      </c>
      <c r="FI17" s="50">
        <v>0.19324421310504275</v>
      </c>
      <c r="FJ17" s="50"/>
      <c r="FK17" s="50"/>
      <c r="FP17" s="50" t="s">
        <v>111</v>
      </c>
      <c r="FQ17" s="50">
        <v>60</v>
      </c>
      <c r="FR17" s="50">
        <v>11.098167542351062</v>
      </c>
      <c r="FS17" s="62">
        <v>0.18496945903918435</v>
      </c>
      <c r="FT17" s="50"/>
      <c r="FU17" s="50"/>
      <c r="FZ17" s="50" t="s">
        <v>111</v>
      </c>
      <c r="GA17" s="50">
        <v>61</v>
      </c>
      <c r="GB17" s="50">
        <v>11.815478269927359</v>
      </c>
      <c r="GC17" s="62">
        <v>0.19369636508077639</v>
      </c>
      <c r="GD17" s="50"/>
      <c r="GE17" s="50"/>
      <c r="GJ17" s="50" t="s">
        <v>111</v>
      </c>
      <c r="GK17" s="50">
        <v>59</v>
      </c>
      <c r="GL17" s="50">
        <v>10.893157867574045</v>
      </c>
      <c r="GM17" s="50">
        <v>0.18462979436566179</v>
      </c>
      <c r="GN17" s="50"/>
      <c r="GO17" s="50"/>
      <c r="GT17" s="47" t="s">
        <v>9</v>
      </c>
      <c r="GU17" s="47">
        <v>65</v>
      </c>
      <c r="GV17" s="47">
        <v>31.774467573568536</v>
      </c>
      <c r="GW17" s="47"/>
      <c r="GX17" s="47"/>
      <c r="GY17" s="47"/>
      <c r="GZ17"/>
      <c r="HA17"/>
      <c r="HB17"/>
      <c r="HD17" s="47" t="s">
        <v>9</v>
      </c>
      <c r="HE17" s="47">
        <v>41</v>
      </c>
      <c r="HF17" s="47">
        <v>18.85518315081621</v>
      </c>
      <c r="HG17" s="47"/>
      <c r="HH17" s="47"/>
      <c r="HI17" s="47"/>
      <c r="HJ17"/>
      <c r="HK17"/>
      <c r="HL17"/>
    </row>
    <row r="18" spans="1:220" s="26" customFormat="1" ht="12.75" customHeight="1" thickBot="1" x14ac:dyDescent="0.4">
      <c r="A18" s="26" t="s">
        <v>52</v>
      </c>
      <c r="B18" s="26">
        <v>1966</v>
      </c>
      <c r="C18" s="26">
        <f>'Orig data'!G20</f>
        <v>360810</v>
      </c>
      <c r="D18" s="26">
        <f>'Orig data'!Q20</f>
        <v>419759</v>
      </c>
      <c r="E18" s="26">
        <f>'Orig data'!W20</f>
        <v>675103.6941361347</v>
      </c>
      <c r="F18" s="26">
        <f t="shared" si="25"/>
        <v>360.81</v>
      </c>
      <c r="G18" s="26">
        <f t="shared" si="26"/>
        <v>675.10369413613466</v>
      </c>
      <c r="H18" s="26">
        <f t="shared" si="27"/>
        <v>0.62651479602582794</v>
      </c>
      <c r="I18" s="26">
        <f t="shared" si="28"/>
        <v>58949</v>
      </c>
      <c r="J18" s="26">
        <f t="shared" si="29"/>
        <v>0.14043534504322719</v>
      </c>
      <c r="K18" s="26">
        <f t="shared" si="30"/>
        <v>1966</v>
      </c>
      <c r="L18" s="26">
        <f>covariates!R26</f>
        <v>360810</v>
      </c>
      <c r="M18" s="26">
        <f t="shared" si="31"/>
        <v>-0.79469093294657822</v>
      </c>
      <c r="N18" s="26">
        <f t="shared" si="32"/>
        <v>-0.19487209718860982</v>
      </c>
      <c r="O18" s="26">
        <f t="shared" si="33"/>
        <v>-0.75252855927606599</v>
      </c>
      <c r="P18" s="26">
        <f t="shared" si="34"/>
        <v>360810</v>
      </c>
      <c r="Q18" s="26">
        <f t="shared" si="35"/>
        <v>-0.76057812645171086</v>
      </c>
      <c r="R18" s="26">
        <f t="shared" si="36"/>
        <v>-0.19487209718860982</v>
      </c>
      <c r="S18" s="26">
        <f t="shared" si="37"/>
        <v>-0.75252855927606599</v>
      </c>
      <c r="T18" s="26">
        <f t="shared" si="38"/>
        <v>360810</v>
      </c>
      <c r="U18" s="26">
        <f t="shared" si="39"/>
        <v>-1.2391505667387155</v>
      </c>
      <c r="V18" s="26">
        <f t="shared" si="40"/>
        <v>-0.75252855927606599</v>
      </c>
      <c r="W18" s="26">
        <f t="shared" si="41"/>
        <v>-0.79469093294657822</v>
      </c>
      <c r="X18" s="26">
        <f t="shared" si="42"/>
        <v>360810</v>
      </c>
      <c r="Y18" s="26">
        <f t="shared" si="43"/>
        <v>-0.26734120875043688</v>
      </c>
      <c r="Z18" s="105">
        <f t="shared" si="44"/>
        <v>-0.75252855927606599</v>
      </c>
      <c r="AA18" s="105">
        <f t="shared" si="45"/>
        <v>-0.79469093294657822</v>
      </c>
      <c r="AB18" s="105">
        <f t="shared" si="46"/>
        <v>360810</v>
      </c>
      <c r="AC18" s="159">
        <f t="shared" si="47"/>
        <v>-0.98622252264071231</v>
      </c>
      <c r="AD18" s="105">
        <f t="shared" si="48"/>
        <v>-0.75252855927606599</v>
      </c>
      <c r="AE18" s="105">
        <f t="shared" si="49"/>
        <v>-0.79469093294657822</v>
      </c>
      <c r="AF18" s="105">
        <f t="shared" si="50"/>
        <v>360810</v>
      </c>
      <c r="AG18" s="105">
        <f>covariates!X26</f>
        <v>-0.98622252264071231</v>
      </c>
      <c r="AH18" s="105">
        <f t="shared" si="51"/>
        <v>-0.75252855927606599</v>
      </c>
      <c r="AI18" s="159">
        <f t="shared" si="52"/>
        <v>-0.19487209718860982</v>
      </c>
      <c r="AJ18" s="105">
        <f t="shared" si="53"/>
        <v>-0.79469093294657822</v>
      </c>
      <c r="AK18" s="105"/>
      <c r="AL18" s="105"/>
      <c r="AM18" s="105"/>
      <c r="AN18" s="105"/>
      <c r="AO18" s="105"/>
      <c r="AP18" s="105">
        <f t="shared" si="54"/>
        <v>360810</v>
      </c>
      <c r="AQ18" s="105">
        <f>covariates!T26</f>
        <v>-0.26734120875043688</v>
      </c>
      <c r="AR18" s="105">
        <f t="shared" si="55"/>
        <v>-0.75252855927606599</v>
      </c>
      <c r="AS18" s="105">
        <f t="shared" si="56"/>
        <v>-0.19487209718860982</v>
      </c>
      <c r="AT18" s="26">
        <f t="shared" si="57"/>
        <v>-0.79469093294657822</v>
      </c>
      <c r="AU18" s="26">
        <f t="shared" si="58"/>
        <v>360810</v>
      </c>
      <c r="AV18" s="26">
        <f t="shared" si="59"/>
        <v>-0.98622252264071231</v>
      </c>
      <c r="AW18" s="26">
        <f t="shared" si="60"/>
        <v>-0.75252855927606599</v>
      </c>
      <c r="AX18" s="26">
        <f t="shared" si="61"/>
        <v>-0.19487209718860982</v>
      </c>
      <c r="AY18" s="26">
        <f t="shared" si="62"/>
        <v>-0.79469093294657822</v>
      </c>
      <c r="AZ18" s="26">
        <f t="shared" si="63"/>
        <v>-0.76057812645171086</v>
      </c>
      <c r="BA18" s="61">
        <v>1966</v>
      </c>
      <c r="BB18" s="164">
        <f t="shared" si="4"/>
        <v>360810</v>
      </c>
      <c r="BC18" s="105">
        <f t="shared" si="5"/>
        <v>-0.98622252264071231</v>
      </c>
      <c r="BD18" s="105">
        <f t="shared" si="6"/>
        <v>-0.75252855927606599</v>
      </c>
      <c r="BE18" s="105">
        <f t="shared" si="7"/>
        <v>-0.19487209718860982</v>
      </c>
      <c r="BF18" s="105">
        <f t="shared" si="8"/>
        <v>-0.79469093294657822</v>
      </c>
      <c r="BG18">
        <v>180</v>
      </c>
      <c r="BR18" s="26">
        <f>covariates!V26</f>
        <v>-0.79469093294657822</v>
      </c>
      <c r="BS18" s="26">
        <f>covariates!W26</f>
        <v>-1.2391505667387155</v>
      </c>
      <c r="BT18" s="26">
        <f>covariates!Y26</f>
        <v>-0.19487209718860982</v>
      </c>
      <c r="BU18" s="26">
        <f>covariates!U26</f>
        <v>-0.75252855927606599</v>
      </c>
      <c r="BV18" s="26">
        <f>covariates!AA26</f>
        <v>-0.76057812645171086</v>
      </c>
      <c r="BW18" s="26">
        <f t="shared" si="2"/>
        <v>0.62651479602582794</v>
      </c>
      <c r="BX18" s="26">
        <f t="shared" si="9"/>
        <v>-0.79469093294657822</v>
      </c>
      <c r="BY18" s="26">
        <f t="shared" si="10"/>
        <v>-0.76057812645171086</v>
      </c>
      <c r="BZ18" s="26">
        <f t="shared" si="11"/>
        <v>1966</v>
      </c>
      <c r="CA18" s="26">
        <f t="shared" si="64"/>
        <v>1.1787276280585679</v>
      </c>
      <c r="CB18" s="26">
        <f t="shared" si="70"/>
        <v>1.204864767738806</v>
      </c>
      <c r="CC18" s="26">
        <f t="shared" si="65"/>
        <v>974292.90306979895</v>
      </c>
      <c r="CD18" s="26">
        <f t="shared" si="12"/>
        <v>1.1124782090261618</v>
      </c>
      <c r="CE18" s="26">
        <f t="shared" si="70"/>
        <v>1.1480185889457077</v>
      </c>
      <c r="CF18" s="26">
        <f t="shared" si="13"/>
        <v>929376.07305834885</v>
      </c>
      <c r="CG18" s="26">
        <f t="shared" si="14"/>
        <v>1.1421481501213346</v>
      </c>
      <c r="CH18" s="26">
        <f t="shared" si="71"/>
        <v>1.1907929505529773</v>
      </c>
      <c r="CI18" s="26">
        <f t="shared" si="15"/>
        <v>947482.01351896394</v>
      </c>
      <c r="CJ18" s="26">
        <f t="shared" si="16"/>
        <v>1.1846629514661258</v>
      </c>
      <c r="CK18" s="26">
        <f t="shared" si="72"/>
        <v>1.2044362185010011</v>
      </c>
      <c r="CL18" s="26">
        <f t="shared" si="17"/>
        <v>976995.02005381859</v>
      </c>
      <c r="CM18" s="26">
        <f t="shared" si="66"/>
        <v>1.0673418564770394</v>
      </c>
      <c r="CN18" s="26">
        <f t="shared" si="73"/>
        <v>1.1462630213962723</v>
      </c>
      <c r="CO18" s="26">
        <f t="shared" si="18"/>
        <v>877470.30618128169</v>
      </c>
      <c r="CP18" s="26">
        <f t="shared" si="67"/>
        <v>-0.26217681564135198</v>
      </c>
      <c r="CQ18" s="26">
        <f t="shared" si="19"/>
        <v>1.02624384125324</v>
      </c>
      <c r="CR18" s="26">
        <f t="shared" si="74"/>
        <v>1.1175340600038548</v>
      </c>
      <c r="CS18" s="26">
        <f t="shared" si="20"/>
        <v>842713.97507880814</v>
      </c>
      <c r="CT18" s="26">
        <f t="shared" si="21"/>
        <v>901300.72521198739</v>
      </c>
      <c r="CU18" s="26">
        <f t="shared" si="22"/>
        <v>1.0673418564770394</v>
      </c>
      <c r="CV18" s="26">
        <f t="shared" si="75"/>
        <v>1.1462630213962723</v>
      </c>
      <c r="CW18" s="26">
        <f t="shared" si="23"/>
        <v>868841.2782590792</v>
      </c>
      <c r="CX18" s="26">
        <f t="shared" si="24"/>
        <v>1.1124782090261618</v>
      </c>
      <c r="CY18" s="26">
        <f t="shared" si="69"/>
        <v>1.1480185889457077</v>
      </c>
      <c r="CZ18" s="26">
        <f t="shared" si="68"/>
        <v>929376.07305834885</v>
      </c>
      <c r="DA18" s="161"/>
      <c r="DB18" s="161" t="s">
        <v>113</v>
      </c>
      <c r="DC18" s="161" t="s">
        <v>114</v>
      </c>
      <c r="DD18" s="161" t="s">
        <v>115</v>
      </c>
      <c r="DE18" s="161" t="s">
        <v>116</v>
      </c>
      <c r="DF18" s="161" t="s">
        <v>117</v>
      </c>
      <c r="DN18" s="161"/>
      <c r="DO18" s="161" t="s">
        <v>113</v>
      </c>
      <c r="DP18" s="161" t="s">
        <v>114</v>
      </c>
      <c r="DQ18" s="161" t="s">
        <v>115</v>
      </c>
      <c r="DR18" s="161" t="s">
        <v>116</v>
      </c>
      <c r="DS18" s="161" t="s">
        <v>117</v>
      </c>
      <c r="DZ18" s="50" t="s">
        <v>110</v>
      </c>
      <c r="EA18" s="50">
        <v>4</v>
      </c>
      <c r="EB18" s="50">
        <v>19.080405893375854</v>
      </c>
      <c r="EC18" s="50">
        <v>4.7701014733439635</v>
      </c>
      <c r="ED18" s="50">
        <v>22.922229086692528</v>
      </c>
      <c r="EE18" s="50">
        <v>1.3562122574143693E-11</v>
      </c>
      <c r="EJ18" s="103" t="s">
        <v>9</v>
      </c>
      <c r="EK18" s="103">
        <v>65</v>
      </c>
      <c r="EL18" s="103">
        <v>31.774467573568536</v>
      </c>
      <c r="EM18" s="103"/>
      <c r="EN18" s="103"/>
      <c r="EO18" s="103"/>
      <c r="EU18" s="103" t="s">
        <v>9</v>
      </c>
      <c r="EV18" s="103">
        <v>65</v>
      </c>
      <c r="EW18" s="103">
        <v>31.774467573568536</v>
      </c>
      <c r="EX18" s="103"/>
      <c r="EY18" s="103"/>
      <c r="EZ18" s="103"/>
      <c r="FF18" s="103" t="s">
        <v>9</v>
      </c>
      <c r="FG18" s="103">
        <v>65</v>
      </c>
      <c r="FH18" s="103">
        <v>31.774467573568536</v>
      </c>
      <c r="FI18" s="103"/>
      <c r="FJ18" s="103"/>
      <c r="FK18" s="103"/>
      <c r="FP18" s="103" t="s">
        <v>9</v>
      </c>
      <c r="FQ18" s="103">
        <v>65</v>
      </c>
      <c r="FR18" s="103">
        <v>31.774467573568536</v>
      </c>
      <c r="FS18" s="103"/>
      <c r="FT18" s="103"/>
      <c r="FU18" s="103"/>
      <c r="FZ18" s="103" t="s">
        <v>9</v>
      </c>
      <c r="GA18" s="103">
        <v>65</v>
      </c>
      <c r="GB18" s="103">
        <v>31.774467573568536</v>
      </c>
      <c r="GC18" s="103"/>
      <c r="GD18" s="103"/>
      <c r="GE18" s="103"/>
      <c r="GJ18" s="103" t="s">
        <v>9</v>
      </c>
      <c r="GK18" s="103">
        <v>65</v>
      </c>
      <c r="GL18" s="103">
        <v>31.774467573568536</v>
      </c>
      <c r="GM18" s="103"/>
      <c r="GN18" s="103"/>
      <c r="GO18" s="103"/>
      <c r="GT18"/>
      <c r="GU18"/>
      <c r="GV18"/>
      <c r="GW18"/>
      <c r="GX18"/>
      <c r="GY18"/>
      <c r="GZ18"/>
      <c r="HA18"/>
      <c r="HB18"/>
      <c r="HD18"/>
      <c r="HE18"/>
      <c r="HF18"/>
      <c r="HG18"/>
      <c r="HH18"/>
      <c r="HI18"/>
      <c r="HJ18"/>
      <c r="HK18"/>
      <c r="HL18"/>
    </row>
    <row r="19" spans="1:220" s="26" customFormat="1" ht="12.75" customHeight="1" thickBot="1" x14ac:dyDescent="0.4">
      <c r="A19" s="26" t="s">
        <v>52</v>
      </c>
      <c r="B19" s="26">
        <v>1967</v>
      </c>
      <c r="C19" s="26">
        <f>'Orig data'!G21</f>
        <v>213873</v>
      </c>
      <c r="D19" s="26">
        <f>'Orig data'!Q21</f>
        <v>323003</v>
      </c>
      <c r="E19" s="26">
        <f>'Orig data'!W21</f>
        <v>545326.67988816742</v>
      </c>
      <c r="F19" s="26">
        <f t="shared" si="25"/>
        <v>213.87299999999999</v>
      </c>
      <c r="G19" s="26">
        <f t="shared" si="26"/>
        <v>545.3266798881674</v>
      </c>
      <c r="H19" s="26">
        <f t="shared" si="27"/>
        <v>0.9360026468140249</v>
      </c>
      <c r="I19" s="26">
        <f t="shared" si="28"/>
        <v>109130</v>
      </c>
      <c r="J19" s="26">
        <f t="shared" si="29"/>
        <v>0.33786063906527186</v>
      </c>
      <c r="K19" s="26">
        <f t="shared" si="30"/>
        <v>1967</v>
      </c>
      <c r="L19" s="26">
        <f>covariates!R27</f>
        <v>213873</v>
      </c>
      <c r="M19" s="26">
        <f t="shared" si="31"/>
        <v>-0.79827728449633573</v>
      </c>
      <c r="N19" s="26">
        <f t="shared" si="32"/>
        <v>3.9956809069695544E-2</v>
      </c>
      <c r="O19" s="26">
        <f t="shared" si="33"/>
        <v>-0.57955930833798519</v>
      </c>
      <c r="P19" s="26">
        <f t="shared" si="34"/>
        <v>213873</v>
      </c>
      <c r="Q19" s="26">
        <f t="shared" si="35"/>
        <v>-0.76057812645171086</v>
      </c>
      <c r="R19" s="26">
        <f t="shared" si="36"/>
        <v>3.9956809069695544E-2</v>
      </c>
      <c r="S19" s="26">
        <f t="shared" si="37"/>
        <v>-0.57955930833798519</v>
      </c>
      <c r="T19" s="26">
        <f t="shared" si="38"/>
        <v>213873</v>
      </c>
      <c r="U19" s="26">
        <f t="shared" si="39"/>
        <v>-1.6371068921321423</v>
      </c>
      <c r="V19" s="26">
        <f t="shared" si="40"/>
        <v>-0.57955930833798519</v>
      </c>
      <c r="W19" s="26">
        <f t="shared" si="41"/>
        <v>-0.79827728449633573</v>
      </c>
      <c r="X19" s="26">
        <f t="shared" si="42"/>
        <v>213873</v>
      </c>
      <c r="Y19" s="26">
        <f t="shared" si="43"/>
        <v>-0.14109030834747954</v>
      </c>
      <c r="Z19" s="105">
        <f t="shared" si="44"/>
        <v>-0.57955930833798519</v>
      </c>
      <c r="AA19" s="105">
        <f t="shared" si="45"/>
        <v>-0.79827728449633573</v>
      </c>
      <c r="AB19" s="105">
        <f t="shared" si="46"/>
        <v>213873</v>
      </c>
      <c r="AC19" s="159">
        <f t="shared" si="47"/>
        <v>-1.5253400203638667</v>
      </c>
      <c r="AD19" s="105">
        <f t="shared" si="48"/>
        <v>-0.57955930833798519</v>
      </c>
      <c r="AE19" s="105">
        <f t="shared" si="49"/>
        <v>-0.79827728449633573</v>
      </c>
      <c r="AF19" s="105">
        <f t="shared" si="50"/>
        <v>213873</v>
      </c>
      <c r="AG19" s="105">
        <f>covariates!X27</f>
        <v>-1.5253400203638667</v>
      </c>
      <c r="AH19" s="105">
        <f t="shared" si="51"/>
        <v>-0.57955930833798519</v>
      </c>
      <c r="AI19" s="159">
        <f t="shared" si="52"/>
        <v>3.9956809069695544E-2</v>
      </c>
      <c r="AJ19" s="105">
        <f t="shared" si="53"/>
        <v>-0.79827728449633573</v>
      </c>
      <c r="AK19" s="105"/>
      <c r="AL19" s="105"/>
      <c r="AM19" s="105"/>
      <c r="AN19" s="105"/>
      <c r="AO19" s="105"/>
      <c r="AP19" s="105">
        <f t="shared" si="54"/>
        <v>213873</v>
      </c>
      <c r="AQ19" s="105">
        <f>covariates!T27</f>
        <v>-0.14109030834747954</v>
      </c>
      <c r="AR19" s="105">
        <f t="shared" si="55"/>
        <v>-0.57955930833798519</v>
      </c>
      <c r="AS19" s="105">
        <f t="shared" si="56"/>
        <v>3.9956809069695544E-2</v>
      </c>
      <c r="AT19" s="26">
        <f t="shared" si="57"/>
        <v>-0.79827728449633573</v>
      </c>
      <c r="AU19" s="26">
        <f t="shared" si="58"/>
        <v>213873</v>
      </c>
      <c r="AV19" s="26">
        <f t="shared" si="59"/>
        <v>-1.5253400203638667</v>
      </c>
      <c r="AW19" s="26">
        <f t="shared" si="60"/>
        <v>-0.57955930833798519</v>
      </c>
      <c r="AX19" s="26">
        <f t="shared" si="61"/>
        <v>3.9956809069695544E-2</v>
      </c>
      <c r="AY19" s="26">
        <f t="shared" si="62"/>
        <v>-0.79827728449633573</v>
      </c>
      <c r="AZ19" s="26">
        <f t="shared" si="63"/>
        <v>-0.76057812645171086</v>
      </c>
      <c r="BA19" s="61">
        <v>1967</v>
      </c>
      <c r="BB19" s="164">
        <f t="shared" si="4"/>
        <v>213873</v>
      </c>
      <c r="BC19" s="105">
        <f t="shared" si="5"/>
        <v>-1.5253400203638667</v>
      </c>
      <c r="BD19" s="105">
        <f t="shared" si="6"/>
        <v>-0.57955930833798519</v>
      </c>
      <c r="BE19" s="105">
        <f t="shared" si="7"/>
        <v>3.9956809069695544E-2</v>
      </c>
      <c r="BF19" s="105">
        <f t="shared" si="8"/>
        <v>-0.79827728449633573</v>
      </c>
      <c r="BG19">
        <v>180</v>
      </c>
      <c r="BR19" s="26">
        <f>covariates!V27</f>
        <v>-0.79827728449633573</v>
      </c>
      <c r="BS19" s="26">
        <f>covariates!W27</f>
        <v>-1.6371068921321423</v>
      </c>
      <c r="BT19" s="26">
        <f>covariates!Y27</f>
        <v>3.9956809069695544E-2</v>
      </c>
      <c r="BU19" s="26">
        <f>covariates!U27</f>
        <v>-0.57955930833798519</v>
      </c>
      <c r="BV19" s="26">
        <f>covariates!AA27</f>
        <v>-0.76057812645171086</v>
      </c>
      <c r="BW19" s="26">
        <f t="shared" si="2"/>
        <v>0.9360026468140249</v>
      </c>
      <c r="BX19" s="26">
        <f t="shared" si="9"/>
        <v>-0.79827728449633573</v>
      </c>
      <c r="BY19" s="26">
        <f t="shared" si="10"/>
        <v>-0.76057812645171086</v>
      </c>
      <c r="BZ19" s="26">
        <f t="shared" si="11"/>
        <v>1967</v>
      </c>
      <c r="CA19" s="26">
        <f t="shared" si="64"/>
        <v>1.1731269544445591</v>
      </c>
      <c r="CB19" s="26">
        <f t="shared" si="70"/>
        <v>1.2074259418569138</v>
      </c>
      <c r="CC19" s="26">
        <f t="shared" si="65"/>
        <v>619325.80828103097</v>
      </c>
      <c r="CD19" s="26">
        <f t="shared" si="12"/>
        <v>1.1077344302891969</v>
      </c>
      <c r="CE19" s="26">
        <f t="shared" si="70"/>
        <v>1.1493559856218309</v>
      </c>
      <c r="CF19" s="26">
        <f t="shared" si="13"/>
        <v>586710.51329574699</v>
      </c>
      <c r="CG19" s="26">
        <f t="shared" si="14"/>
        <v>1.1502151486297605</v>
      </c>
      <c r="CH19" s="26">
        <f t="shared" si="71"/>
        <v>1.1941660792702238</v>
      </c>
      <c r="CI19" s="26">
        <f t="shared" si="15"/>
        <v>608417.9827688362</v>
      </c>
      <c r="CJ19" s="26">
        <f t="shared" si="16"/>
        <v>1.1799326466236013</v>
      </c>
      <c r="CK19" s="26">
        <f t="shared" si="72"/>
        <v>1.2053468467160804</v>
      </c>
      <c r="CL19" s="26">
        <f t="shared" si="17"/>
        <v>622386.10624370491</v>
      </c>
      <c r="CM19" s="26">
        <f t="shared" si="66"/>
        <v>1.0109055827667792</v>
      </c>
      <c r="CN19" s="26">
        <f t="shared" si="73"/>
        <v>1.1426157635195104</v>
      </c>
      <c r="CO19" s="26">
        <f t="shared" si="18"/>
        <v>528684.37479130179</v>
      </c>
      <c r="CP19" s="26">
        <f t="shared" si="67"/>
        <v>3.0993418938239259E-2</v>
      </c>
      <c r="CQ19" s="26">
        <f t="shared" si="19"/>
        <v>0.99185569240198623</v>
      </c>
      <c r="CR19" s="26">
        <f t="shared" si="74"/>
        <v>1.1075738949085168</v>
      </c>
      <c r="CS19" s="26">
        <f t="shared" si="20"/>
        <v>518918.21000227024</v>
      </c>
      <c r="CT19" s="26">
        <f t="shared" si="21"/>
        <v>585330.46470923792</v>
      </c>
      <c r="CU19" s="26">
        <f t="shared" si="22"/>
        <v>1.0109055827667792</v>
      </c>
      <c r="CV19" s="26">
        <f t="shared" si="75"/>
        <v>1.1432726651885095</v>
      </c>
      <c r="CW19" s="26">
        <f t="shared" si="23"/>
        <v>525596.3832088249</v>
      </c>
      <c r="CX19" s="26">
        <f t="shared" si="24"/>
        <v>1.1077344302891969</v>
      </c>
      <c r="CY19" s="26">
        <f t="shared" si="69"/>
        <v>1.1493559856218309</v>
      </c>
      <c r="CZ19" s="26">
        <f t="shared" si="68"/>
        <v>586710.51329574699</v>
      </c>
      <c r="DA19" s="50" t="s">
        <v>110</v>
      </c>
      <c r="DB19" s="50">
        <v>1</v>
      </c>
      <c r="DC19" s="50">
        <v>16.002118749258187</v>
      </c>
      <c r="DD19" s="50">
        <v>16.002118749258187</v>
      </c>
      <c r="DE19" s="50">
        <v>64.932345293682317</v>
      </c>
      <c r="DF19" s="50">
        <v>2.5469249095521877E-11</v>
      </c>
      <c r="DN19" s="50" t="s">
        <v>110</v>
      </c>
      <c r="DO19" s="50">
        <v>4</v>
      </c>
      <c r="DP19" s="50">
        <v>20.16052583381051</v>
      </c>
      <c r="DQ19" s="50">
        <v>5.0401314584526276</v>
      </c>
      <c r="DR19" s="50">
        <v>26.472323165968959</v>
      </c>
      <c r="DS19" s="50">
        <v>9.4862875080060991E-13</v>
      </c>
      <c r="DZ19" s="50" t="s">
        <v>111</v>
      </c>
      <c r="EA19" s="50">
        <v>61</v>
      </c>
      <c r="EB19" s="50">
        <v>12.694061680192684</v>
      </c>
      <c r="EC19" s="50">
        <v>0.20809937180643745</v>
      </c>
      <c r="ED19" s="50"/>
      <c r="EE19" s="50"/>
      <c r="GT19" s="48"/>
      <c r="GU19" s="48" t="s">
        <v>118</v>
      </c>
      <c r="GV19" s="48" t="s">
        <v>107</v>
      </c>
      <c r="GW19" s="48" t="s">
        <v>119</v>
      </c>
      <c r="GX19" s="48" t="s">
        <v>120</v>
      </c>
      <c r="GY19" s="48" t="s">
        <v>121</v>
      </c>
      <c r="GZ19" s="48" t="s">
        <v>122</v>
      </c>
      <c r="HA19" s="48" t="s">
        <v>123</v>
      </c>
      <c r="HB19" s="48" t="s">
        <v>124</v>
      </c>
      <c r="HD19" s="48"/>
      <c r="HE19" s="48" t="s">
        <v>118</v>
      </c>
      <c r="HF19" s="48" t="s">
        <v>107</v>
      </c>
      <c r="HG19" s="48" t="s">
        <v>119</v>
      </c>
      <c r="HH19" s="48" t="s">
        <v>120</v>
      </c>
      <c r="HI19" s="48" t="s">
        <v>121</v>
      </c>
      <c r="HJ19" s="48" t="s">
        <v>122</v>
      </c>
      <c r="HK19" s="48" t="s">
        <v>123</v>
      </c>
      <c r="HL19" s="48" t="s">
        <v>124</v>
      </c>
    </row>
    <row r="20" spans="1:220" s="26" customFormat="1" ht="12.75" customHeight="1" thickBot="1" x14ac:dyDescent="0.4">
      <c r="A20" s="26" t="s">
        <v>52</v>
      </c>
      <c r="B20" s="26">
        <v>1968</v>
      </c>
      <c r="C20" s="26">
        <f>'Orig data'!G22</f>
        <v>670328</v>
      </c>
      <c r="D20" s="26">
        <f>'Orig data'!Q22</f>
        <v>1153257</v>
      </c>
      <c r="E20" s="26">
        <f>'Orig data'!W22</f>
        <v>1265058.668922991</v>
      </c>
      <c r="F20" s="26">
        <f t="shared" si="25"/>
        <v>670.32799999999997</v>
      </c>
      <c r="G20" s="26">
        <f t="shared" si="26"/>
        <v>1265.058668922991</v>
      </c>
      <c r="H20" s="26">
        <f t="shared" si="27"/>
        <v>0.63510663384920163</v>
      </c>
      <c r="I20" s="26">
        <f t="shared" si="28"/>
        <v>482929</v>
      </c>
      <c r="J20" s="26">
        <f t="shared" si="29"/>
        <v>0.41875228158164224</v>
      </c>
      <c r="K20" s="26">
        <f t="shared" si="30"/>
        <v>1968</v>
      </c>
      <c r="L20" s="26">
        <f>covariates!R28</f>
        <v>670328</v>
      </c>
      <c r="M20" s="26">
        <f t="shared" si="31"/>
        <v>-0.8084595891266686</v>
      </c>
      <c r="N20" s="26">
        <f t="shared" si="32"/>
        <v>-0.44216979492965608</v>
      </c>
      <c r="O20" s="26">
        <f t="shared" si="33"/>
        <v>-1.2467264190991543</v>
      </c>
      <c r="P20" s="26">
        <f t="shared" si="34"/>
        <v>670328</v>
      </c>
      <c r="Q20" s="26">
        <f t="shared" si="35"/>
        <v>-0.76057812645171086</v>
      </c>
      <c r="R20" s="26">
        <f t="shared" si="36"/>
        <v>-0.44216979492965608</v>
      </c>
      <c r="S20" s="26">
        <f t="shared" si="37"/>
        <v>-1.2467264190991543</v>
      </c>
      <c r="T20" s="26">
        <f t="shared" si="38"/>
        <v>670328</v>
      </c>
      <c r="U20" s="26">
        <f t="shared" si="39"/>
        <v>-0.76440085384472822</v>
      </c>
      <c r="V20" s="26">
        <f t="shared" si="40"/>
        <v>-1.2467264190991543</v>
      </c>
      <c r="W20" s="26">
        <f t="shared" si="41"/>
        <v>-0.8084595891266686</v>
      </c>
      <c r="X20" s="26">
        <f t="shared" si="42"/>
        <v>670328</v>
      </c>
      <c r="Y20" s="26">
        <f t="shared" si="43"/>
        <v>-0.64226812509861675</v>
      </c>
      <c r="Z20" s="105">
        <f t="shared" si="44"/>
        <v>-1.2467264190991543</v>
      </c>
      <c r="AA20" s="105">
        <f t="shared" si="45"/>
        <v>-0.8084595891266686</v>
      </c>
      <c r="AB20" s="105">
        <f t="shared" si="46"/>
        <v>670328</v>
      </c>
      <c r="AC20" s="159">
        <f t="shared" si="47"/>
        <v>-0.47782904726060038</v>
      </c>
      <c r="AD20" s="105">
        <f t="shared" si="48"/>
        <v>-1.2467264190991543</v>
      </c>
      <c r="AE20" s="105">
        <f t="shared" si="49"/>
        <v>-0.8084595891266686</v>
      </c>
      <c r="AF20" s="105">
        <f t="shared" si="50"/>
        <v>670328</v>
      </c>
      <c r="AG20" s="105">
        <f>covariates!X28</f>
        <v>-0.47782904726060038</v>
      </c>
      <c r="AH20" s="105">
        <f t="shared" si="51"/>
        <v>-1.2467264190991543</v>
      </c>
      <c r="AI20" s="159">
        <f t="shared" si="52"/>
        <v>-0.44216979492965608</v>
      </c>
      <c r="AJ20" s="105">
        <f t="shared" si="53"/>
        <v>-0.8084595891266686</v>
      </c>
      <c r="AK20" s="105"/>
      <c r="AL20" s="105"/>
      <c r="AM20" s="105"/>
      <c r="AN20" s="105"/>
      <c r="AO20" s="105"/>
      <c r="AP20" s="105">
        <f t="shared" si="54"/>
        <v>670328</v>
      </c>
      <c r="AQ20" s="105">
        <f>covariates!T28</f>
        <v>-0.64226812509861675</v>
      </c>
      <c r="AR20" s="105">
        <f t="shared" si="55"/>
        <v>-1.2467264190991543</v>
      </c>
      <c r="AS20" s="105">
        <f t="shared" si="56"/>
        <v>-0.44216979492965608</v>
      </c>
      <c r="AT20" s="26">
        <f t="shared" si="57"/>
        <v>-0.8084595891266686</v>
      </c>
      <c r="AU20" s="26">
        <f t="shared" si="58"/>
        <v>670328</v>
      </c>
      <c r="AV20" s="26">
        <f t="shared" si="59"/>
        <v>-0.47782904726060038</v>
      </c>
      <c r="AW20" s="26">
        <f t="shared" si="60"/>
        <v>-1.2467264190991543</v>
      </c>
      <c r="AX20" s="26">
        <f t="shared" si="61"/>
        <v>-0.44216979492965608</v>
      </c>
      <c r="AY20" s="26">
        <f t="shared" si="62"/>
        <v>-0.8084595891266686</v>
      </c>
      <c r="AZ20" s="26">
        <f t="shared" si="63"/>
        <v>-0.76057812645171086</v>
      </c>
      <c r="BA20" s="61">
        <v>1968</v>
      </c>
      <c r="BB20" s="164">
        <f t="shared" si="4"/>
        <v>670328</v>
      </c>
      <c r="BC20" s="105">
        <f t="shared" si="5"/>
        <v>-0.47782904726060038</v>
      </c>
      <c r="BD20" s="105">
        <f t="shared" si="6"/>
        <v>-1.2467264190991543</v>
      </c>
      <c r="BE20" s="105">
        <f t="shared" si="7"/>
        <v>-0.44216979492965608</v>
      </c>
      <c r="BF20" s="105">
        <f t="shared" si="8"/>
        <v>-0.8084595891266686</v>
      </c>
      <c r="BG20">
        <v>180</v>
      </c>
      <c r="BR20" s="26">
        <f>covariates!V28</f>
        <v>-0.8084595891266686</v>
      </c>
      <c r="BS20" s="26">
        <f>covariates!W28</f>
        <v>-0.76440085384472822</v>
      </c>
      <c r="BT20" s="26">
        <f>covariates!Y28</f>
        <v>-0.44216979492965608</v>
      </c>
      <c r="BU20" s="26">
        <f>covariates!U28</f>
        <v>-1.2467264190991543</v>
      </c>
      <c r="BV20" s="26">
        <f>covariates!AA28</f>
        <v>-0.76057812645171086</v>
      </c>
      <c r="BW20" s="26">
        <f t="shared" si="2"/>
        <v>0.63510663384920163</v>
      </c>
      <c r="BX20" s="26">
        <f t="shared" si="9"/>
        <v>-0.8084595891266686</v>
      </c>
      <c r="BY20" s="26">
        <f t="shared" si="10"/>
        <v>-0.76057812645171086</v>
      </c>
      <c r="BZ20" s="26">
        <f t="shared" si="11"/>
        <v>1968</v>
      </c>
      <c r="CA20" s="26">
        <f t="shared" si="64"/>
        <v>1.1532517367198234</v>
      </c>
      <c r="CB20" s="26">
        <f t="shared" si="70"/>
        <v>1.2110702574865617</v>
      </c>
      <c r="CC20" s="26">
        <f t="shared" si="65"/>
        <v>1505132.1598567124</v>
      </c>
      <c r="CD20" s="26">
        <f t="shared" si="12"/>
        <v>1.0788271937632379</v>
      </c>
      <c r="CE20" s="26">
        <f t="shared" si="70"/>
        <v>1.1534695758980211</v>
      </c>
      <c r="CF20" s="26">
        <f t="shared" si="13"/>
        <v>1447517.1067511193</v>
      </c>
      <c r="CG20" s="26">
        <f t="shared" si="14"/>
        <v>1.1250977027190556</v>
      </c>
      <c r="CH20" s="26">
        <f t="shared" si="71"/>
        <v>1.2051535099317052</v>
      </c>
      <c r="CI20" s="26">
        <f t="shared" si="15"/>
        <v>1487124.3559918897</v>
      </c>
      <c r="CJ20" s="26">
        <f t="shared" si="16"/>
        <v>1.1493754416350452</v>
      </c>
      <c r="CK20" s="26">
        <f t="shared" si="72"/>
        <v>1.2055900004429727</v>
      </c>
      <c r="CL20" s="26">
        <f t="shared" si="17"/>
        <v>1490516.8689735916</v>
      </c>
      <c r="CM20" s="26">
        <f t="shared" si="66"/>
        <v>1.0931715502984576</v>
      </c>
      <c r="CN20" s="26">
        <f t="shared" si="73"/>
        <v>1.1596483390854475</v>
      </c>
      <c r="CO20" s="26">
        <f t="shared" si="18"/>
        <v>1435164.4962522683</v>
      </c>
      <c r="CP20" s="26">
        <f t="shared" si="67"/>
        <v>-0.1261609744772958</v>
      </c>
      <c r="CQ20" s="26">
        <f t="shared" si="19"/>
        <v>1.0267372761978162</v>
      </c>
      <c r="CR20" s="26">
        <f t="shared" si="74"/>
        <v>1.1226105873455192</v>
      </c>
      <c r="CS20" s="26">
        <f t="shared" si="20"/>
        <v>1344622.3436774807</v>
      </c>
      <c r="CT20" s="26">
        <f t="shared" si="21"/>
        <v>1381492.8173370401</v>
      </c>
      <c r="CU20" s="26">
        <f t="shared" si="22"/>
        <v>1.0931715502984576</v>
      </c>
      <c r="CV20" s="26">
        <f t="shared" si="75"/>
        <v>1.1617202202450552</v>
      </c>
      <c r="CW20" s="26">
        <f t="shared" si="23"/>
        <v>1409054.708981035</v>
      </c>
      <c r="CX20" s="26">
        <f t="shared" si="24"/>
        <v>1.0788271937632379</v>
      </c>
      <c r="CY20" s="26">
        <f t="shared" si="69"/>
        <v>1.1534695758980211</v>
      </c>
      <c r="CZ20" s="26">
        <f t="shared" si="68"/>
        <v>1447517.1067511193</v>
      </c>
      <c r="DA20" s="50" t="s">
        <v>111</v>
      </c>
      <c r="DB20" s="50">
        <v>64</v>
      </c>
      <c r="DC20" s="50">
        <v>15.772348824310349</v>
      </c>
      <c r="DD20" s="62">
        <v>0.2464429503798492</v>
      </c>
      <c r="DE20" s="50"/>
      <c r="DF20" s="50"/>
      <c r="DH20" s="26">
        <f>SQRT(DD20)</f>
        <v>0.4964302069574828</v>
      </c>
      <c r="DN20" s="50" t="s">
        <v>111</v>
      </c>
      <c r="DO20" s="50">
        <v>61</v>
      </c>
      <c r="DP20" s="50">
        <v>11.613941739758028</v>
      </c>
      <c r="DQ20" s="50">
        <v>0.19039248753701685</v>
      </c>
      <c r="DR20" s="50"/>
      <c r="DS20" s="50"/>
      <c r="DZ20" s="103" t="s">
        <v>9</v>
      </c>
      <c r="EA20" s="103">
        <v>65</v>
      </c>
      <c r="EB20" s="103">
        <v>31.774467573568536</v>
      </c>
      <c r="EC20" s="103"/>
      <c r="ED20" s="103"/>
      <c r="EE20" s="103"/>
      <c r="EJ20" s="161"/>
      <c r="EK20" s="161" t="s">
        <v>118</v>
      </c>
      <c r="EL20" s="161" t="s">
        <v>107</v>
      </c>
      <c r="EM20" s="161" t="s">
        <v>119</v>
      </c>
      <c r="EN20" s="161" t="s">
        <v>120</v>
      </c>
      <c r="EO20" s="161" t="s">
        <v>121</v>
      </c>
      <c r="EP20" s="161" t="s">
        <v>122</v>
      </c>
      <c r="EQ20" s="161" t="s">
        <v>123</v>
      </c>
      <c r="ER20" s="161" t="s">
        <v>124</v>
      </c>
      <c r="EU20" s="161"/>
      <c r="EV20" s="161" t="s">
        <v>118</v>
      </c>
      <c r="EW20" s="161" t="s">
        <v>107</v>
      </c>
      <c r="EX20" s="161" t="s">
        <v>119</v>
      </c>
      <c r="EY20" s="161" t="s">
        <v>120</v>
      </c>
      <c r="EZ20" s="161" t="s">
        <v>121</v>
      </c>
      <c r="FA20" s="161" t="s">
        <v>122</v>
      </c>
      <c r="FB20" s="161" t="s">
        <v>123</v>
      </c>
      <c r="FC20" s="161" t="s">
        <v>124</v>
      </c>
      <c r="FF20" s="161"/>
      <c r="FG20" s="161" t="s">
        <v>118</v>
      </c>
      <c r="FH20" s="161" t="s">
        <v>107</v>
      </c>
      <c r="FI20" s="161" t="s">
        <v>119</v>
      </c>
      <c r="FJ20" s="161" t="s">
        <v>120</v>
      </c>
      <c r="FK20" s="161" t="s">
        <v>121</v>
      </c>
      <c r="FL20" s="161" t="s">
        <v>122</v>
      </c>
      <c r="FM20" s="161" t="s">
        <v>123</v>
      </c>
      <c r="FN20" s="161" t="s">
        <v>124</v>
      </c>
      <c r="FP20" s="161"/>
      <c r="FQ20" s="161" t="s">
        <v>118</v>
      </c>
      <c r="FR20" s="161" t="s">
        <v>107</v>
      </c>
      <c r="FS20" s="161" t="s">
        <v>119</v>
      </c>
      <c r="FT20" s="161" t="s">
        <v>120</v>
      </c>
      <c r="FU20" s="161" t="s">
        <v>121</v>
      </c>
      <c r="FV20" s="161" t="s">
        <v>122</v>
      </c>
      <c r="FW20" s="161" t="s">
        <v>123</v>
      </c>
      <c r="FX20" s="161" t="s">
        <v>124</v>
      </c>
      <c r="FZ20" s="161"/>
      <c r="GA20" s="161" t="s">
        <v>118</v>
      </c>
      <c r="GB20" s="161" t="s">
        <v>107</v>
      </c>
      <c r="GC20" s="161" t="s">
        <v>119</v>
      </c>
      <c r="GD20" s="161" t="s">
        <v>120</v>
      </c>
      <c r="GE20" s="161" t="s">
        <v>121</v>
      </c>
      <c r="GF20" s="161" t="s">
        <v>122</v>
      </c>
      <c r="GG20" s="161" t="s">
        <v>123</v>
      </c>
      <c r="GH20" s="161" t="s">
        <v>124</v>
      </c>
      <c r="GJ20" s="161"/>
      <c r="GK20" s="161" t="s">
        <v>118</v>
      </c>
      <c r="GL20" s="161" t="s">
        <v>107</v>
      </c>
      <c r="GM20" s="161" t="s">
        <v>119</v>
      </c>
      <c r="GN20" s="161" t="s">
        <v>120</v>
      </c>
      <c r="GO20" s="161" t="s">
        <v>121</v>
      </c>
      <c r="GP20" s="161" t="s">
        <v>122</v>
      </c>
      <c r="GQ20" s="161" t="s">
        <v>123</v>
      </c>
      <c r="GR20" s="161" t="s">
        <v>124</v>
      </c>
      <c r="GT20" s="46" t="s">
        <v>112</v>
      </c>
      <c r="GU20" s="46">
        <v>0.23323187506735121</v>
      </c>
      <c r="GV20" s="46">
        <v>0.52609179340265488</v>
      </c>
      <c r="GW20" s="46">
        <v>0.44332924024314235</v>
      </c>
      <c r="GX20" s="46">
        <v>0.65914905096961052</v>
      </c>
      <c r="GY20" s="46">
        <v>-0.81947537198152953</v>
      </c>
      <c r="GZ20" s="46">
        <v>1.285939122116232</v>
      </c>
      <c r="HA20" s="46">
        <v>-0.81947537198152953</v>
      </c>
      <c r="HB20" s="46">
        <v>1.285939122116232</v>
      </c>
      <c r="HD20" s="46" t="s">
        <v>112</v>
      </c>
      <c r="HE20" s="46">
        <v>-1.843663164567015</v>
      </c>
      <c r="HF20" s="46">
        <v>0.73852624839082959</v>
      </c>
      <c r="HG20" s="46">
        <v>-2.4964084466654524</v>
      </c>
      <c r="HH20" s="46">
        <v>1.7404137225611013E-2</v>
      </c>
      <c r="HI20" s="46">
        <v>-3.3429511566462207</v>
      </c>
      <c r="HJ20" s="46">
        <v>-0.34437517248780902</v>
      </c>
      <c r="HK20" s="46">
        <v>-3.3429511566462207</v>
      </c>
      <c r="HL20" s="46">
        <v>-0.34437517248780902</v>
      </c>
    </row>
    <row r="21" spans="1:220" s="26" customFormat="1" ht="12.75" customHeight="1" thickBot="1" x14ac:dyDescent="0.4">
      <c r="A21" s="26" t="s">
        <v>52</v>
      </c>
      <c r="B21" s="26">
        <v>1969</v>
      </c>
      <c r="C21" s="26">
        <f>'Orig data'!G23</f>
        <v>309220</v>
      </c>
      <c r="D21" s="26">
        <f>'Orig data'!Q23</f>
        <v>578493</v>
      </c>
      <c r="E21" s="26">
        <f>'Orig data'!W23</f>
        <v>1384571.6850271896</v>
      </c>
      <c r="F21" s="26">
        <f t="shared" si="25"/>
        <v>309.22000000000003</v>
      </c>
      <c r="G21" s="26">
        <f t="shared" si="26"/>
        <v>1384.5716850271895</v>
      </c>
      <c r="H21" s="26">
        <f t="shared" si="27"/>
        <v>1.4990931204305671</v>
      </c>
      <c r="I21" s="26">
        <f t="shared" si="28"/>
        <v>269273</v>
      </c>
      <c r="J21" s="26">
        <f t="shared" si="29"/>
        <v>0.4654732209378506</v>
      </c>
      <c r="K21" s="26">
        <f t="shared" si="30"/>
        <v>1969</v>
      </c>
      <c r="L21" s="26">
        <f>covariates!R29</f>
        <v>309220</v>
      </c>
      <c r="M21" s="26">
        <f t="shared" si="31"/>
        <v>-0.81065089369362886</v>
      </c>
      <c r="N21" s="26">
        <f t="shared" si="32"/>
        <v>1.2993047488266252</v>
      </c>
      <c r="O21" s="26">
        <f t="shared" si="33"/>
        <v>1.3478123449720623E-2</v>
      </c>
      <c r="P21" s="26">
        <f t="shared" si="34"/>
        <v>309220</v>
      </c>
      <c r="Q21" s="26">
        <f t="shared" si="35"/>
        <v>-0.76057812645171086</v>
      </c>
      <c r="R21" s="26">
        <f t="shared" si="36"/>
        <v>1.2993047488266252</v>
      </c>
      <c r="S21" s="26">
        <f t="shared" si="37"/>
        <v>1.3478123449720623E-2</v>
      </c>
      <c r="T21" s="26">
        <f t="shared" si="38"/>
        <v>309220</v>
      </c>
      <c r="U21" s="26">
        <f t="shared" si="39"/>
        <v>-1.3810567244139678</v>
      </c>
      <c r="V21" s="26">
        <f t="shared" si="40"/>
        <v>1.3478123449720623E-2</v>
      </c>
      <c r="W21" s="26">
        <f t="shared" si="41"/>
        <v>-0.81065089369362886</v>
      </c>
      <c r="X21" s="26">
        <f t="shared" si="42"/>
        <v>309220</v>
      </c>
      <c r="Y21" s="26">
        <f t="shared" si="43"/>
        <v>-0.77234481036226899</v>
      </c>
      <c r="Z21" s="105">
        <f t="shared" si="44"/>
        <v>1.3478123449720623E-2</v>
      </c>
      <c r="AA21" s="105">
        <f t="shared" si="45"/>
        <v>-0.81065089369362886</v>
      </c>
      <c r="AB21" s="105">
        <f t="shared" si="46"/>
        <v>309220</v>
      </c>
      <c r="AC21" s="159">
        <f t="shared" si="47"/>
        <v>-0.8735165664819865</v>
      </c>
      <c r="AD21" s="105">
        <f t="shared" si="48"/>
        <v>1.3478123449720623E-2</v>
      </c>
      <c r="AE21" s="105">
        <f t="shared" si="49"/>
        <v>-0.81065089369362886</v>
      </c>
      <c r="AF21" s="105">
        <f t="shared" si="50"/>
        <v>309220</v>
      </c>
      <c r="AG21" s="105">
        <f>covariates!X29</f>
        <v>-0.8735165664819865</v>
      </c>
      <c r="AH21" s="105">
        <f t="shared" si="51"/>
        <v>1.3478123449720623E-2</v>
      </c>
      <c r="AI21" s="159">
        <f t="shared" si="52"/>
        <v>1.2993047488266252</v>
      </c>
      <c r="AJ21" s="105">
        <f t="shared" si="53"/>
        <v>-0.81065089369362886</v>
      </c>
      <c r="AK21" s="105"/>
      <c r="AL21" s="105"/>
      <c r="AM21" s="105"/>
      <c r="AN21" s="105"/>
      <c r="AO21" s="105"/>
      <c r="AP21" s="105">
        <f t="shared" si="54"/>
        <v>309220</v>
      </c>
      <c r="AQ21" s="105">
        <f>covariates!T29</f>
        <v>-0.77234481036226899</v>
      </c>
      <c r="AR21" s="105">
        <f t="shared" si="55"/>
        <v>1.3478123449720623E-2</v>
      </c>
      <c r="AS21" s="105">
        <f t="shared" si="56"/>
        <v>1.2993047488266252</v>
      </c>
      <c r="AT21" s="26">
        <f t="shared" si="57"/>
        <v>-0.81065089369362886</v>
      </c>
      <c r="AU21" s="26">
        <f t="shared" si="58"/>
        <v>309220</v>
      </c>
      <c r="AV21" s="26">
        <f t="shared" si="59"/>
        <v>-0.8735165664819865</v>
      </c>
      <c r="AW21" s="26">
        <f t="shared" si="60"/>
        <v>1.3478123449720623E-2</v>
      </c>
      <c r="AX21" s="26">
        <f t="shared" si="61"/>
        <v>1.2993047488266252</v>
      </c>
      <c r="AY21" s="26">
        <f t="shared" si="62"/>
        <v>-0.81065089369362886</v>
      </c>
      <c r="AZ21" s="26">
        <f t="shared" si="63"/>
        <v>-0.76057812645171086</v>
      </c>
      <c r="BA21" s="61">
        <v>1969</v>
      </c>
      <c r="BB21" s="164">
        <f t="shared" si="4"/>
        <v>309220</v>
      </c>
      <c r="BC21" s="105">
        <f t="shared" si="5"/>
        <v>-0.8735165664819865</v>
      </c>
      <c r="BD21" s="105">
        <f t="shared" si="6"/>
        <v>1.3478123449720623E-2</v>
      </c>
      <c r="BE21" s="105">
        <f t="shared" si="7"/>
        <v>1.2993047488266252</v>
      </c>
      <c r="BF21" s="105">
        <f t="shared" si="8"/>
        <v>-0.81065089369362886</v>
      </c>
      <c r="BG21">
        <v>180</v>
      </c>
      <c r="BR21" s="26">
        <f>covariates!V29</f>
        <v>-0.81065089369362886</v>
      </c>
      <c r="BS21" s="26">
        <f>covariates!W29</f>
        <v>-1.3810567244139678</v>
      </c>
      <c r="BT21" s="26">
        <f>covariates!Y29</f>
        <v>1.2993047488266252</v>
      </c>
      <c r="BU21" s="26">
        <f>covariates!U29</f>
        <v>1.3478123449720623E-2</v>
      </c>
      <c r="BV21" s="26">
        <f>covariates!AA29</f>
        <v>-0.76057812645171086</v>
      </c>
      <c r="BW21" s="26">
        <f t="shared" si="2"/>
        <v>1.4990931204305671</v>
      </c>
      <c r="BX21" s="26">
        <f t="shared" si="9"/>
        <v>-0.81065089369362886</v>
      </c>
      <c r="BY21" s="26">
        <f t="shared" si="10"/>
        <v>-0.76057812645171086</v>
      </c>
      <c r="BZ21" s="26">
        <f t="shared" si="11"/>
        <v>1969</v>
      </c>
      <c r="CA21" s="26">
        <f t="shared" si="64"/>
        <v>1.1033045390934226</v>
      </c>
      <c r="CB21" s="26">
        <f t="shared" si="70"/>
        <v>1.2127990839201752</v>
      </c>
      <c r="CC21" s="26">
        <f t="shared" si="65"/>
        <v>795121.46767875878</v>
      </c>
      <c r="CD21" s="26">
        <f t="shared" si="12"/>
        <v>1.0408581727057942</v>
      </c>
      <c r="CE21" s="26">
        <f t="shared" si="70"/>
        <v>1.1559159395186838</v>
      </c>
      <c r="CF21" s="26">
        <f t="shared" si="13"/>
        <v>759283.68137514405</v>
      </c>
      <c r="CG21" s="26">
        <f t="shared" si="14"/>
        <v>1.2591113448390663</v>
      </c>
      <c r="CH21" s="26">
        <f t="shared" si="71"/>
        <v>1.2001707470306466</v>
      </c>
      <c r="CI21" s="26">
        <f t="shared" si="15"/>
        <v>936113.47232455912</v>
      </c>
      <c r="CJ21" s="26">
        <f t="shared" si="16"/>
        <v>1.0753385758039995</v>
      </c>
      <c r="CK21" s="26">
        <f t="shared" si="72"/>
        <v>1.2069026190078751</v>
      </c>
      <c r="CL21" s="26">
        <f t="shared" si="17"/>
        <v>771098.2761977464</v>
      </c>
      <c r="CM21" s="26">
        <f t="shared" si="66"/>
        <v>1.0016932360863324</v>
      </c>
      <c r="CN21" s="26">
        <f t="shared" si="73"/>
        <v>1.1691883997771517</v>
      </c>
      <c r="CO21" s="26">
        <f t="shared" si="18"/>
        <v>722444.12930311391</v>
      </c>
      <c r="CP21" s="26">
        <f t="shared" si="67"/>
        <v>0.65050603079279412</v>
      </c>
      <c r="CQ21" s="26">
        <f t="shared" si="19"/>
        <v>1.1232425165732693</v>
      </c>
      <c r="CR21" s="26">
        <f t="shared" si="74"/>
        <v>1.1201264281515053</v>
      </c>
      <c r="CS21" s="26">
        <f t="shared" si="20"/>
        <v>816293.75690162543</v>
      </c>
      <c r="CT21" s="26">
        <f t="shared" si="21"/>
        <v>797593.06197826832</v>
      </c>
      <c r="CU21" s="26">
        <f t="shared" si="22"/>
        <v>1.0016932360863324</v>
      </c>
      <c r="CV21" s="26">
        <f t="shared" si="75"/>
        <v>1.1733388226255481</v>
      </c>
      <c r="CW21" s="26">
        <f t="shared" si="23"/>
        <v>716351.15853139095</v>
      </c>
      <c r="CX21" s="26">
        <f t="shared" si="24"/>
        <v>1.0408581727057942</v>
      </c>
      <c r="CY21" s="26">
        <f t="shared" si="69"/>
        <v>1.1559159395186838</v>
      </c>
      <c r="CZ21" s="26">
        <f t="shared" si="68"/>
        <v>759283.68137514405</v>
      </c>
      <c r="DA21" s="103" t="s">
        <v>9</v>
      </c>
      <c r="DB21" s="103">
        <v>65</v>
      </c>
      <c r="DC21" s="103">
        <v>31.774467573568536</v>
      </c>
      <c r="DD21" s="103"/>
      <c r="DE21" s="103"/>
      <c r="DF21" s="103"/>
      <c r="DN21" s="103" t="s">
        <v>9</v>
      </c>
      <c r="DO21" s="103">
        <v>65</v>
      </c>
      <c r="DP21" s="103">
        <v>31.774467573568536</v>
      </c>
      <c r="DQ21" s="103"/>
      <c r="DR21" s="103"/>
      <c r="DS21" s="103"/>
      <c r="EJ21" s="50" t="s">
        <v>112</v>
      </c>
      <c r="EK21" s="50">
        <v>1.0483348121054763</v>
      </c>
      <c r="EL21" s="50">
        <v>8.4858320321574907E-2</v>
      </c>
      <c r="EM21" s="50">
        <v>12.353942525998139</v>
      </c>
      <c r="EN21" s="50">
        <v>2.9942247068684542E-18</v>
      </c>
      <c r="EO21" s="50">
        <v>0.87865011340739962</v>
      </c>
      <c r="EP21" s="50">
        <v>1.218019510803553</v>
      </c>
      <c r="EQ21" s="50">
        <v>0.87865011340739962</v>
      </c>
      <c r="ER21" s="50">
        <v>1.218019510803553</v>
      </c>
      <c r="EU21" s="50" t="s">
        <v>112</v>
      </c>
      <c r="EV21" s="50">
        <v>1.0329799661614008</v>
      </c>
      <c r="EW21" s="50">
        <v>8.5226379839926633E-2</v>
      </c>
      <c r="EX21" s="50">
        <v>12.120425249805963</v>
      </c>
      <c r="EY21" s="50">
        <v>6.8831835997279367E-18</v>
      </c>
      <c r="EZ21" s="50">
        <v>0.86255928696974615</v>
      </c>
      <c r="FA21" s="50">
        <v>1.2034006453530552</v>
      </c>
      <c r="FB21" s="50">
        <v>0.86255928696974615</v>
      </c>
      <c r="FC21" s="50">
        <v>1.2034006453530552</v>
      </c>
      <c r="FF21" s="50" t="s">
        <v>112</v>
      </c>
      <c r="FG21" s="50">
        <v>1.0595739208263135</v>
      </c>
      <c r="FH21" s="50">
        <v>8.5486107660750335E-2</v>
      </c>
      <c r="FI21" s="50">
        <v>12.394691369400142</v>
      </c>
      <c r="FJ21" s="50">
        <v>3.4254903704143969E-18</v>
      </c>
      <c r="FK21" s="50">
        <v>0.88857624586003803</v>
      </c>
      <c r="FL21" s="50">
        <v>1.2305715957925891</v>
      </c>
      <c r="FM21" s="50">
        <v>0.88857624586003803</v>
      </c>
      <c r="FN21" s="50">
        <v>1.2305715957925891</v>
      </c>
      <c r="FP21" s="62" t="s">
        <v>112</v>
      </c>
      <c r="FQ21" s="187">
        <v>1.0373786284325202</v>
      </c>
      <c r="FR21" s="187">
        <v>8.1189968357590458E-2</v>
      </c>
      <c r="FS21" s="188">
        <v>12.777177395408303</v>
      </c>
      <c r="FT21" s="189">
        <v>9.0554754155394328E-19</v>
      </c>
      <c r="FU21" s="187">
        <v>0.87497451155742523</v>
      </c>
      <c r="FV21" s="187">
        <v>1.1997827453076151</v>
      </c>
      <c r="FW21" s="187">
        <v>0.87497451155742523</v>
      </c>
      <c r="FX21" s="187">
        <v>1.1997827453076151</v>
      </c>
      <c r="FZ21" s="50" t="s">
        <v>112</v>
      </c>
      <c r="GA21" s="50">
        <v>1.0358457997745147</v>
      </c>
      <c r="GB21" s="50">
        <v>8.3079358573411921E-2</v>
      </c>
      <c r="GC21" s="50">
        <v>12.468148738283817</v>
      </c>
      <c r="GD21" s="50">
        <v>1.9979064957047181E-18</v>
      </c>
      <c r="GE21" s="50">
        <v>0.8697183549448686</v>
      </c>
      <c r="GF21" s="50">
        <v>1.2019732446041609</v>
      </c>
      <c r="GG21" s="50">
        <v>0.8697183549448686</v>
      </c>
      <c r="GH21" s="50">
        <v>1.2019732446041609</v>
      </c>
      <c r="GJ21" s="50" t="s">
        <v>112</v>
      </c>
      <c r="GK21" s="50">
        <v>1.0943259469576962</v>
      </c>
      <c r="GL21" s="50">
        <v>9.7469580161315836E-2</v>
      </c>
      <c r="GM21" s="50">
        <v>11.227358783597358</v>
      </c>
      <c r="GN21" s="50">
        <v>2.8159835631202466E-16</v>
      </c>
      <c r="GO21" s="50">
        <v>0.89928976755069923</v>
      </c>
      <c r="GP21" s="50">
        <v>1.2893621263646933</v>
      </c>
      <c r="GQ21" s="50">
        <v>0.89928976755069923</v>
      </c>
      <c r="GR21" s="50">
        <v>1.2893621263646933</v>
      </c>
      <c r="GT21" s="46" t="s">
        <v>30</v>
      </c>
      <c r="GU21" s="46">
        <v>-5.8015815779593422E-7</v>
      </c>
      <c r="GV21" s="46">
        <v>9.3068053431972897E-8</v>
      </c>
      <c r="GW21" s="46">
        <v>-6.2336982068717557</v>
      </c>
      <c r="GX21" s="46">
        <v>5.277328421790627E-8</v>
      </c>
      <c r="GY21" s="46">
        <v>-7.66386902560984E-7</v>
      </c>
      <c r="GZ21" s="46">
        <v>-3.9392941303088443E-7</v>
      </c>
      <c r="HA21" s="46">
        <v>-7.66386902560984E-7</v>
      </c>
      <c r="HB21" s="46">
        <v>-3.9392941303088443E-7</v>
      </c>
      <c r="HD21" s="46" t="s">
        <v>30</v>
      </c>
      <c r="HE21" s="46">
        <v>-5.5293209726992812E-7</v>
      </c>
      <c r="HF21" s="46">
        <v>8.1867318112900164E-8</v>
      </c>
      <c r="HG21" s="46">
        <v>-6.7540028184067307</v>
      </c>
      <c r="HH21" s="46">
        <v>7.9546046606336384E-8</v>
      </c>
      <c r="HI21" s="46">
        <v>-7.191315888355197E-7</v>
      </c>
      <c r="HJ21" s="46">
        <v>-3.8673260570433653E-7</v>
      </c>
      <c r="HK21" s="46">
        <v>-7.191315888355197E-7</v>
      </c>
      <c r="HL21" s="46">
        <v>-3.8673260570433653E-7</v>
      </c>
    </row>
    <row r="22" spans="1:220" s="26" customFormat="1" ht="12.75" customHeight="1" thickBot="1" x14ac:dyDescent="0.4">
      <c r="A22" s="26" t="s">
        <v>52</v>
      </c>
      <c r="B22" s="26">
        <v>1970</v>
      </c>
      <c r="C22" s="26">
        <f>'Orig data'!G24</f>
        <v>284250</v>
      </c>
      <c r="D22" s="26">
        <f>'Orig data'!Q24</f>
        <v>739355</v>
      </c>
      <c r="E22" s="26">
        <f>'Orig data'!W24</f>
        <v>772488.96786137787</v>
      </c>
      <c r="F22" s="26">
        <f t="shared" si="25"/>
        <v>284.25</v>
      </c>
      <c r="G22" s="26">
        <f t="shared" si="26"/>
        <v>772.48896786137789</v>
      </c>
      <c r="H22" s="26">
        <f t="shared" si="27"/>
        <v>0.9997635949536845</v>
      </c>
      <c r="I22" s="26">
        <f t="shared" si="28"/>
        <v>455105</v>
      </c>
      <c r="J22" s="26">
        <f t="shared" si="29"/>
        <v>0.61554327758654503</v>
      </c>
      <c r="K22" s="26">
        <f t="shared" si="30"/>
        <v>1970</v>
      </c>
      <c r="L22" s="26">
        <f>covariates!R30</f>
        <v>284250</v>
      </c>
      <c r="M22" s="26">
        <f t="shared" si="31"/>
        <v>-0.77487521455467079</v>
      </c>
      <c r="N22" s="26">
        <f t="shared" si="32"/>
        <v>-1.0178123350495736</v>
      </c>
      <c r="O22" s="26">
        <f t="shared" si="33"/>
        <v>3.8188016440875022E-2</v>
      </c>
      <c r="P22" s="26">
        <f t="shared" si="34"/>
        <v>284250</v>
      </c>
      <c r="Q22" s="26">
        <f t="shared" si="35"/>
        <v>-0.76057812645171086</v>
      </c>
      <c r="R22" s="26">
        <f t="shared" si="36"/>
        <v>-1.0178123350495736</v>
      </c>
      <c r="S22" s="26">
        <f t="shared" si="37"/>
        <v>3.8188016440875022E-2</v>
      </c>
      <c r="T22" s="26">
        <f t="shared" si="38"/>
        <v>284250</v>
      </c>
      <c r="U22" s="26">
        <f t="shared" si="39"/>
        <v>-0.8637116502112524</v>
      </c>
      <c r="V22" s="26">
        <f t="shared" si="40"/>
        <v>3.8188016440875022E-2</v>
      </c>
      <c r="W22" s="26">
        <f t="shared" si="41"/>
        <v>-0.77487521455467079</v>
      </c>
      <c r="X22" s="26">
        <f t="shared" si="42"/>
        <v>284250</v>
      </c>
      <c r="Y22" s="26">
        <f t="shared" si="43"/>
        <v>-1.2964773362775812</v>
      </c>
      <c r="Z22" s="105">
        <f t="shared" si="44"/>
        <v>3.8188016440875022E-2</v>
      </c>
      <c r="AA22" s="105">
        <f t="shared" si="45"/>
        <v>-0.77487521455467079</v>
      </c>
      <c r="AB22" s="105">
        <f t="shared" si="46"/>
        <v>284250</v>
      </c>
      <c r="AC22" s="159">
        <f t="shared" si="47"/>
        <v>-0.38442873962724455</v>
      </c>
      <c r="AD22" s="105">
        <f t="shared" si="48"/>
        <v>3.8188016440875022E-2</v>
      </c>
      <c r="AE22" s="105">
        <f t="shared" si="49"/>
        <v>-0.77487521455467079</v>
      </c>
      <c r="AF22" s="105">
        <f t="shared" si="50"/>
        <v>284250</v>
      </c>
      <c r="AG22" s="105">
        <f>covariates!X30</f>
        <v>-0.38442873962724455</v>
      </c>
      <c r="AH22" s="105">
        <f t="shared" si="51"/>
        <v>3.8188016440875022E-2</v>
      </c>
      <c r="AI22" s="159">
        <f t="shared" si="52"/>
        <v>-1.0178123350495736</v>
      </c>
      <c r="AJ22" s="105">
        <f t="shared" si="53"/>
        <v>-0.77487521455467079</v>
      </c>
      <c r="AK22" s="105"/>
      <c r="AL22" s="105"/>
      <c r="AM22" s="105"/>
      <c r="AN22" s="105"/>
      <c r="AO22" s="105"/>
      <c r="AP22" s="105">
        <f t="shared" si="54"/>
        <v>284250</v>
      </c>
      <c r="AQ22" s="105">
        <f>covariates!T30</f>
        <v>-1.2964773362775812</v>
      </c>
      <c r="AR22" s="105">
        <f t="shared" si="55"/>
        <v>3.8188016440875022E-2</v>
      </c>
      <c r="AS22" s="105">
        <f t="shared" si="56"/>
        <v>-1.0178123350495736</v>
      </c>
      <c r="AT22" s="26">
        <f t="shared" si="57"/>
        <v>-0.77487521455467079</v>
      </c>
      <c r="AU22" s="26">
        <f t="shared" si="58"/>
        <v>284250</v>
      </c>
      <c r="AV22" s="26">
        <f t="shared" si="59"/>
        <v>-0.38442873962724455</v>
      </c>
      <c r="AW22" s="26">
        <f t="shared" si="60"/>
        <v>3.8188016440875022E-2</v>
      </c>
      <c r="AX22" s="26">
        <f t="shared" si="61"/>
        <v>-1.0178123350495736</v>
      </c>
      <c r="AY22" s="26">
        <f t="shared" si="62"/>
        <v>-0.77487521455467079</v>
      </c>
      <c r="AZ22" s="26">
        <f t="shared" si="63"/>
        <v>-0.76057812645171086</v>
      </c>
      <c r="BA22" s="61">
        <v>1970</v>
      </c>
      <c r="BB22" s="164">
        <f t="shared" si="4"/>
        <v>284250</v>
      </c>
      <c r="BC22" s="105">
        <f t="shared" si="5"/>
        <v>-0.38442873962724455</v>
      </c>
      <c r="BD22" s="105">
        <f t="shared" si="6"/>
        <v>3.8188016440875022E-2</v>
      </c>
      <c r="BE22" s="105">
        <f t="shared" si="7"/>
        <v>-1.0178123350495736</v>
      </c>
      <c r="BF22" s="105">
        <f t="shared" si="8"/>
        <v>-0.77487521455467079</v>
      </c>
      <c r="BG22">
        <v>180</v>
      </c>
      <c r="BR22" s="26">
        <f>covariates!V30</f>
        <v>-0.77487521455467079</v>
      </c>
      <c r="BS22" s="26">
        <f>covariates!W30</f>
        <v>-0.8637116502112524</v>
      </c>
      <c r="BT22" s="26">
        <f>covariates!Y30</f>
        <v>-1.0178123350495736</v>
      </c>
      <c r="BU22" s="26">
        <f>covariates!U30</f>
        <v>3.8188016440875022E-2</v>
      </c>
      <c r="BV22" s="26">
        <f>covariates!AA30</f>
        <v>-0.76057812645171086</v>
      </c>
      <c r="BW22" s="26">
        <f t="shared" si="2"/>
        <v>0.9997635949536845</v>
      </c>
      <c r="BX22" s="26">
        <f t="shared" si="9"/>
        <v>-0.77487521455467079</v>
      </c>
      <c r="BY22" s="26">
        <f t="shared" si="10"/>
        <v>-0.76057812645171086</v>
      </c>
      <c r="BZ22" s="26">
        <f t="shared" si="11"/>
        <v>1970</v>
      </c>
      <c r="CA22" s="26">
        <f t="shared" si="64"/>
        <v>1.3558766413027117</v>
      </c>
      <c r="CB22" s="26">
        <f t="shared" si="70"/>
        <v>1.2247356161453271</v>
      </c>
      <c r="CC22" s="26">
        <f t="shared" si="65"/>
        <v>953077.80011157587</v>
      </c>
      <c r="CD22" s="26">
        <f t="shared" si="12"/>
        <v>1.3021052044898482</v>
      </c>
      <c r="CE22" s="26">
        <f t="shared" si="70"/>
        <v>1.1713602244370791</v>
      </c>
      <c r="CF22" s="26">
        <f t="shared" si="13"/>
        <v>916840.58481479972</v>
      </c>
      <c r="CG22" s="26">
        <f t="shared" si="14"/>
        <v>1.2942221091582391</v>
      </c>
      <c r="CH22" s="26">
        <f t="shared" si="71"/>
        <v>1.2198880766426172</v>
      </c>
      <c r="CI22" s="26">
        <f t="shared" si="15"/>
        <v>902236.44435485778</v>
      </c>
      <c r="CJ22" s="26">
        <f t="shared" si="16"/>
        <v>1.3521729962255247</v>
      </c>
      <c r="CK22" s="26">
        <f t="shared" si="72"/>
        <v>1.2168106524096944</v>
      </c>
      <c r="CL22" s="26">
        <f t="shared" si="17"/>
        <v>947189.21825245256</v>
      </c>
      <c r="CM22" s="26">
        <f t="shared" si="66"/>
        <v>1.2871663811146763</v>
      </c>
      <c r="CN22" s="26">
        <f t="shared" si="73"/>
        <v>1.1804839846956248</v>
      </c>
      <c r="CO22" s="26">
        <f t="shared" si="18"/>
        <v>894511.65166737803</v>
      </c>
      <c r="CP22" s="26">
        <f t="shared" si="67"/>
        <v>-0.14666020117941514</v>
      </c>
      <c r="CQ22" s="26">
        <f t="shared" si="19"/>
        <v>1.1670246918890568</v>
      </c>
      <c r="CR22" s="26">
        <f t="shared" si="74"/>
        <v>1.135070344450219</v>
      </c>
      <c r="CS22" s="26">
        <f t="shared" si="20"/>
        <v>793674.89481916244</v>
      </c>
      <c r="CT22" s="26">
        <f t="shared" si="21"/>
        <v>744651.27944798546</v>
      </c>
      <c r="CU22" s="26">
        <f t="shared" si="22"/>
        <v>1.2871663811146763</v>
      </c>
      <c r="CV22" s="26">
        <f t="shared" si="75"/>
        <v>1.186761681119566</v>
      </c>
      <c r="CW22" s="26">
        <f t="shared" si="23"/>
        <v>887574.32666427433</v>
      </c>
      <c r="CX22" s="26">
        <f t="shared" si="24"/>
        <v>1.3021052044898482</v>
      </c>
      <c r="CY22" s="26">
        <f t="shared" si="69"/>
        <v>1.1713602244370791</v>
      </c>
      <c r="CZ22" s="26">
        <f t="shared" si="68"/>
        <v>916840.58481479972</v>
      </c>
      <c r="DZ22" s="161"/>
      <c r="EA22" s="161" t="s">
        <v>118</v>
      </c>
      <c r="EB22" s="161" t="s">
        <v>107</v>
      </c>
      <c r="EC22" s="161" t="s">
        <v>119</v>
      </c>
      <c r="ED22" s="161" t="s">
        <v>120</v>
      </c>
      <c r="EE22" s="161" t="s">
        <v>121</v>
      </c>
      <c r="EF22" s="161" t="s">
        <v>122</v>
      </c>
      <c r="EG22" s="161" t="s">
        <v>123</v>
      </c>
      <c r="EH22" s="161" t="s">
        <v>124</v>
      </c>
      <c r="EJ22" s="50" t="s">
        <v>30</v>
      </c>
      <c r="EK22" s="50">
        <v>-5.0865714706838169E-7</v>
      </c>
      <c r="EL22" s="50">
        <v>7.9294140421915767E-8</v>
      </c>
      <c r="EM22" s="50">
        <v>-6.4148138104766712</v>
      </c>
      <c r="EN22" s="50">
        <v>2.3229845022299814E-8</v>
      </c>
      <c r="EO22" s="50">
        <v>-6.6721558040794517E-7</v>
      </c>
      <c r="EP22" s="50">
        <v>-3.5009871372881826E-7</v>
      </c>
      <c r="EQ22" s="50">
        <v>-6.6721558040794517E-7</v>
      </c>
      <c r="ER22" s="50">
        <v>-3.5009871372881826E-7</v>
      </c>
      <c r="EU22" s="50" t="s">
        <v>30</v>
      </c>
      <c r="EV22" s="50">
        <v>-4.8970843499074632E-7</v>
      </c>
      <c r="EW22" s="50">
        <v>8.0442745062034565E-8</v>
      </c>
      <c r="EX22" s="50">
        <v>-6.0876643955039169</v>
      </c>
      <c r="EY22" s="50">
        <v>8.3212112919543984E-8</v>
      </c>
      <c r="EZ22" s="50">
        <v>-6.505636452585259E-7</v>
      </c>
      <c r="FA22" s="50">
        <v>-3.2885322472296674E-7</v>
      </c>
      <c r="FB22" s="50">
        <v>-6.505636452585259E-7</v>
      </c>
      <c r="FC22" s="50">
        <v>-3.2885322472296674E-7</v>
      </c>
      <c r="FF22" s="50" t="s">
        <v>30</v>
      </c>
      <c r="FG22" s="50">
        <v>-5.2252681635298663E-7</v>
      </c>
      <c r="FH22" s="50">
        <v>8.1671008101442631E-8</v>
      </c>
      <c r="FI22" s="50">
        <v>-6.3979474295696459</v>
      </c>
      <c r="FJ22" s="50">
        <v>2.634762054718431E-8</v>
      </c>
      <c r="FK22" s="50">
        <v>-6.8589315598001142E-7</v>
      </c>
      <c r="FL22" s="50">
        <v>-3.5916047672596184E-7</v>
      </c>
      <c r="FM22" s="50">
        <v>-6.8589315598001142E-7</v>
      </c>
      <c r="FN22" s="50">
        <v>-3.5916047672596184E-7</v>
      </c>
      <c r="FP22" s="62" t="s">
        <v>30</v>
      </c>
      <c r="FQ22" s="189">
        <v>-4.9513662262647796E-7</v>
      </c>
      <c r="FR22" s="189">
        <v>7.5964465212223837E-8</v>
      </c>
      <c r="FS22" s="182">
        <v>-6.5180031379567058</v>
      </c>
      <c r="FT22" s="189">
        <v>1.6507377472493587E-8</v>
      </c>
      <c r="FU22" s="189">
        <v>-6.4708817694096743E-7</v>
      </c>
      <c r="FV22" s="189">
        <v>-3.4318506831198854E-7</v>
      </c>
      <c r="FW22" s="189">
        <v>-6.4708817694096743E-7</v>
      </c>
      <c r="FX22" s="189">
        <v>-3.4318506831198854E-7</v>
      </c>
      <c r="FZ22" s="50" t="s">
        <v>30</v>
      </c>
      <c r="GA22" s="50">
        <v>-4.9324502898817761E-7</v>
      </c>
      <c r="GB22" s="50">
        <v>7.7729609163648982E-8</v>
      </c>
      <c r="GC22" s="50">
        <v>-6.3456517316292969</v>
      </c>
      <c r="GD22" s="50">
        <v>3.0451321555910905E-8</v>
      </c>
      <c r="GE22" s="50">
        <v>-6.48674988724249E-7</v>
      </c>
      <c r="GF22" s="50">
        <v>-3.3781506925210622E-7</v>
      </c>
      <c r="GG22" s="50">
        <v>-6.48674988724249E-7</v>
      </c>
      <c r="GH22" s="50">
        <v>-3.3781506925210622E-7</v>
      </c>
      <c r="GJ22" s="50" t="s">
        <v>30</v>
      </c>
      <c r="GK22" s="50">
        <v>-5.6541270004575834E-7</v>
      </c>
      <c r="GL22" s="50">
        <v>1.010335321731476E-7</v>
      </c>
      <c r="GM22" s="50">
        <v>-5.5962875679410535</v>
      </c>
      <c r="GN22" s="50">
        <v>5.9821542482270234E-7</v>
      </c>
      <c r="GO22" s="50">
        <v>-7.6758033095615904E-7</v>
      </c>
      <c r="GP22" s="50">
        <v>-3.6324506913535759E-7</v>
      </c>
      <c r="GQ22" s="50">
        <v>-7.6758033095615904E-7</v>
      </c>
      <c r="GR22" s="50">
        <v>-3.6324506913535759E-7</v>
      </c>
      <c r="GT22" s="46" t="s">
        <v>188</v>
      </c>
      <c r="GU22" s="46">
        <v>7.2276105714032535E-2</v>
      </c>
      <c r="GV22" s="46">
        <v>5.6627441792291205E-2</v>
      </c>
      <c r="GW22" s="46">
        <v>1.2763441791903729</v>
      </c>
      <c r="GX22" s="46">
        <v>0.20683523114946123</v>
      </c>
      <c r="GY22" s="46">
        <v>-4.1035143585304634E-2</v>
      </c>
      <c r="GZ22" s="46">
        <v>0.1855873550133697</v>
      </c>
      <c r="HA22" s="46">
        <v>-4.1035143585304634E-2</v>
      </c>
      <c r="HB22" s="46">
        <v>0.1855873550133697</v>
      </c>
      <c r="HD22" s="46" t="s">
        <v>188</v>
      </c>
      <c r="HE22" s="46">
        <v>0.11160796299715643</v>
      </c>
      <c r="HF22" s="46">
        <v>6.2098607037266718E-2</v>
      </c>
      <c r="HG22" s="46">
        <v>1.7972699923877211</v>
      </c>
      <c r="HH22" s="46">
        <v>8.0925942993722896E-2</v>
      </c>
      <c r="HI22" s="46">
        <v>-1.4458911482501322E-2</v>
      </c>
      <c r="HJ22" s="46">
        <v>0.23767483747681417</v>
      </c>
      <c r="HK22" s="46">
        <v>-1.4458911482501322E-2</v>
      </c>
      <c r="HL22" s="46">
        <v>0.23767483747681417</v>
      </c>
    </row>
    <row r="23" spans="1:220" s="26" customFormat="1" ht="12.75" customHeight="1" x14ac:dyDescent="0.35">
      <c r="A23" s="26" t="s">
        <v>52</v>
      </c>
      <c r="B23" s="26">
        <v>1971</v>
      </c>
      <c r="C23" s="26">
        <f>'Orig data'!G25</f>
        <v>290125</v>
      </c>
      <c r="D23" s="26">
        <f>'Orig data'!Q25</f>
        <v>376364</v>
      </c>
      <c r="E23" s="26">
        <f>'Orig data'!W25</f>
        <v>579652.29497526027</v>
      </c>
      <c r="F23" s="26">
        <f t="shared" si="25"/>
        <v>290.125</v>
      </c>
      <c r="G23" s="26">
        <f t="shared" si="26"/>
        <v>579.65229497526025</v>
      </c>
      <c r="H23" s="26">
        <f t="shared" si="27"/>
        <v>0.69211656775706698</v>
      </c>
      <c r="I23" s="26">
        <f t="shared" si="28"/>
        <v>86239</v>
      </c>
      <c r="J23" s="26">
        <f t="shared" si="29"/>
        <v>0.22913721822490993</v>
      </c>
      <c r="K23" s="26">
        <f t="shared" si="30"/>
        <v>1971</v>
      </c>
      <c r="L23" s="26">
        <f>covariates!R31</f>
        <v>290125</v>
      </c>
      <c r="M23" s="26">
        <f t="shared" si="31"/>
        <v>-0.74016060878810297</v>
      </c>
      <c r="N23" s="26">
        <f t="shared" si="32"/>
        <v>-1.5331890496695713</v>
      </c>
      <c r="O23" s="26">
        <f t="shared" si="33"/>
        <v>-0.43129995039105873</v>
      </c>
      <c r="P23" s="26">
        <f t="shared" si="34"/>
        <v>290125</v>
      </c>
      <c r="Q23" s="26">
        <f t="shared" si="35"/>
        <v>-0.76057812645171086</v>
      </c>
      <c r="R23" s="26">
        <f t="shared" si="36"/>
        <v>-1.5331890496695713</v>
      </c>
      <c r="S23" s="26">
        <f t="shared" si="37"/>
        <v>-0.43129995039105873</v>
      </c>
      <c r="T23" s="26">
        <f t="shared" si="38"/>
        <v>290125</v>
      </c>
      <c r="U23" s="26">
        <f t="shared" si="39"/>
        <v>-1.580358255509571</v>
      </c>
      <c r="V23" s="26">
        <f t="shared" si="40"/>
        <v>-0.43129995039105873</v>
      </c>
      <c r="W23" s="26">
        <f t="shared" si="41"/>
        <v>-0.74016060878810297</v>
      </c>
      <c r="X23" s="26">
        <f t="shared" si="42"/>
        <v>290125</v>
      </c>
      <c r="Y23" s="26">
        <f t="shared" si="43"/>
        <v>-1.438031376123321</v>
      </c>
      <c r="Z23" s="105">
        <f t="shared" si="44"/>
        <v>-0.43129995039105873</v>
      </c>
      <c r="AA23" s="105">
        <f t="shared" si="45"/>
        <v>-0.74016060878810297</v>
      </c>
      <c r="AB23" s="105">
        <f t="shared" si="46"/>
        <v>290125</v>
      </c>
      <c r="AC23" s="159">
        <f t="shared" si="47"/>
        <v>-0.77705579827523164</v>
      </c>
      <c r="AD23" s="105">
        <f t="shared" si="48"/>
        <v>-0.43129995039105873</v>
      </c>
      <c r="AE23" s="105">
        <f t="shared" si="49"/>
        <v>-0.74016060878810297</v>
      </c>
      <c r="AF23" s="105">
        <f t="shared" si="50"/>
        <v>290125</v>
      </c>
      <c r="AG23" s="105">
        <f>covariates!X31</f>
        <v>-0.77705579827523164</v>
      </c>
      <c r="AH23" s="105">
        <f t="shared" si="51"/>
        <v>-0.43129995039105873</v>
      </c>
      <c r="AI23" s="159">
        <f t="shared" si="52"/>
        <v>-1.5331890496695713</v>
      </c>
      <c r="AJ23" s="105">
        <f t="shared" si="53"/>
        <v>-0.74016060878810297</v>
      </c>
      <c r="AK23" s="105"/>
      <c r="AL23" s="105"/>
      <c r="AM23" s="105"/>
      <c r="AN23" s="105"/>
      <c r="AO23" s="105"/>
      <c r="AP23" s="105">
        <f t="shared" si="54"/>
        <v>290125</v>
      </c>
      <c r="AQ23" s="105">
        <f>covariates!T31</f>
        <v>-1.438031376123321</v>
      </c>
      <c r="AR23" s="105">
        <f t="shared" si="55"/>
        <v>-0.43129995039105873</v>
      </c>
      <c r="AS23" s="105">
        <f t="shared" si="56"/>
        <v>-1.5331890496695713</v>
      </c>
      <c r="AT23" s="26">
        <f t="shared" si="57"/>
        <v>-0.74016060878810297</v>
      </c>
      <c r="AU23" s="26">
        <f t="shared" si="58"/>
        <v>290125</v>
      </c>
      <c r="AV23" s="26">
        <f t="shared" si="59"/>
        <v>-0.77705579827523164</v>
      </c>
      <c r="AW23" s="26">
        <f t="shared" si="60"/>
        <v>-0.43129995039105873</v>
      </c>
      <c r="AX23" s="26">
        <f t="shared" si="61"/>
        <v>-1.5331890496695713</v>
      </c>
      <c r="AY23" s="26">
        <f t="shared" si="62"/>
        <v>-0.74016060878810297</v>
      </c>
      <c r="AZ23" s="26">
        <f t="shared" si="63"/>
        <v>-0.76057812645171086</v>
      </c>
      <c r="BA23" s="61">
        <v>1971</v>
      </c>
      <c r="BB23" s="164">
        <f t="shared" si="4"/>
        <v>290125</v>
      </c>
      <c r="BC23" s="105">
        <f t="shared" si="5"/>
        <v>-0.77705579827523164</v>
      </c>
      <c r="BD23" s="105">
        <f t="shared" si="6"/>
        <v>-0.43129995039105873</v>
      </c>
      <c r="BE23" s="105">
        <f t="shared" si="7"/>
        <v>-1.5331890496695713</v>
      </c>
      <c r="BF23" s="105">
        <f t="shared" si="8"/>
        <v>-0.74016060878810297</v>
      </c>
      <c r="BG23">
        <v>180</v>
      </c>
      <c r="BR23" s="26">
        <f>covariates!V31</f>
        <v>-0.74016060878810297</v>
      </c>
      <c r="BS23" s="26">
        <f>covariates!W31</f>
        <v>-1.580358255509571</v>
      </c>
      <c r="BT23" s="26">
        <f>covariates!Y31</f>
        <v>-1.5331890496695713</v>
      </c>
      <c r="BU23" s="26">
        <f>covariates!U31</f>
        <v>-0.43129995039105873</v>
      </c>
      <c r="BV23" s="26">
        <f>covariates!AA31</f>
        <v>-0.76057812645171086</v>
      </c>
      <c r="BW23" s="26">
        <f t="shared" si="2"/>
        <v>0.69211656775706698</v>
      </c>
      <c r="BX23" s="26">
        <f>AVERAGE($BX$13:$BX$22)</f>
        <v>-0.76945436806962253</v>
      </c>
      <c r="BY23" s="26">
        <f t="shared" si="10"/>
        <v>-0.76057812645171086</v>
      </c>
      <c r="BZ23" s="26">
        <f t="shared" si="11"/>
        <v>1971</v>
      </c>
      <c r="CA23" s="26">
        <f t="shared" si="64"/>
        <v>1.3514925886954678</v>
      </c>
      <c r="CB23" s="26">
        <f t="shared" si="70"/>
        <v>1.2579488826219678</v>
      </c>
      <c r="CC23" s="26">
        <f t="shared" si="65"/>
        <v>965602.17181380244</v>
      </c>
      <c r="CD23" s="26">
        <f t="shared" si="12"/>
        <v>1.3013854368220183</v>
      </c>
      <c r="CE23" s="26">
        <f t="shared" si="70"/>
        <v>1.2088944851156889</v>
      </c>
      <c r="CF23" s="26">
        <f t="shared" si="13"/>
        <v>932587.96707863885</v>
      </c>
      <c r="CG23" s="26">
        <f t="shared" si="14"/>
        <v>1.2518633976298918</v>
      </c>
      <c r="CH23" s="26">
        <f t="shared" si="71"/>
        <v>1.2433804975617309</v>
      </c>
      <c r="CI23" s="26">
        <f t="shared" si="15"/>
        <v>880155.5053825957</v>
      </c>
      <c r="CJ23" s="26">
        <f t="shared" si="16"/>
        <v>1.3487727552027031</v>
      </c>
      <c r="CK23" s="26">
        <f t="shared" si="72"/>
        <v>1.2512660376982374</v>
      </c>
      <c r="CL23" s="26">
        <f t="shared" si="17"/>
        <v>960531.25997568364</v>
      </c>
      <c r="CM23" s="26">
        <f t="shared" si="66"/>
        <v>1.2493146700090205</v>
      </c>
      <c r="CN23" s="26">
        <f t="shared" si="73"/>
        <v>1.2089961965225018</v>
      </c>
      <c r="CO23" s="26">
        <f t="shared" si="18"/>
        <v>876533.58602234058</v>
      </c>
      <c r="CP23" s="26">
        <f t="shared" si="67"/>
        <v>-0.41354658961244617</v>
      </c>
      <c r="CQ23" s="26">
        <f t="shared" si="19"/>
        <v>1.0699940423754122</v>
      </c>
      <c r="CR23" s="26">
        <f t="shared" si="74"/>
        <v>1.1530143826073695</v>
      </c>
      <c r="CS23" s="26">
        <f t="shared" si="20"/>
        <v>733042.14214969275</v>
      </c>
      <c r="CT23" s="26">
        <f t="shared" si="21"/>
        <v>757272.40065332095</v>
      </c>
      <c r="CU23" s="26">
        <f t="shared" si="22"/>
        <v>1.2558836866990106</v>
      </c>
      <c r="CV23" s="26">
        <f t="shared" si="75"/>
        <v>1.2172310888351932</v>
      </c>
      <c r="CW23" s="26">
        <f t="shared" si="23"/>
        <v>875326.93686237105</v>
      </c>
      <c r="CX23" s="26">
        <f t="shared" si="24"/>
        <v>1.3013854368220183</v>
      </c>
      <c r="CY23" s="26">
        <f t="shared" si="69"/>
        <v>1.2088944851156889</v>
      </c>
      <c r="CZ23" s="26">
        <f t="shared" si="68"/>
        <v>932587.96707863885</v>
      </c>
      <c r="DA23" s="161"/>
      <c r="DB23" s="161" t="s">
        <v>118</v>
      </c>
      <c r="DC23" s="161" t="s">
        <v>107</v>
      </c>
      <c r="DD23" s="161" t="s">
        <v>119</v>
      </c>
      <c r="DE23" s="161" t="s">
        <v>120</v>
      </c>
      <c r="DF23" s="161" t="s">
        <v>121</v>
      </c>
      <c r="DG23" s="161" t="s">
        <v>122</v>
      </c>
      <c r="DH23" s="161" t="s">
        <v>123</v>
      </c>
      <c r="DI23" s="161" t="s">
        <v>124</v>
      </c>
      <c r="DN23" s="161"/>
      <c r="DO23" s="161" t="s">
        <v>118</v>
      </c>
      <c r="DP23" s="161" t="s">
        <v>107</v>
      </c>
      <c r="DQ23" s="161" t="s">
        <v>119</v>
      </c>
      <c r="DR23" s="161" t="s">
        <v>120</v>
      </c>
      <c r="DS23" s="161" t="s">
        <v>121</v>
      </c>
      <c r="DT23" s="161" t="s">
        <v>122</v>
      </c>
      <c r="DU23" s="161" t="s">
        <v>123</v>
      </c>
      <c r="DV23" s="161" t="s">
        <v>124</v>
      </c>
      <c r="DZ23" s="50" t="s">
        <v>112</v>
      </c>
      <c r="EA23" s="50">
        <v>1.0096778947361054</v>
      </c>
      <c r="EB23" s="50">
        <v>9.4977929793504251E-2</v>
      </c>
      <c r="EC23" s="50">
        <v>10.63065805846991</v>
      </c>
      <c r="ED23" s="50">
        <v>1.6313801801726218E-15</v>
      </c>
      <c r="EE23" s="50">
        <v>0.81975778626702067</v>
      </c>
      <c r="EF23" s="50">
        <v>1.1995980032051901</v>
      </c>
      <c r="EG23" s="50">
        <v>0.81975778626702067</v>
      </c>
      <c r="EH23" s="50">
        <v>1.1995980032051901</v>
      </c>
      <c r="EJ23" s="50" t="s">
        <v>93</v>
      </c>
      <c r="EK23" s="50">
        <v>3.2142849103897378E-2</v>
      </c>
      <c r="EL23" s="50">
        <v>7.0317952884035723E-2</v>
      </c>
      <c r="EM23" s="50">
        <v>0.45710729316744325</v>
      </c>
      <c r="EN23" s="50">
        <v>0.64921770411473778</v>
      </c>
      <c r="EO23" s="50">
        <v>-0.10846658793158344</v>
      </c>
      <c r="EP23" s="50">
        <v>0.17275228613937821</v>
      </c>
      <c r="EQ23" s="50">
        <v>-0.10846658793158344</v>
      </c>
      <c r="ER23" s="50">
        <v>0.17275228613937821</v>
      </c>
      <c r="EU23" s="50" t="s">
        <v>90</v>
      </c>
      <c r="EV23" s="50">
        <v>-7.6328282359204802E-2</v>
      </c>
      <c r="EW23" s="50">
        <v>6.4876793954102119E-2</v>
      </c>
      <c r="EX23" s="50">
        <v>-1.1765113179483588</v>
      </c>
      <c r="EY23" s="50">
        <v>0.243961432762408</v>
      </c>
      <c r="EZ23" s="50">
        <v>-0.20605744966868456</v>
      </c>
      <c r="FA23" s="50">
        <v>5.3400884950274952E-2</v>
      </c>
      <c r="FB23" s="50">
        <v>-0.20605744966868456</v>
      </c>
      <c r="FC23" s="50">
        <v>5.3400884950274952E-2</v>
      </c>
      <c r="FF23" s="50" t="s">
        <v>90</v>
      </c>
      <c r="FG23" s="50">
        <v>2.8247132073830783E-2</v>
      </c>
      <c r="FH23" s="50">
        <v>8.9407361104073199E-2</v>
      </c>
      <c r="FI23" s="50">
        <v>0.31593743205271613</v>
      </c>
      <c r="FJ23" s="50">
        <v>0.75314642439226787</v>
      </c>
      <c r="FK23" s="50">
        <v>-0.15059421761468939</v>
      </c>
      <c r="FL23" s="50">
        <v>0.20708848176235095</v>
      </c>
      <c r="FM23" s="50">
        <v>-0.15059421761468939</v>
      </c>
      <c r="FN23" s="50">
        <v>0.20708848176235095</v>
      </c>
      <c r="FP23" s="62" t="s">
        <v>188</v>
      </c>
      <c r="FQ23" s="187">
        <v>9.2948001569691518E-2</v>
      </c>
      <c r="FR23" s="187">
        <v>5.5662186728345324E-2</v>
      </c>
      <c r="FS23" s="187">
        <v>1.6698589658957619</v>
      </c>
      <c r="FT23" s="187">
        <v>0.10015693098773722</v>
      </c>
      <c r="FU23" s="187">
        <v>-1.8392949311568735E-2</v>
      </c>
      <c r="FV23" s="187">
        <v>0.20428895245095177</v>
      </c>
      <c r="FW23" s="187">
        <v>-1.8392949311568735E-2</v>
      </c>
      <c r="FX23" s="187">
        <v>0.20428895245095177</v>
      </c>
      <c r="FZ23" s="50" t="s">
        <v>194</v>
      </c>
      <c r="GA23" s="50">
        <v>9.9699973465659175E-2</v>
      </c>
      <c r="GB23" s="50">
        <v>5.6851966818418226E-2</v>
      </c>
      <c r="GC23" s="50">
        <v>1.7536767687227939</v>
      </c>
      <c r="GD23" s="50">
        <v>8.4509037051007985E-2</v>
      </c>
      <c r="GE23" s="50">
        <v>-1.3982560237799674E-2</v>
      </c>
      <c r="GF23" s="50">
        <v>0.21338250716911802</v>
      </c>
      <c r="GG23" s="50">
        <v>-1.3982560237799674E-2</v>
      </c>
      <c r="GH23" s="50">
        <v>0.21338250716911802</v>
      </c>
      <c r="GJ23" s="50" t="s">
        <v>188</v>
      </c>
      <c r="GK23" s="50">
        <v>9.3258493483226151E-2</v>
      </c>
      <c r="GL23" s="50">
        <v>5.5611836826389337E-2</v>
      </c>
      <c r="GM23" s="50">
        <v>1.6769540228344417</v>
      </c>
      <c r="GN23" s="50">
        <v>9.8842604702167547E-2</v>
      </c>
      <c r="GO23" s="50">
        <v>-1.8020534973377883E-2</v>
      </c>
      <c r="GP23" s="50">
        <v>0.20453752193983019</v>
      </c>
      <c r="GQ23" s="50">
        <v>-1.8020534973377883E-2</v>
      </c>
      <c r="GR23" s="50">
        <v>0.20453752193983019</v>
      </c>
      <c r="GT23" s="46" t="s">
        <v>89</v>
      </c>
      <c r="GU23" s="46">
        <v>0.12349153634960623</v>
      </c>
      <c r="GV23" s="46">
        <v>5.5643179265518365E-2</v>
      </c>
      <c r="GW23" s="46">
        <v>2.2193472403927315</v>
      </c>
      <c r="GX23" s="46">
        <v>3.0320578498624018E-2</v>
      </c>
      <c r="GY23" s="46">
        <v>1.2149791817166994E-2</v>
      </c>
      <c r="GZ23" s="46">
        <v>0.23483328088204547</v>
      </c>
      <c r="HA23" s="46">
        <v>1.2149791817166994E-2</v>
      </c>
      <c r="HB23" s="46">
        <v>0.23483328088204547</v>
      </c>
      <c r="HD23" s="46" t="s">
        <v>89</v>
      </c>
      <c r="HE23" s="46">
        <v>0.25978505735230961</v>
      </c>
      <c r="HF23" s="46">
        <v>5.5768984230676527E-2</v>
      </c>
      <c r="HG23" s="46">
        <v>4.6582354141105391</v>
      </c>
      <c r="HH23" s="46">
        <v>4.484136346597339E-5</v>
      </c>
      <c r="HI23" s="46">
        <v>0.14656800031514478</v>
      </c>
      <c r="HJ23" s="46">
        <v>0.37300211438947445</v>
      </c>
      <c r="HK23" s="46">
        <v>0.14656800031514478</v>
      </c>
      <c r="HL23" s="46">
        <v>0.37300211438947445</v>
      </c>
    </row>
    <row r="24" spans="1:220" s="26" customFormat="1" ht="12.75" customHeight="1" x14ac:dyDescent="0.35">
      <c r="A24" s="26" t="s">
        <v>52</v>
      </c>
      <c r="B24" s="26">
        <v>1972</v>
      </c>
      <c r="C24" s="26">
        <f>'Orig data'!G26</f>
        <v>423290</v>
      </c>
      <c r="D24" s="26">
        <f>'Orig data'!Q26</f>
        <v>1349820</v>
      </c>
      <c r="E24" s="26">
        <f>'Orig data'!W26</f>
        <v>911324.26470989024</v>
      </c>
      <c r="F24" s="26">
        <f t="shared" si="25"/>
        <v>423.29</v>
      </c>
      <c r="G24" s="26">
        <f t="shared" si="26"/>
        <v>911.32426470989026</v>
      </c>
      <c r="H24" s="26">
        <f t="shared" si="27"/>
        <v>0.76684125428570438</v>
      </c>
      <c r="I24" s="26">
        <f t="shared" si="28"/>
        <v>926530</v>
      </c>
      <c r="J24" s="26">
        <f t="shared" si="29"/>
        <v>0.68641003985716609</v>
      </c>
      <c r="K24" s="26">
        <f t="shared" si="30"/>
        <v>1972</v>
      </c>
      <c r="L24" s="26">
        <f>covariates!R32</f>
        <v>423290</v>
      </c>
      <c r="M24" s="26">
        <f t="shared" si="31"/>
        <v>-0.70635501767622533</v>
      </c>
      <c r="N24" s="26">
        <f t="shared" si="32"/>
        <v>-0.15123132699901326</v>
      </c>
      <c r="O24" s="26">
        <f t="shared" si="33"/>
        <v>-0.38188016440874983</v>
      </c>
      <c r="P24" s="26">
        <f t="shared" si="34"/>
        <v>423290</v>
      </c>
      <c r="Q24" s="26">
        <f t="shared" si="35"/>
        <v>-0.76057812645171086</v>
      </c>
      <c r="R24" s="26">
        <f t="shared" si="36"/>
        <v>-0.15123132699901326</v>
      </c>
      <c r="S24" s="26">
        <f t="shared" si="37"/>
        <v>-0.38188016440874983</v>
      </c>
      <c r="T24" s="26">
        <f t="shared" si="38"/>
        <v>423290</v>
      </c>
      <c r="U24" s="26">
        <f t="shared" si="39"/>
        <v>-1.8072179410195979</v>
      </c>
      <c r="V24" s="26">
        <f>BU24</f>
        <v>-0.38188016440874983</v>
      </c>
      <c r="W24" s="26">
        <f t="shared" si="41"/>
        <v>-0.70635501767622533</v>
      </c>
      <c r="X24" s="26">
        <f t="shared" si="42"/>
        <v>423290</v>
      </c>
      <c r="Y24" s="26">
        <f t="shared" si="43"/>
        <v>-1.1090138781034913</v>
      </c>
      <c r="Z24" s="105">
        <f t="shared" si="44"/>
        <v>-0.38188016440874983</v>
      </c>
      <c r="AA24" s="105">
        <f t="shared" si="45"/>
        <v>-0.70635501767622533</v>
      </c>
      <c r="AB24" s="105">
        <f t="shared" si="46"/>
        <v>423290</v>
      </c>
      <c r="AC24" s="159">
        <f t="shared" si="47"/>
        <v>1.287615101625466</v>
      </c>
      <c r="AD24" s="105">
        <f t="shared" si="48"/>
        <v>-0.38188016440874983</v>
      </c>
      <c r="AE24" s="105">
        <f t="shared" si="49"/>
        <v>-0.70635501767622533</v>
      </c>
      <c r="AF24" s="105">
        <f t="shared" si="50"/>
        <v>423290</v>
      </c>
      <c r="AG24" s="105">
        <f>covariates!X32</f>
        <v>1.287615101625466</v>
      </c>
      <c r="AH24" s="105">
        <f t="shared" si="51"/>
        <v>-0.38188016440874983</v>
      </c>
      <c r="AI24" s="159">
        <f t="shared" si="52"/>
        <v>-0.15123132699901326</v>
      </c>
      <c r="AJ24" s="105">
        <f t="shared" si="53"/>
        <v>-0.70635501767622533</v>
      </c>
      <c r="AK24" s="105"/>
      <c r="AL24" s="105"/>
      <c r="AM24" s="105"/>
      <c r="AN24" s="105"/>
      <c r="AO24" s="105"/>
      <c r="AP24" s="105">
        <f t="shared" si="54"/>
        <v>423290</v>
      </c>
      <c r="AQ24" s="105">
        <f>covariates!T32</f>
        <v>-1.1090138781034913</v>
      </c>
      <c r="AR24" s="105">
        <f t="shared" si="55"/>
        <v>-0.38188016440874983</v>
      </c>
      <c r="AS24" s="105">
        <f t="shared" si="56"/>
        <v>-0.15123132699901326</v>
      </c>
      <c r="AT24" s="26">
        <f t="shared" si="57"/>
        <v>-0.70635501767622533</v>
      </c>
      <c r="AU24" s="26">
        <f t="shared" si="58"/>
        <v>423290</v>
      </c>
      <c r="AV24" s="26">
        <f t="shared" si="59"/>
        <v>1.287615101625466</v>
      </c>
      <c r="AW24" s="26">
        <f t="shared" si="60"/>
        <v>-0.38188016440874983</v>
      </c>
      <c r="AX24" s="26">
        <f t="shared" si="61"/>
        <v>-0.15123132699901326</v>
      </c>
      <c r="AY24" s="26">
        <f t="shared" si="62"/>
        <v>-0.70635501767622533</v>
      </c>
      <c r="AZ24" s="26">
        <f t="shared" si="63"/>
        <v>-0.76057812645171086</v>
      </c>
      <c r="BA24" s="61">
        <v>1972</v>
      </c>
      <c r="BB24" s="164">
        <f t="shared" si="4"/>
        <v>423290</v>
      </c>
      <c r="BC24" s="105">
        <f t="shared" si="5"/>
        <v>1.287615101625466</v>
      </c>
      <c r="BD24" s="105">
        <f t="shared" si="6"/>
        <v>-0.38188016440874983</v>
      </c>
      <c r="BE24" s="105">
        <f t="shared" si="7"/>
        <v>-0.15123132699901326</v>
      </c>
      <c r="BF24" s="105">
        <f t="shared" si="8"/>
        <v>-0.70635501767622533</v>
      </c>
      <c r="BG24">
        <v>180</v>
      </c>
      <c r="BR24" s="26">
        <f>covariates!V32</f>
        <v>-0.70635501767622533</v>
      </c>
      <c r="BS24" s="26">
        <f>covariates!W32</f>
        <v>-1.8072179410195979</v>
      </c>
      <c r="BT24" s="26">
        <f>covariates!Y32</f>
        <v>-0.15123132699901326</v>
      </c>
      <c r="BU24" s="26">
        <f>covariates!U32</f>
        <v>-0.38188016440874983</v>
      </c>
      <c r="BV24" s="26">
        <f>covariates!AA32</f>
        <v>-0.76057812645171086</v>
      </c>
      <c r="BW24" s="26">
        <f t="shared" si="2"/>
        <v>0.76684125428570438</v>
      </c>
      <c r="BX24" s="26">
        <f t="shared" ref="BX24:BX68" si="76">AVERAGE($BX$13:$BX$22)</f>
        <v>-0.76945436806962253</v>
      </c>
      <c r="BY24" s="26">
        <f t="shared" si="10"/>
        <v>-0.76057812645171086</v>
      </c>
      <c r="BZ24" s="26">
        <f t="shared" si="11"/>
        <v>1972</v>
      </c>
      <c r="CA24" s="26">
        <f t="shared" si="64"/>
        <v>1.1949629083849944</v>
      </c>
      <c r="CB24" s="26">
        <f t="shared" si="70"/>
        <v>1.2622818337413988</v>
      </c>
      <c r="CC24" s="26">
        <f t="shared" si="65"/>
        <v>1125017.6510193266</v>
      </c>
      <c r="CD24" s="26">
        <f t="shared" si="12"/>
        <v>1.1535202760219312</v>
      </c>
      <c r="CE24" s="26">
        <f t="shared" si="70"/>
        <v>1.2179640622095955</v>
      </c>
      <c r="CF24" s="26">
        <f t="shared" si="13"/>
        <v>1103741.7211272139</v>
      </c>
      <c r="CG24" s="26">
        <f t="shared" si="14"/>
        <v>1.2246820120197561</v>
      </c>
      <c r="CH24" s="26">
        <f t="shared" si="71"/>
        <v>1.2675861597062679</v>
      </c>
      <c r="CI24" s="26">
        <f t="shared" si="15"/>
        <v>1170809.714279392</v>
      </c>
      <c r="CJ24" s="26">
        <f t="shared" si="16"/>
        <v>1.1781091760372877</v>
      </c>
      <c r="CK24" s="26">
        <f t="shared" si="72"/>
        <v>1.252661322453708</v>
      </c>
      <c r="CL24" s="26">
        <f t="shared" si="17"/>
        <v>1102114.9815931451</v>
      </c>
      <c r="CM24" s="26">
        <f t="shared" si="66"/>
        <v>1.2922928046229831</v>
      </c>
      <c r="CN24" s="26">
        <f t="shared" si="73"/>
        <v>1.2325476448777684</v>
      </c>
      <c r="CO24" s="26">
        <f t="shared" si="18"/>
        <v>1249831.4072148199</v>
      </c>
      <c r="CP24" s="26">
        <f t="shared" si="67"/>
        <v>-0.31586516934571662</v>
      </c>
      <c r="CQ24" s="26">
        <f t="shared" si="19"/>
        <v>1.2739389510463035</v>
      </c>
      <c r="CR24" s="26">
        <f t="shared" si="74"/>
        <v>1.1971390799826831</v>
      </c>
      <c r="CS24" s="26">
        <f t="shared" si="20"/>
        <v>1228084.3386931987</v>
      </c>
      <c r="CT24" s="26">
        <f t="shared" si="21"/>
        <v>1017109.3181441393</v>
      </c>
      <c r="CU24" s="26">
        <f t="shared" si="22"/>
        <v>1.3064425995290694</v>
      </c>
      <c r="CV24" s="26">
        <f t="shared" si="75"/>
        <v>1.2425705130063607</v>
      </c>
      <c r="CW24" s="26">
        <f t="shared" si="23"/>
        <v>1253029.8115794987</v>
      </c>
      <c r="CX24" s="26">
        <f t="shared" si="24"/>
        <v>1.1535202760219312</v>
      </c>
      <c r="CY24" s="26">
        <f t="shared" si="69"/>
        <v>1.2179640622095955</v>
      </c>
      <c r="CZ24" s="26">
        <f t="shared" si="68"/>
        <v>1103741.7211272139</v>
      </c>
      <c r="DA24" s="50" t="s">
        <v>112</v>
      </c>
      <c r="DB24" s="182">
        <v>1.1396950107978494</v>
      </c>
      <c r="DC24" s="182">
        <v>8.7400907508227085E-2</v>
      </c>
      <c r="DD24" s="182">
        <v>13.03985328402419</v>
      </c>
      <c r="DE24" s="183">
        <v>1.1083806904310542E-19</v>
      </c>
      <c r="DF24" s="182">
        <v>0.96509162605438603</v>
      </c>
      <c r="DG24" s="182">
        <v>1.3142983955413128</v>
      </c>
      <c r="DH24" s="50">
        <v>0.96509162605438603</v>
      </c>
      <c r="DI24" s="50">
        <v>1.3142983955413128</v>
      </c>
      <c r="DN24" s="50" t="s">
        <v>112</v>
      </c>
      <c r="DO24" s="50">
        <v>1.0524640181449958</v>
      </c>
      <c r="DP24" s="50">
        <v>8.1860053652549031E-2</v>
      </c>
      <c r="DQ24" s="50">
        <v>12.856869390925732</v>
      </c>
      <c r="DR24" s="50">
        <v>5.1041900015130526E-19</v>
      </c>
      <c r="DS24" s="50">
        <v>0.88877472419240755</v>
      </c>
      <c r="DT24" s="50">
        <v>1.216153312097584</v>
      </c>
      <c r="DU24" s="50">
        <v>0.88877472419240755</v>
      </c>
      <c r="DV24" s="50">
        <v>1.216153312097584</v>
      </c>
      <c r="DZ24" s="50" t="s">
        <v>30</v>
      </c>
      <c r="EA24" s="50">
        <v>-4.6095241595554415E-7</v>
      </c>
      <c r="EB24" s="50">
        <v>9.453037484789702E-8</v>
      </c>
      <c r="EC24" s="50">
        <v>-4.8762359897253571</v>
      </c>
      <c r="ED24" s="50">
        <v>8.0781893830731491E-6</v>
      </c>
      <c r="EE24" s="50">
        <v>-6.4997758299981156E-7</v>
      </c>
      <c r="EF24" s="50">
        <v>-2.7192724891127674E-7</v>
      </c>
      <c r="EG24" s="50">
        <v>-6.4997758299981156E-7</v>
      </c>
      <c r="EH24" s="50">
        <v>-2.7192724891127674E-7</v>
      </c>
      <c r="EJ24" s="50" t="s">
        <v>89</v>
      </c>
      <c r="EK24" s="50">
        <v>0.11435003197713145</v>
      </c>
      <c r="EL24" s="50">
        <v>5.799929307884636E-2</v>
      </c>
      <c r="EM24" s="50">
        <v>1.971576305622895</v>
      </c>
      <c r="EN24" s="50">
        <v>5.3198112785014809E-2</v>
      </c>
      <c r="EO24" s="50">
        <v>-1.6267223763635486E-3</v>
      </c>
      <c r="EP24" s="50">
        <v>0.23032678633062645</v>
      </c>
      <c r="EQ24" s="50">
        <v>-1.6267223763635486E-3</v>
      </c>
      <c r="ER24" s="50">
        <v>0.23032678633062645</v>
      </c>
      <c r="EU24" s="50" t="s">
        <v>89</v>
      </c>
      <c r="EV24" s="50">
        <v>9.810849914636019E-2</v>
      </c>
      <c r="EW24" s="50">
        <v>5.9124454260463331E-2</v>
      </c>
      <c r="EX24" s="50">
        <v>1.6593556824078051</v>
      </c>
      <c r="EY24" s="50">
        <v>0.10217741548548896</v>
      </c>
      <c r="EZ24" s="50">
        <v>-2.0118154042816874E-2</v>
      </c>
      <c r="FA24" s="50">
        <v>0.21633515233553724</v>
      </c>
      <c r="FB24" s="50">
        <v>-2.0118154042816874E-2</v>
      </c>
      <c r="FC24" s="50">
        <v>0.21633515233553724</v>
      </c>
      <c r="FF24" s="50" t="s">
        <v>89</v>
      </c>
      <c r="FG24" s="50">
        <v>0.12121272955592281</v>
      </c>
      <c r="FH24" s="50">
        <v>5.9884196269470273E-2</v>
      </c>
      <c r="FI24" s="50">
        <v>2.024118834466492</v>
      </c>
      <c r="FJ24" s="50">
        <v>4.7417085840674313E-2</v>
      </c>
      <c r="FK24" s="50">
        <v>1.4265021850268927E-3</v>
      </c>
      <c r="FL24" s="50">
        <v>0.24099895692681872</v>
      </c>
      <c r="FM24" s="50">
        <v>1.4265021850268927E-3</v>
      </c>
      <c r="FN24" s="50">
        <v>0.24099895692681872</v>
      </c>
      <c r="FP24" s="62" t="s">
        <v>89</v>
      </c>
      <c r="FQ24" s="187">
        <v>0.10261762608871264</v>
      </c>
      <c r="FR24" s="187">
        <v>5.4604225357626483E-2</v>
      </c>
      <c r="FS24" s="187">
        <v>1.8792982670594778</v>
      </c>
      <c r="FT24" s="187">
        <v>6.5062847049986147E-2</v>
      </c>
      <c r="FU24" s="187">
        <v>-6.6070869669234977E-3</v>
      </c>
      <c r="FV24" s="187">
        <v>0.21184233914434877</v>
      </c>
      <c r="FW24" s="187">
        <v>-6.6070869669234977E-3</v>
      </c>
      <c r="FX24" s="187">
        <v>0.21184233914434877</v>
      </c>
      <c r="FZ24" s="50" t="s">
        <v>89</v>
      </c>
      <c r="GA24" s="50">
        <v>0.10751233370686879</v>
      </c>
      <c r="GB24" s="50">
        <v>5.5819581049087019E-2</v>
      </c>
      <c r="GC24" s="50">
        <v>1.9260684456288526</v>
      </c>
      <c r="GD24" s="50">
        <v>5.8759453587148416E-2</v>
      </c>
      <c r="GE24" s="50">
        <v>-4.1058170634222374E-3</v>
      </c>
      <c r="GF24" s="50">
        <v>0.21913048447715983</v>
      </c>
      <c r="GG24" s="50">
        <v>-4.1058170634222374E-3</v>
      </c>
      <c r="GH24" s="50">
        <v>0.21913048447715983</v>
      </c>
      <c r="GJ24" s="50" t="s">
        <v>89</v>
      </c>
      <c r="GK24" s="50">
        <v>9.08852669909882E-2</v>
      </c>
      <c r="GL24" s="50">
        <v>5.5678639678249792E-2</v>
      </c>
      <c r="GM24" s="50">
        <v>1.6323183812712914</v>
      </c>
      <c r="GN24" s="50">
        <v>0.10793889742173607</v>
      </c>
      <c r="GO24" s="50">
        <v>-2.0527433663431724E-2</v>
      </c>
      <c r="GP24" s="50">
        <v>0.20229796764540814</v>
      </c>
      <c r="GQ24" s="50">
        <v>-2.0527433663431724E-2</v>
      </c>
      <c r="GR24" s="50">
        <v>0.20229796764540814</v>
      </c>
      <c r="GT24" s="46" t="s">
        <v>187</v>
      </c>
      <c r="GU24" s="46">
        <v>-0.12050949658924578</v>
      </c>
      <c r="GV24" s="46">
        <v>5.4015291313529369E-2</v>
      </c>
      <c r="GW24" s="46">
        <v>-2.2310255792152214</v>
      </c>
      <c r="GX24" s="46">
        <v>2.9493517895870972E-2</v>
      </c>
      <c r="GY24" s="46">
        <v>-0.22859384485370948</v>
      </c>
      <c r="GZ24" s="46">
        <v>-1.2425148324782101E-2</v>
      </c>
      <c r="HA24" s="46">
        <v>-0.22859384485370948</v>
      </c>
      <c r="HB24" s="46">
        <v>-1.2425148324782101E-2</v>
      </c>
      <c r="HD24" s="46" t="s">
        <v>187</v>
      </c>
      <c r="HE24" s="46">
        <v>-2.1992086597043669E-2</v>
      </c>
      <c r="HF24" s="46">
        <v>6.0447212274627973E-2</v>
      </c>
      <c r="HG24" s="46">
        <v>-0.36382300803431089</v>
      </c>
      <c r="HH24" s="46">
        <v>0.71817879157156117</v>
      </c>
      <c r="HI24" s="46">
        <v>-0.14470645147639741</v>
      </c>
      <c r="HJ24" s="46">
        <v>0.10072227828231008</v>
      </c>
      <c r="HK24" s="46">
        <v>-0.14470645147639741</v>
      </c>
      <c r="HL24" s="46">
        <v>0.10072227828231008</v>
      </c>
    </row>
    <row r="25" spans="1:220" s="26" customFormat="1" ht="12.75" customHeight="1" thickBot="1" x14ac:dyDescent="0.4">
      <c r="A25" s="26" t="s">
        <v>52</v>
      </c>
      <c r="B25" s="26">
        <v>1973</v>
      </c>
      <c r="C25" s="26">
        <f>'Orig data'!G27</f>
        <v>267080</v>
      </c>
      <c r="D25" s="26">
        <f>'Orig data'!Q27</f>
        <v>1506960</v>
      </c>
      <c r="E25" s="26">
        <f>'Orig data'!W27</f>
        <v>813139.91537652921</v>
      </c>
      <c r="F25" s="26">
        <f t="shared" si="25"/>
        <v>267.08</v>
      </c>
      <c r="G25" s="26">
        <f t="shared" si="26"/>
        <v>813.13991537652919</v>
      </c>
      <c r="H25" s="26">
        <f t="shared" si="27"/>
        <v>1.1133549533851508</v>
      </c>
      <c r="I25" s="26">
        <f t="shared" si="28"/>
        <v>1239880</v>
      </c>
      <c r="J25" s="26">
        <f t="shared" si="29"/>
        <v>0.82276901842119232</v>
      </c>
      <c r="K25" s="26">
        <f t="shared" si="30"/>
        <v>1973</v>
      </c>
      <c r="L25" s="26">
        <f>covariates!R33</f>
        <v>267080</v>
      </c>
      <c r="M25" s="26">
        <f t="shared" si="31"/>
        <v>-0.67676423990970602</v>
      </c>
      <c r="N25" s="26">
        <f t="shared" si="32"/>
        <v>-0.93260892658417072</v>
      </c>
      <c r="O25" s="26">
        <f t="shared" si="33"/>
        <v>-0.30775048543528666</v>
      </c>
      <c r="P25" s="26">
        <f t="shared" si="34"/>
        <v>267080</v>
      </c>
      <c r="Q25" s="26">
        <f t="shared" si="35"/>
        <v>-0.76057812645171086</v>
      </c>
      <c r="R25" s="26">
        <f t="shared" si="36"/>
        <v>-0.93260892658417072</v>
      </c>
      <c r="S25" s="26">
        <f t="shared" si="37"/>
        <v>-0.30775048543528666</v>
      </c>
      <c r="T25" s="26">
        <f t="shared" si="38"/>
        <v>267080</v>
      </c>
      <c r="U25" s="26">
        <f t="shared" si="39"/>
        <v>-0.57709048836825949</v>
      </c>
      <c r="V25" s="26">
        <f t="shared" si="40"/>
        <v>-0.30775048543528666</v>
      </c>
      <c r="W25" s="26">
        <f t="shared" si="41"/>
        <v>-0.67676423990970602</v>
      </c>
      <c r="X25" s="26">
        <f t="shared" si="42"/>
        <v>267080</v>
      </c>
      <c r="Y25" s="26">
        <f t="shared" si="43"/>
        <v>-1.1166654478248839</v>
      </c>
      <c r="Z25" s="105">
        <f t="shared" si="44"/>
        <v>-0.30775048543528666</v>
      </c>
      <c r="AA25" s="105">
        <f t="shared" si="45"/>
        <v>-0.67676423990970602</v>
      </c>
      <c r="AB25" s="105">
        <f t="shared" si="46"/>
        <v>267080</v>
      </c>
      <c r="AC25" s="159">
        <f t="shared" si="47"/>
        <v>0.73516174994958516</v>
      </c>
      <c r="AD25" s="105">
        <f t="shared" si="48"/>
        <v>-0.30775048543528666</v>
      </c>
      <c r="AE25" s="105">
        <f t="shared" si="49"/>
        <v>-0.67676423990970602</v>
      </c>
      <c r="AF25" s="105">
        <f t="shared" si="50"/>
        <v>267080</v>
      </c>
      <c r="AG25" s="105">
        <f>covariates!X33</f>
        <v>0.73516174994958516</v>
      </c>
      <c r="AH25" s="105">
        <f t="shared" si="51"/>
        <v>-0.30775048543528666</v>
      </c>
      <c r="AI25" s="159">
        <f t="shared" si="52"/>
        <v>-0.93260892658417072</v>
      </c>
      <c r="AJ25" s="105">
        <f t="shared" si="53"/>
        <v>-0.67676423990970602</v>
      </c>
      <c r="AK25" s="105"/>
      <c r="AL25" s="105"/>
      <c r="AM25" s="105"/>
      <c r="AN25" s="105"/>
      <c r="AO25" s="105"/>
      <c r="AP25" s="105">
        <f t="shared" si="54"/>
        <v>267080</v>
      </c>
      <c r="AQ25" s="105">
        <f>covariates!T33</f>
        <v>-1.1166654478248839</v>
      </c>
      <c r="AR25" s="105">
        <f t="shared" si="55"/>
        <v>-0.30775048543528666</v>
      </c>
      <c r="AS25" s="105">
        <f t="shared" si="56"/>
        <v>-0.93260892658417072</v>
      </c>
      <c r="AT25" s="26">
        <f t="shared" si="57"/>
        <v>-0.67676423990970602</v>
      </c>
      <c r="AU25" s="26">
        <f t="shared" si="58"/>
        <v>267080</v>
      </c>
      <c r="AV25" s="26">
        <f t="shared" si="59"/>
        <v>0.73516174994958516</v>
      </c>
      <c r="AW25" s="26">
        <f t="shared" si="60"/>
        <v>-0.30775048543528666</v>
      </c>
      <c r="AX25" s="26">
        <f t="shared" si="61"/>
        <v>-0.93260892658417072</v>
      </c>
      <c r="AY25" s="26">
        <f t="shared" si="62"/>
        <v>-0.67676423990970602</v>
      </c>
      <c r="AZ25" s="26">
        <f t="shared" si="63"/>
        <v>-0.76057812645171086</v>
      </c>
      <c r="BA25" s="61">
        <v>1973</v>
      </c>
      <c r="BB25" s="164">
        <f t="shared" si="4"/>
        <v>267080</v>
      </c>
      <c r="BC25" s="105">
        <f t="shared" si="5"/>
        <v>0.73516174994958516</v>
      </c>
      <c r="BD25" s="105">
        <f t="shared" si="6"/>
        <v>-0.30775048543528666</v>
      </c>
      <c r="BE25" s="105">
        <f t="shared" si="7"/>
        <v>-0.93260892658417072</v>
      </c>
      <c r="BF25" s="105">
        <f t="shared" si="8"/>
        <v>-0.67676423990970602</v>
      </c>
      <c r="BG25">
        <v>180</v>
      </c>
      <c r="BR25" s="26">
        <f>covariates!V33</f>
        <v>-0.67676423990970602</v>
      </c>
      <c r="BS25" s="26">
        <f>covariates!W33</f>
        <v>-0.57709048836825949</v>
      </c>
      <c r="BT25" s="26">
        <f>covariates!Y33</f>
        <v>-0.93260892658417072</v>
      </c>
      <c r="BU25" s="26">
        <f>covariates!U33</f>
        <v>-0.30775048543528666</v>
      </c>
      <c r="BV25" s="26">
        <f>covariates!AA33</f>
        <v>-0.76057812645171086</v>
      </c>
      <c r="BW25" s="26">
        <f t="shared" si="2"/>
        <v>1.1133549533851508</v>
      </c>
      <c r="BX25" s="26">
        <f t="shared" si="76"/>
        <v>-0.76945436806962253</v>
      </c>
      <c r="BY25" s="26">
        <f t="shared" si="10"/>
        <v>-0.76057812645171086</v>
      </c>
      <c r="BZ25" s="26">
        <f t="shared" si="11"/>
        <v>1973</v>
      </c>
      <c r="CA25" s="26">
        <f t="shared" si="64"/>
        <v>1.2834390017748569</v>
      </c>
      <c r="CB25" s="26">
        <f t="shared" si="70"/>
        <v>1.269833185598463</v>
      </c>
      <c r="CC25" s="26">
        <f t="shared" si="65"/>
        <v>840312.74664007709</v>
      </c>
      <c r="CD25" s="26">
        <f t="shared" si="12"/>
        <v>1.2497668853122037</v>
      </c>
      <c r="CE25" s="26">
        <f t="shared" si="70"/>
        <v>1.2295463423424304</v>
      </c>
      <c r="CF25" s="26">
        <f t="shared" si="13"/>
        <v>824027.54112678336</v>
      </c>
      <c r="CG25" s="26">
        <f t="shared" si="14"/>
        <v>1.2264845897009122</v>
      </c>
      <c r="CH25" s="26">
        <f t="shared" si="71"/>
        <v>1.2754994300712392</v>
      </c>
      <c r="CI25" s="26">
        <f t="shared" si="15"/>
        <v>798904.5684310426</v>
      </c>
      <c r="CJ25" s="26">
        <f t="shared" si="16"/>
        <v>1.2798300594838248</v>
      </c>
      <c r="CK25" s="26">
        <f t="shared" si="72"/>
        <v>1.2618469052721064</v>
      </c>
      <c r="CL25" s="26">
        <f t="shared" si="17"/>
        <v>835325.80665808509</v>
      </c>
      <c r="CM25" s="26">
        <f t="shared" si="66"/>
        <v>1.3247023049419031</v>
      </c>
      <c r="CN25" s="26">
        <f t="shared" si="73"/>
        <v>1.2590341261569382</v>
      </c>
      <c r="CO25" s="26">
        <f t="shared" si="18"/>
        <v>880077.04498614115</v>
      </c>
      <c r="CP25" s="26">
        <f t="shared" si="67"/>
        <v>-7.9106262385673531E-2</v>
      </c>
      <c r="CQ25" s="26">
        <f t="shared" si="19"/>
        <v>1.2205129311928691</v>
      </c>
      <c r="CR25" s="26">
        <f t="shared" si="74"/>
        <v>1.2326783617851247</v>
      </c>
      <c r="CS25" s="26">
        <f t="shared" si="20"/>
        <v>793398.23846365453</v>
      </c>
      <c r="CT25" s="26">
        <f t="shared" si="21"/>
        <v>707176.00551757717</v>
      </c>
      <c r="CU25" s="26">
        <f t="shared" si="22"/>
        <v>1.3454877218297909</v>
      </c>
      <c r="CV25" s="26">
        <f t="shared" si="75"/>
        <v>1.2707925623259428</v>
      </c>
      <c r="CW25" s="26">
        <f t="shared" si="23"/>
        <v>892011.92266576109</v>
      </c>
      <c r="CX25" s="26">
        <f t="shared" si="24"/>
        <v>1.2497668853122037</v>
      </c>
      <c r="CY25" s="26">
        <f t="shared" si="69"/>
        <v>1.2295463423424304</v>
      </c>
      <c r="CZ25" s="26">
        <f t="shared" si="68"/>
        <v>824027.54112678336</v>
      </c>
      <c r="DA25" s="103" t="s">
        <v>30</v>
      </c>
      <c r="DB25" s="184">
        <v>-6.2140058368002144E-7</v>
      </c>
      <c r="DC25" s="184">
        <v>7.7115399377863903E-8</v>
      </c>
      <c r="DD25" s="185">
        <v>-8.058060889176895</v>
      </c>
      <c r="DE25" s="186">
        <v>2.5469249095521877E-11</v>
      </c>
      <c r="DF25" s="186">
        <v>-7.7545630382173252E-7</v>
      </c>
      <c r="DG25" s="186">
        <v>-4.6734486353831036E-7</v>
      </c>
      <c r="DH25" s="103">
        <v>-7.7545630382173252E-7</v>
      </c>
      <c r="DI25" s="103">
        <v>-4.6734486353831036E-7</v>
      </c>
      <c r="DN25" s="50" t="s">
        <v>30</v>
      </c>
      <c r="DO25" s="50">
        <v>-5.1375281111066929E-7</v>
      </c>
      <c r="DP25" s="50">
        <v>7.6235526832695495E-8</v>
      </c>
      <c r="DQ25" s="50">
        <v>-6.7390209323028341</v>
      </c>
      <c r="DR25" s="50">
        <v>6.4956241701607532E-9</v>
      </c>
      <c r="DS25" s="50">
        <v>-6.6619516857984182E-7</v>
      </c>
      <c r="DT25" s="50">
        <v>-3.6131045364149675E-7</v>
      </c>
      <c r="DU25" s="50">
        <v>-6.6619516857984182E-7</v>
      </c>
      <c r="DV25" s="50">
        <v>-3.6131045364149675E-7</v>
      </c>
      <c r="DZ25" s="50" t="s">
        <v>161</v>
      </c>
      <c r="EA25" s="50">
        <v>-0.22915086310235658</v>
      </c>
      <c r="EB25" s="50">
        <v>7.6908704708800527E-2</v>
      </c>
      <c r="EC25" s="50">
        <v>-2.9795179098385627</v>
      </c>
      <c r="ED25" s="50">
        <v>4.1403845747888636E-3</v>
      </c>
      <c r="EE25" s="50">
        <v>-0.38293932292948551</v>
      </c>
      <c r="EF25" s="50">
        <v>-7.5362403275227613E-2</v>
      </c>
      <c r="EG25" s="50">
        <v>-0.38293932292948551</v>
      </c>
      <c r="EH25" s="50">
        <v>-7.5362403275227613E-2</v>
      </c>
      <c r="EJ25" s="103" t="s">
        <v>157</v>
      </c>
      <c r="EK25" s="103">
        <v>-0.24860086302745166</v>
      </c>
      <c r="EL25" s="103">
        <v>7.5717720239175862E-2</v>
      </c>
      <c r="EM25" s="103">
        <v>-3.2832586908609427</v>
      </c>
      <c r="EN25" s="103">
        <v>1.7015081384269513E-3</v>
      </c>
      <c r="EO25" s="103">
        <v>-0.40000780221975646</v>
      </c>
      <c r="EP25" s="103">
        <v>-9.7193923835146856E-2</v>
      </c>
      <c r="EQ25" s="103">
        <v>-0.40000780221975646</v>
      </c>
      <c r="ER25" s="103">
        <v>-9.7193923835146856E-2</v>
      </c>
      <c r="EU25" s="103" t="s">
        <v>157</v>
      </c>
      <c r="EV25" s="103">
        <v>-0.20459769888736978</v>
      </c>
      <c r="EW25" s="103">
        <v>6.5668090378390595E-2</v>
      </c>
      <c r="EX25" s="103">
        <v>-3.1156334485812422</v>
      </c>
      <c r="EY25" s="103">
        <v>2.7969032040610462E-3</v>
      </c>
      <c r="EZ25" s="103">
        <v>-0.33590916118957892</v>
      </c>
      <c r="FA25" s="103">
        <v>-7.3286236585160619E-2</v>
      </c>
      <c r="FB25" s="103">
        <v>-0.33590916118957892</v>
      </c>
      <c r="FC25" s="103">
        <v>-7.3286236585160619E-2</v>
      </c>
      <c r="FF25" s="50" t="s">
        <v>187</v>
      </c>
      <c r="FG25" s="50">
        <v>-0.12843349426495299</v>
      </c>
      <c r="FH25" s="50">
        <v>7.6749914206376155E-2</v>
      </c>
      <c r="FI25" s="50">
        <v>-1.673402447325252</v>
      </c>
      <c r="FJ25" s="50">
        <v>9.9454510643530822E-2</v>
      </c>
      <c r="FK25" s="50">
        <v>-0.28195618049174859</v>
      </c>
      <c r="FL25" s="50">
        <v>2.5089191961842616E-2</v>
      </c>
      <c r="FM25" s="50">
        <v>-0.28195618049174859</v>
      </c>
      <c r="FN25" s="50">
        <v>2.5089191961842616E-2</v>
      </c>
      <c r="FP25" s="62" t="s">
        <v>187</v>
      </c>
      <c r="FQ25" s="187">
        <v>-0.1059507537257921</v>
      </c>
      <c r="FR25" s="187">
        <v>5.3802245380585596E-2</v>
      </c>
      <c r="FS25" s="187">
        <v>-1.9692626762381216</v>
      </c>
      <c r="FT25" s="187">
        <v>5.354580017590211E-2</v>
      </c>
      <c r="FU25" s="187">
        <v>-0.2135712679800543</v>
      </c>
      <c r="FV25" s="187">
        <v>1.6697605284700934E-3</v>
      </c>
      <c r="FW25" s="187">
        <v>-0.2135712679800543</v>
      </c>
      <c r="FX25" s="187">
        <v>1.6697605284700934E-3</v>
      </c>
      <c r="FZ25" s="103" t="s">
        <v>157</v>
      </c>
      <c r="GA25" s="103">
        <v>-0.21345468454901864</v>
      </c>
      <c r="GB25" s="103">
        <v>6.2059754226013696E-2</v>
      </c>
      <c r="GC25" s="103">
        <v>-3.4395025763660607</v>
      </c>
      <c r="GD25" s="103">
        <v>1.056579680220226E-3</v>
      </c>
      <c r="GE25" s="103">
        <v>-0.33755083277834508</v>
      </c>
      <c r="GF25" s="103">
        <v>-8.9358536319692233E-2</v>
      </c>
      <c r="GG25" s="103">
        <v>-0.33755083277834508</v>
      </c>
      <c r="GH25" s="103">
        <v>-8.9358536319692233E-2</v>
      </c>
      <c r="GJ25" s="50" t="s">
        <v>187</v>
      </c>
      <c r="GK25" s="50">
        <v>-0.10212523886272078</v>
      </c>
      <c r="GL25" s="50">
        <v>5.3875279797365616E-2</v>
      </c>
      <c r="GM25" s="50">
        <v>-1.8955862363375509</v>
      </c>
      <c r="GN25" s="50">
        <v>6.2916366116598441E-2</v>
      </c>
      <c r="GO25" s="50">
        <v>-0.20992942473046167</v>
      </c>
      <c r="GP25" s="50">
        <v>5.6789470050200991E-3</v>
      </c>
      <c r="GQ25" s="50">
        <v>-0.20992942473046167</v>
      </c>
      <c r="GR25" s="50">
        <v>5.6789470050200991E-3</v>
      </c>
      <c r="GT25" s="46" t="s">
        <v>157</v>
      </c>
      <c r="GU25" s="46">
        <v>-0.36576434886898618</v>
      </c>
      <c r="GV25" s="46">
        <v>0.10952716190500997</v>
      </c>
      <c r="GW25" s="46">
        <v>-3.3394853158543816</v>
      </c>
      <c r="GX25" s="46">
        <v>1.459011012011701E-3</v>
      </c>
      <c r="GY25" s="46">
        <v>-0.58492769361603658</v>
      </c>
      <c r="GZ25" s="46">
        <v>-0.14660100412193572</v>
      </c>
      <c r="HA25" s="46">
        <v>-0.58492769361603658</v>
      </c>
      <c r="HB25" s="46">
        <v>-0.14660100412193572</v>
      </c>
      <c r="HD25" s="46" t="s">
        <v>157</v>
      </c>
      <c r="HE25" s="46">
        <v>-0.57424963734975532</v>
      </c>
      <c r="HF25" s="46">
        <v>0.10946033512110039</v>
      </c>
      <c r="HG25" s="46">
        <v>-5.2461892859586055</v>
      </c>
      <c r="HH25" s="46">
        <v>7.6148021939664139E-6</v>
      </c>
      <c r="HI25" s="46">
        <v>-0.79646593150804079</v>
      </c>
      <c r="HJ25" s="46">
        <v>-0.35203334319146984</v>
      </c>
      <c r="HK25" s="46">
        <v>-0.79646593150804079</v>
      </c>
      <c r="HL25" s="46">
        <v>-0.35203334319146984</v>
      </c>
    </row>
    <row r="26" spans="1:220" s="26" customFormat="1" ht="12.75" customHeight="1" thickBot="1" x14ac:dyDescent="0.4">
      <c r="A26" s="26" t="s">
        <v>52</v>
      </c>
      <c r="B26" s="26">
        <v>1974</v>
      </c>
      <c r="C26" s="26">
        <f>'Orig data'!G28</f>
        <v>350315</v>
      </c>
      <c r="D26" s="26">
        <f>'Orig data'!Q28</f>
        <v>717854</v>
      </c>
      <c r="E26" s="26">
        <f>'Orig data'!W28</f>
        <v>1019571.2613318693</v>
      </c>
      <c r="F26" s="26">
        <f t="shared" si="25"/>
        <v>350.315</v>
      </c>
      <c r="G26" s="26">
        <f t="shared" si="26"/>
        <v>1019.5712613318693</v>
      </c>
      <c r="H26" s="26">
        <f t="shared" si="27"/>
        <v>1.068304736160173</v>
      </c>
      <c r="I26" s="26">
        <f t="shared" si="28"/>
        <v>367539</v>
      </c>
      <c r="J26" s="26">
        <f t="shared" si="29"/>
        <v>0.51199686844400116</v>
      </c>
      <c r="K26" s="26">
        <f t="shared" si="30"/>
        <v>1974</v>
      </c>
      <c r="L26" s="26">
        <f>covariates!R34</f>
        <v>350315</v>
      </c>
      <c r="M26" s="26">
        <f t="shared" si="31"/>
        <v>-0.67459109858987365</v>
      </c>
      <c r="N26" s="26">
        <f t="shared" si="32"/>
        <v>-0.10343429298183603</v>
      </c>
      <c r="O26" s="26">
        <f t="shared" si="33"/>
        <v>0.70535512720204396</v>
      </c>
      <c r="P26" s="26">
        <f t="shared" si="34"/>
        <v>350315</v>
      </c>
      <c r="Q26" s="26">
        <f t="shared" si="35"/>
        <v>-0.76057812645171086</v>
      </c>
      <c r="R26" s="26">
        <f t="shared" si="36"/>
        <v>-0.10343429298183603</v>
      </c>
      <c r="S26" s="26">
        <f t="shared" si="37"/>
        <v>0.70535512720204396</v>
      </c>
      <c r="T26" s="26">
        <f t="shared" si="38"/>
        <v>350315</v>
      </c>
      <c r="U26" s="26">
        <f t="shared" si="39"/>
        <v>-0.45059028086191533</v>
      </c>
      <c r="V26" s="26">
        <f t="shared" si="40"/>
        <v>0.70535512720204396</v>
      </c>
      <c r="W26" s="26">
        <f t="shared" si="41"/>
        <v>-0.67459109858987365</v>
      </c>
      <c r="X26" s="26">
        <f t="shared" si="42"/>
        <v>350315</v>
      </c>
      <c r="Y26" s="26">
        <f t="shared" si="43"/>
        <v>-1.5375017825014083</v>
      </c>
      <c r="Z26" s="105">
        <f t="shared" si="44"/>
        <v>0.70535512720204396</v>
      </c>
      <c r="AA26" s="105">
        <f t="shared" si="45"/>
        <v>-0.67459109858987365</v>
      </c>
      <c r="AB26" s="105">
        <f t="shared" si="46"/>
        <v>350315</v>
      </c>
      <c r="AC26" s="159">
        <f t="shared" si="47"/>
        <v>-0.11173288203127058</v>
      </c>
      <c r="AD26" s="105">
        <f t="shared" si="48"/>
        <v>0.70535512720204396</v>
      </c>
      <c r="AE26" s="105">
        <f t="shared" si="49"/>
        <v>-0.67459109858987365</v>
      </c>
      <c r="AF26" s="105">
        <f t="shared" si="50"/>
        <v>350315</v>
      </c>
      <c r="AG26" s="105">
        <f>covariates!X34</f>
        <v>-0.11173288203127058</v>
      </c>
      <c r="AH26" s="105">
        <f t="shared" si="51"/>
        <v>0.70535512720204396</v>
      </c>
      <c r="AI26" s="159">
        <f t="shared" si="52"/>
        <v>-0.10343429298183603</v>
      </c>
      <c r="AJ26" s="105">
        <f t="shared" si="53"/>
        <v>-0.67459109858987365</v>
      </c>
      <c r="AK26" s="105"/>
      <c r="AL26" s="105"/>
      <c r="AM26" s="105"/>
      <c r="AN26" s="105"/>
      <c r="AO26" s="105"/>
      <c r="AP26" s="105">
        <f t="shared" si="54"/>
        <v>350315</v>
      </c>
      <c r="AQ26" s="105">
        <f>covariates!T34</f>
        <v>-1.5375017825014083</v>
      </c>
      <c r="AR26" s="105">
        <f t="shared" si="55"/>
        <v>0.70535512720204396</v>
      </c>
      <c r="AS26" s="105">
        <f t="shared" si="56"/>
        <v>-0.10343429298183603</v>
      </c>
      <c r="AT26" s="26">
        <f t="shared" si="57"/>
        <v>-0.67459109858987365</v>
      </c>
      <c r="AU26" s="26">
        <f t="shared" si="58"/>
        <v>350315</v>
      </c>
      <c r="AV26" s="26">
        <f t="shared" si="59"/>
        <v>-0.11173288203127058</v>
      </c>
      <c r="AW26" s="26">
        <f t="shared" si="60"/>
        <v>0.70535512720204396</v>
      </c>
      <c r="AX26" s="26">
        <f t="shared" si="61"/>
        <v>-0.10343429298183603</v>
      </c>
      <c r="AY26" s="26">
        <f t="shared" si="62"/>
        <v>-0.67459109858987365</v>
      </c>
      <c r="AZ26" s="26">
        <f t="shared" si="63"/>
        <v>-0.76057812645171086</v>
      </c>
      <c r="BA26" s="61">
        <v>1974</v>
      </c>
      <c r="BB26" s="164">
        <f t="shared" si="4"/>
        <v>350315</v>
      </c>
      <c r="BC26" s="105">
        <f t="shared" si="5"/>
        <v>-0.11173288203127058</v>
      </c>
      <c r="BD26" s="105">
        <f t="shared" si="6"/>
        <v>0.70535512720204396</v>
      </c>
      <c r="BE26" s="105">
        <f t="shared" si="7"/>
        <v>-0.10343429298183603</v>
      </c>
      <c r="BF26" s="105">
        <f t="shared" si="8"/>
        <v>-0.67459109858987365</v>
      </c>
      <c r="BG26">
        <v>180</v>
      </c>
      <c r="BH26" s="137" t="s">
        <v>1</v>
      </c>
      <c r="BI26" s="137" t="s">
        <v>30</v>
      </c>
      <c r="BJ26" s="137" t="s">
        <v>188</v>
      </c>
      <c r="BK26" s="137" t="s">
        <v>89</v>
      </c>
      <c r="BL26" s="137" t="s">
        <v>187</v>
      </c>
      <c r="BM26" s="137" t="s">
        <v>157</v>
      </c>
      <c r="BN26" s="137" t="s">
        <v>343</v>
      </c>
      <c r="BO26" s="26" t="s">
        <v>350</v>
      </c>
      <c r="BR26" s="26">
        <f>covariates!V34</f>
        <v>-0.67459109858987365</v>
      </c>
      <c r="BS26" s="26">
        <f>covariates!W34</f>
        <v>-0.45059028086191533</v>
      </c>
      <c r="BT26" s="26">
        <f>covariates!Y34</f>
        <v>-0.10343429298183603</v>
      </c>
      <c r="BU26" s="26">
        <f>covariates!U34</f>
        <v>0.70535512720204396</v>
      </c>
      <c r="BV26" s="26">
        <f>covariates!AA34</f>
        <v>-0.76057812645171086</v>
      </c>
      <c r="BW26" s="26">
        <f t="shared" si="2"/>
        <v>1.068304736160173</v>
      </c>
      <c r="BX26" s="26">
        <f t="shared" si="76"/>
        <v>-0.76945436806962253</v>
      </c>
      <c r="BY26" s="26">
        <f t="shared" si="10"/>
        <v>-0.76057812645171086</v>
      </c>
      <c r="BZ26" s="26">
        <f t="shared" si="11"/>
        <v>1974</v>
      </c>
      <c r="CA26" s="26">
        <f t="shared" si="64"/>
        <v>1.30598234402748</v>
      </c>
      <c r="CB26" s="26">
        <f t="shared" si="70"/>
        <v>1.2727749260119701</v>
      </c>
      <c r="CC26" s="26">
        <f t="shared" si="65"/>
        <v>1080133.3424510788</v>
      </c>
      <c r="CD26" s="26">
        <f t="shared" si="12"/>
        <v>1.2828484622010974</v>
      </c>
      <c r="CE26" s="26">
        <f t="shared" si="70"/>
        <v>1.2359698831789057</v>
      </c>
      <c r="CF26" s="26">
        <f t="shared" si="13"/>
        <v>1075136.2388352288</v>
      </c>
      <c r="CG26" s="26">
        <f t="shared" si="14"/>
        <v>1.3575559557003225</v>
      </c>
      <c r="CH26" s="26">
        <f t="shared" si="71"/>
        <v>1.2805364352435782</v>
      </c>
      <c r="CI26" s="26">
        <f t="shared" si="15"/>
        <v>1146921.2931443492</v>
      </c>
      <c r="CJ26" s="26">
        <f t="shared" si="16"/>
        <v>1.2837064295132423</v>
      </c>
      <c r="CK26" s="26">
        <f t="shared" si="72"/>
        <v>1.2643891513130181</v>
      </c>
      <c r="CL26" s="26">
        <f t="shared" si="17"/>
        <v>1053096.5491889231</v>
      </c>
      <c r="CM26" s="26">
        <f t="shared" si="66"/>
        <v>1.2616086380371405</v>
      </c>
      <c r="CN26" s="26">
        <f t="shared" si="73"/>
        <v>1.2756774009550942</v>
      </c>
      <c r="CO26" s="26">
        <f t="shared" si="18"/>
        <v>1040012.0741296161</v>
      </c>
      <c r="CP26" s="26">
        <f t="shared" si="67"/>
        <v>-1.9850115921572709E-2</v>
      </c>
      <c r="CQ26" s="26">
        <f t="shared" si="19"/>
        <v>1.2445350403674298</v>
      </c>
      <c r="CR26" s="26">
        <f t="shared" si="74"/>
        <v>1.2519491308266795</v>
      </c>
      <c r="CS26" s="26">
        <f t="shared" si="20"/>
        <v>1023083.7787541341</v>
      </c>
      <c r="CT26" s="26">
        <f t="shared" si="21"/>
        <v>880809.89112580288</v>
      </c>
      <c r="CU26" s="26">
        <f t="shared" si="22"/>
        <v>1.2828813737925899</v>
      </c>
      <c r="CV26" s="26">
        <f t="shared" si="75"/>
        <v>1.2892513752443981</v>
      </c>
      <c r="CW26" s="26">
        <f t="shared" si="23"/>
        <v>1052228.0441883923</v>
      </c>
      <c r="CX26" s="26">
        <f t="shared" si="24"/>
        <v>1.2828484622010974</v>
      </c>
      <c r="CY26" s="26">
        <f t="shared" si="69"/>
        <v>1.2359698831789057</v>
      </c>
      <c r="CZ26" s="26">
        <f t="shared" si="68"/>
        <v>1075136.2388352288</v>
      </c>
      <c r="DB26" s="26">
        <f>DB25*1000</f>
        <v>-6.2140058368002145E-4</v>
      </c>
      <c r="DN26" s="50" t="s">
        <v>157</v>
      </c>
      <c r="DO26" s="50">
        <v>-0.23950714049265615</v>
      </c>
      <c r="DP26" s="50">
        <v>6.1079132643102219E-2</v>
      </c>
      <c r="DQ26" s="50">
        <v>-3.9212596860558748</v>
      </c>
      <c r="DR26" s="50">
        <v>2.2584067676440124E-4</v>
      </c>
      <c r="DS26" s="50">
        <v>-0.36164241467683766</v>
      </c>
      <c r="DT26" s="50">
        <v>-0.1173718663084746</v>
      </c>
      <c r="DU26" s="50">
        <v>-0.36164241467683766</v>
      </c>
      <c r="DV26" s="50">
        <v>-0.1173718663084746</v>
      </c>
      <c r="DZ26" s="50" t="s">
        <v>187</v>
      </c>
      <c r="EA26" s="50">
        <v>-0.11142583823420352</v>
      </c>
      <c r="EB26" s="50">
        <v>5.706808423211366E-2</v>
      </c>
      <c r="EC26" s="50">
        <v>-1.952507075250677</v>
      </c>
      <c r="ED26" s="50">
        <v>5.5471157493371885E-2</v>
      </c>
      <c r="EE26" s="50">
        <v>-0.22554052541521585</v>
      </c>
      <c r="EF26" s="50">
        <v>2.6888489468088334E-3</v>
      </c>
      <c r="EG26" s="50">
        <v>-0.22554052541521585</v>
      </c>
      <c r="EH26" s="50">
        <v>2.6888489468088334E-3</v>
      </c>
      <c r="FF26" s="103" t="s">
        <v>157</v>
      </c>
      <c r="FG26" s="103">
        <v>-0.25019612177643236</v>
      </c>
      <c r="FH26" s="103">
        <v>7.022238162384499E-2</v>
      </c>
      <c r="FI26" s="103">
        <v>-3.5629113680114028</v>
      </c>
      <c r="FJ26" s="103">
        <v>7.2614174872391839E-4</v>
      </c>
      <c r="FK26" s="103">
        <v>-0.39066179879526375</v>
      </c>
      <c r="FL26" s="103">
        <v>-0.10973044475760096</v>
      </c>
      <c r="FM26" s="103">
        <v>-0.39066179879526375</v>
      </c>
      <c r="FN26" s="103">
        <v>-0.10973044475760096</v>
      </c>
      <c r="FP26" s="220" t="s">
        <v>157</v>
      </c>
      <c r="FQ26" s="190">
        <v>-0.22424628491210302</v>
      </c>
      <c r="FR26" s="190">
        <v>6.0892692248308546E-2</v>
      </c>
      <c r="FS26" s="190">
        <v>-3.6826469093806908</v>
      </c>
      <c r="FT26" s="184">
        <v>4.9691238236084455E-4</v>
      </c>
      <c r="FU26" s="190">
        <v>-0.34604980459297929</v>
      </c>
      <c r="FV26" s="190">
        <v>-0.10244276523122678</v>
      </c>
      <c r="FW26" s="190">
        <v>-0.34604980459297929</v>
      </c>
      <c r="FX26" s="190">
        <v>-0.10244276523122678</v>
      </c>
      <c r="GJ26" s="162" t="s">
        <v>157</v>
      </c>
      <c r="GK26" s="50">
        <v>-0.35956712348608794</v>
      </c>
      <c r="GL26" s="50">
        <v>0.14210025714607963</v>
      </c>
      <c r="GM26" s="50">
        <v>-2.5303763040798124</v>
      </c>
      <c r="GN26" s="50">
        <v>1.408241607274854E-2</v>
      </c>
      <c r="GO26" s="50">
        <v>-0.64390908126054769</v>
      </c>
      <c r="GP26" s="50">
        <v>-7.5225165711628128E-2</v>
      </c>
      <c r="GQ26" s="50">
        <v>-0.64390908126054769</v>
      </c>
      <c r="GR26" s="50">
        <v>-7.5225165711628128E-2</v>
      </c>
      <c r="GT26" s="47" t="s">
        <v>343</v>
      </c>
      <c r="GU26" s="166">
        <v>3.7983407423535886E-3</v>
      </c>
      <c r="GV26" s="47">
        <v>2.455873088717476E-3</v>
      </c>
      <c r="GW26" s="47">
        <v>1.5466355976632269</v>
      </c>
      <c r="GX26" s="47">
        <v>0.12729870342516775</v>
      </c>
      <c r="GY26" s="47">
        <v>-1.1158499573414413E-3</v>
      </c>
      <c r="GZ26" s="47">
        <v>8.712531442048619E-3</v>
      </c>
      <c r="HA26" s="47">
        <v>-1.1158499573414413E-3</v>
      </c>
      <c r="HB26" s="47">
        <v>8.712531442048619E-3</v>
      </c>
      <c r="HD26" s="47" t="s">
        <v>343</v>
      </c>
      <c r="HE26" s="166">
        <v>1.1691180212221965E-2</v>
      </c>
      <c r="HF26" s="47">
        <v>3.0408277193004797E-3</v>
      </c>
      <c r="HG26" s="47">
        <v>3.844736134841416</v>
      </c>
      <c r="HH26" s="47">
        <v>4.8799962850395605E-4</v>
      </c>
      <c r="HI26" s="47">
        <v>5.51797175082665E-3</v>
      </c>
      <c r="HJ26" s="47">
        <v>1.7864388673617278E-2</v>
      </c>
      <c r="HK26" s="47">
        <v>5.51797175082665E-3</v>
      </c>
      <c r="HL26" s="47">
        <v>1.7864388673617278E-2</v>
      </c>
    </row>
    <row r="27" spans="1:220" s="26" customFormat="1" ht="12.75" customHeight="1" thickBot="1" x14ac:dyDescent="0.4">
      <c r="A27" s="26" t="s">
        <v>52</v>
      </c>
      <c r="B27" s="26">
        <v>1975</v>
      </c>
      <c r="C27" s="26">
        <f>'Orig data'!G29</f>
        <v>191420</v>
      </c>
      <c r="D27" s="26">
        <f>'Orig data'!Q29</f>
        <v>486199</v>
      </c>
      <c r="E27" s="26">
        <f>'Orig data'!W29</f>
        <v>482340.97376990766</v>
      </c>
      <c r="F27" s="26">
        <f t="shared" si="25"/>
        <v>191.42</v>
      </c>
      <c r="G27" s="26">
        <f t="shared" si="26"/>
        <v>482.34097376990769</v>
      </c>
      <c r="H27" s="26">
        <f t="shared" si="27"/>
        <v>0.92418131164356232</v>
      </c>
      <c r="I27" s="26">
        <f t="shared" si="28"/>
        <v>294779</v>
      </c>
      <c r="J27" s="26">
        <f t="shared" si="29"/>
        <v>0.60629289653002161</v>
      </c>
      <c r="K27" s="26">
        <f t="shared" si="30"/>
        <v>1975</v>
      </c>
      <c r="L27" s="26">
        <f>covariates!R35</f>
        <v>191420</v>
      </c>
      <c r="M27" s="26">
        <f t="shared" si="31"/>
        <v>-0.68217551350500072</v>
      </c>
      <c r="N27" s="26">
        <f t="shared" si="32"/>
        <v>-1.1113282711701378</v>
      </c>
      <c r="O27" s="26">
        <f t="shared" si="33"/>
        <v>1.2242628800162865</v>
      </c>
      <c r="P27" s="26">
        <f t="shared" si="34"/>
        <v>191420</v>
      </c>
      <c r="Q27" s="26">
        <f t="shared" si="35"/>
        <v>-0.76057812645171086</v>
      </c>
      <c r="R27" s="26">
        <f t="shared" si="36"/>
        <v>-1.1113282711701378</v>
      </c>
      <c r="S27" s="26">
        <f t="shared" si="37"/>
        <v>1.2242628800162865</v>
      </c>
      <c r="T27" s="26">
        <f t="shared" si="38"/>
        <v>191420</v>
      </c>
      <c r="U27" s="26">
        <f t="shared" si="39"/>
        <v>0.43611339617925066</v>
      </c>
      <c r="V27" s="26">
        <f t="shared" si="40"/>
        <v>1.2242628800162865</v>
      </c>
      <c r="W27" s="26">
        <f t="shared" si="41"/>
        <v>-0.68217551350500072</v>
      </c>
      <c r="X27" s="26">
        <f t="shared" si="42"/>
        <v>191420</v>
      </c>
      <c r="Y27" s="26">
        <f t="shared" si="43"/>
        <v>-1.438031376123321</v>
      </c>
      <c r="Z27" s="105">
        <f t="shared" si="44"/>
        <v>1.2242628800162865</v>
      </c>
      <c r="AA27" s="105">
        <f t="shared" si="45"/>
        <v>-0.68217551350500072</v>
      </c>
      <c r="AB27" s="105">
        <f t="shared" si="46"/>
        <v>191420</v>
      </c>
      <c r="AC27" s="159">
        <f t="shared" si="47"/>
        <v>0.73195731274107856</v>
      </c>
      <c r="AD27" s="105">
        <f t="shared" si="48"/>
        <v>1.2242628800162865</v>
      </c>
      <c r="AE27" s="105">
        <f t="shared" si="49"/>
        <v>-0.68217551350500072</v>
      </c>
      <c r="AF27" s="105">
        <f t="shared" si="50"/>
        <v>191420</v>
      </c>
      <c r="AG27" s="105">
        <f>covariates!X35</f>
        <v>0.73195731274107856</v>
      </c>
      <c r="AH27" s="105">
        <f t="shared" si="51"/>
        <v>1.2242628800162865</v>
      </c>
      <c r="AI27" s="159">
        <f t="shared" si="52"/>
        <v>-1.1113282711701378</v>
      </c>
      <c r="AJ27" s="105">
        <f t="shared" si="53"/>
        <v>-0.68217551350500072</v>
      </c>
      <c r="AK27" s="105"/>
      <c r="AL27" s="105"/>
      <c r="AM27" s="105"/>
      <c r="AN27" s="105"/>
      <c r="AO27" s="105"/>
      <c r="AP27" s="105">
        <f t="shared" si="54"/>
        <v>191420</v>
      </c>
      <c r="AQ27" s="105">
        <f>covariates!T35</f>
        <v>-1.438031376123321</v>
      </c>
      <c r="AR27" s="105">
        <f t="shared" si="55"/>
        <v>1.2242628800162865</v>
      </c>
      <c r="AS27" s="105">
        <f t="shared" si="56"/>
        <v>-1.1113282711701378</v>
      </c>
      <c r="AT27" s="26">
        <f t="shared" si="57"/>
        <v>-0.68217551350500072</v>
      </c>
      <c r="AU27" s="26">
        <f t="shared" si="58"/>
        <v>191420</v>
      </c>
      <c r="AV27" s="26">
        <f t="shared" si="59"/>
        <v>0.73195731274107856</v>
      </c>
      <c r="AW27" s="26">
        <f t="shared" si="60"/>
        <v>1.2242628800162865</v>
      </c>
      <c r="AX27" s="26">
        <f t="shared" si="61"/>
        <v>-1.1113282711701378</v>
      </c>
      <c r="AY27" s="26">
        <f t="shared" si="62"/>
        <v>-0.68217551350500072</v>
      </c>
      <c r="AZ27" s="26">
        <f t="shared" si="63"/>
        <v>-0.76057812645171086</v>
      </c>
      <c r="BA27" s="61">
        <v>1975</v>
      </c>
      <c r="BB27" s="164">
        <f t="shared" si="4"/>
        <v>191420</v>
      </c>
      <c r="BC27" s="105">
        <f t="shared" si="5"/>
        <v>0.73195731274107856</v>
      </c>
      <c r="BD27" s="105">
        <f t="shared" si="6"/>
        <v>1.2242628800162865</v>
      </c>
      <c r="BE27" s="105">
        <f t="shared" si="7"/>
        <v>-1.1113282711701378</v>
      </c>
      <c r="BF27" s="105">
        <f t="shared" si="8"/>
        <v>-0.68217551350500072</v>
      </c>
      <c r="BG27">
        <v>180</v>
      </c>
      <c r="BH27" s="61">
        <f>BA27</f>
        <v>1975</v>
      </c>
      <c r="BI27" s="61">
        <f t="shared" ref="BI27:BN27" si="77">BB27</f>
        <v>191420</v>
      </c>
      <c r="BJ27" s="26">
        <f t="shared" si="77"/>
        <v>0.73195731274107856</v>
      </c>
      <c r="BK27" s="26">
        <f t="shared" si="77"/>
        <v>1.2242628800162865</v>
      </c>
      <c r="BL27" s="26">
        <f t="shared" si="77"/>
        <v>-1.1113282711701378</v>
      </c>
      <c r="BM27" s="26">
        <f t="shared" si="77"/>
        <v>-0.68217551350500072</v>
      </c>
      <c r="BN27" s="61">
        <f t="shared" si="77"/>
        <v>180</v>
      </c>
      <c r="BO27" s="26">
        <f>H27</f>
        <v>0.92418131164356232</v>
      </c>
      <c r="BR27" s="26">
        <f>covariates!V35</f>
        <v>-0.68217551350500072</v>
      </c>
      <c r="BS27" s="26">
        <f>covariates!W35</f>
        <v>0.43611339617925066</v>
      </c>
      <c r="BT27" s="26">
        <f>covariates!Y35</f>
        <v>-1.1113282711701378</v>
      </c>
      <c r="BU27" s="26">
        <f>covariates!U35</f>
        <v>1.2242628800162865</v>
      </c>
      <c r="BV27" s="26">
        <f>covariates!AA35</f>
        <v>-0.76057812645171086</v>
      </c>
      <c r="BW27" s="26">
        <f t="shared" si="2"/>
        <v>0.92418131164356232</v>
      </c>
      <c r="BX27" s="26">
        <f t="shared" si="76"/>
        <v>-0.76945436806962253</v>
      </c>
      <c r="BY27" s="26">
        <f t="shared" si="10"/>
        <v>-0.76057812645171086</v>
      </c>
      <c r="BZ27" s="26">
        <f t="shared" si="11"/>
        <v>1975</v>
      </c>
      <c r="CA27" s="26">
        <f t="shared" si="64"/>
        <v>1.4793244837177948</v>
      </c>
      <c r="CB27" s="26">
        <f t="shared" si="70"/>
        <v>1.2607672721091507</v>
      </c>
      <c r="CC27" s="26">
        <f t="shared" si="65"/>
        <v>761623.15596651554</v>
      </c>
      <c r="CD27" s="26">
        <f t="shared" si="12"/>
        <v>1.459420580525399</v>
      </c>
      <c r="CE27" s="26">
        <f t="shared" si="70"/>
        <v>1.226270105619975</v>
      </c>
      <c r="CF27" s="26">
        <f t="shared" si="13"/>
        <v>754198.07755169761</v>
      </c>
      <c r="CG27" s="26">
        <f t="shared" si="14"/>
        <v>1.4024245650989688</v>
      </c>
      <c r="CH27" s="26">
        <f t="shared" si="71"/>
        <v>1.258304066192528</v>
      </c>
      <c r="CI27" s="26">
        <f t="shared" si="15"/>
        <v>708503.17699910433</v>
      </c>
      <c r="CJ27" s="26">
        <f t="shared" si="16"/>
        <v>1.4807593449910221</v>
      </c>
      <c r="CK27" s="26">
        <f t="shared" si="72"/>
        <v>1.2544643331162884</v>
      </c>
      <c r="CL27" s="26">
        <f t="shared" si="17"/>
        <v>761436.84094404767</v>
      </c>
      <c r="CM27" s="26">
        <f t="shared" si="66"/>
        <v>1.501764940870687</v>
      </c>
      <c r="CN27" s="26">
        <f t="shared" si="73"/>
        <v>1.2895822987450007</v>
      </c>
      <c r="CO27" s="26">
        <f t="shared" si="18"/>
        <v>781688.13396926981</v>
      </c>
      <c r="CP27" s="26">
        <f t="shared" si="67"/>
        <v>-0.48280457692396439</v>
      </c>
      <c r="CQ27" s="26">
        <f t="shared" si="19"/>
        <v>1.3860588427763134</v>
      </c>
      <c r="CR27" s="26">
        <f t="shared" si="74"/>
        <v>1.2603504175388807</v>
      </c>
      <c r="CS27" s="26">
        <f t="shared" si="20"/>
        <v>696530.68350348738</v>
      </c>
      <c r="CT27" s="26">
        <f t="shared" si="21"/>
        <v>531241.37129451975</v>
      </c>
      <c r="CU27" s="26">
        <f t="shared" si="22"/>
        <v>1.5213368997581871</v>
      </c>
      <c r="CV27" s="26">
        <f t="shared" si="75"/>
        <v>1.3056488885715116</v>
      </c>
      <c r="CW27" s="26">
        <f t="shared" si="23"/>
        <v>792969.51901773713</v>
      </c>
      <c r="CX27" s="26">
        <f t="shared" si="24"/>
        <v>1.459420580525399</v>
      </c>
      <c r="CY27" s="26">
        <f t="shared" si="69"/>
        <v>1.226270105619975</v>
      </c>
      <c r="CZ27" s="26">
        <f t="shared" si="68"/>
        <v>754198.07755169761</v>
      </c>
      <c r="DN27" s="50" t="s">
        <v>187</v>
      </c>
      <c r="DO27" s="50">
        <v>-0.11148485249554396</v>
      </c>
      <c r="DP27" s="50">
        <v>5.4481593248872286E-2</v>
      </c>
      <c r="DQ27" s="50">
        <v>-2.0462847330157987</v>
      </c>
      <c r="DR27" s="50">
        <v>4.5045191660512005E-2</v>
      </c>
      <c r="DS27" s="50">
        <v>-0.2204275313040901</v>
      </c>
      <c r="DT27" s="50">
        <v>-2.5421736869978145E-3</v>
      </c>
      <c r="DU27" s="50">
        <v>-0.2204275313040901</v>
      </c>
      <c r="DV27" s="50">
        <v>-2.5421736869978145E-3</v>
      </c>
      <c r="DZ27" s="103" t="s">
        <v>89</v>
      </c>
      <c r="EA27" s="103">
        <v>0.12384992632104709</v>
      </c>
      <c r="EB27" s="103">
        <v>5.8019912650341572E-2</v>
      </c>
      <c r="EC27" s="103">
        <v>2.1346106993892202</v>
      </c>
      <c r="ED27" s="103">
        <v>3.6819261342199996E-2</v>
      </c>
      <c r="EE27" s="103">
        <v>7.8319405860777791E-3</v>
      </c>
      <c r="EF27" s="103">
        <v>0.2398679120560164</v>
      </c>
      <c r="EG27" s="103">
        <v>7.8319405860777791E-3</v>
      </c>
      <c r="EH27" s="103">
        <v>0.2398679120560164</v>
      </c>
      <c r="GJ27" s="103" t="s">
        <v>161</v>
      </c>
      <c r="GK27" s="103">
        <v>0.18002804877474862</v>
      </c>
      <c r="GL27" s="103">
        <v>0.17084563569374858</v>
      </c>
      <c r="GM27" s="103">
        <v>1.0537468402029309</v>
      </c>
      <c r="GN27" s="103">
        <v>0.29629519500149198</v>
      </c>
      <c r="GO27" s="103">
        <v>-0.16183327861499444</v>
      </c>
      <c r="GP27" s="103">
        <v>0.52188937616449171</v>
      </c>
      <c r="GQ27" s="103">
        <v>-0.16183327861499444</v>
      </c>
      <c r="GR27" s="103">
        <v>0.52188937616449171</v>
      </c>
      <c r="GT27"/>
      <c r="GU27"/>
      <c r="GV27"/>
      <c r="GW27"/>
      <c r="GX27"/>
      <c r="GY27"/>
      <c r="GZ27"/>
      <c r="HA27"/>
      <c r="HB27"/>
      <c r="HD27"/>
      <c r="HE27"/>
      <c r="HF27"/>
      <c r="HG27"/>
      <c r="HH27"/>
      <c r="HI27"/>
      <c r="HJ27"/>
      <c r="HK27"/>
      <c r="HL27"/>
    </row>
    <row r="28" spans="1:220" s="26" customFormat="1" ht="12.75" customHeight="1" thickBot="1" x14ac:dyDescent="0.4">
      <c r="A28" s="26" t="s">
        <v>52</v>
      </c>
      <c r="B28" s="26">
        <v>1976</v>
      </c>
      <c r="C28" s="26">
        <f>'Orig data'!G30</f>
        <v>340517</v>
      </c>
      <c r="D28" s="26">
        <f>'Orig data'!Q30</f>
        <v>1003722</v>
      </c>
      <c r="E28" s="26">
        <f>'Orig data'!W30</f>
        <v>790637.35533950652</v>
      </c>
      <c r="F28" s="26">
        <f t="shared" si="25"/>
        <v>340.517</v>
      </c>
      <c r="G28" s="26">
        <f t="shared" si="26"/>
        <v>790.63735533950648</v>
      </c>
      <c r="H28" s="26">
        <f t="shared" si="27"/>
        <v>0.84237434817882784</v>
      </c>
      <c r="I28" s="26">
        <f t="shared" si="28"/>
        <v>663205</v>
      </c>
      <c r="J28" s="26">
        <f t="shared" si="29"/>
        <v>0.66074570448789605</v>
      </c>
      <c r="K28" s="26">
        <f t="shared" si="30"/>
        <v>1976</v>
      </c>
      <c r="L28" s="26">
        <f>covariates!R36</f>
        <v>340517</v>
      </c>
      <c r="M28" s="26">
        <f t="shared" si="31"/>
        <v>-0.68972168413232626</v>
      </c>
      <c r="N28" s="26">
        <f t="shared" si="32"/>
        <v>1.490492884895334</v>
      </c>
      <c r="O28" s="26">
        <f t="shared" si="33"/>
        <v>1.4960717029189849</v>
      </c>
      <c r="P28" s="26">
        <f t="shared" si="34"/>
        <v>340517</v>
      </c>
      <c r="Q28" s="26">
        <f t="shared" si="35"/>
        <v>-0.76057812645171086</v>
      </c>
      <c r="R28" s="26">
        <f t="shared" si="36"/>
        <v>1.490492884895334</v>
      </c>
      <c r="S28" s="26">
        <f t="shared" si="37"/>
        <v>1.4960717029189849</v>
      </c>
      <c r="T28" s="26">
        <f t="shared" si="38"/>
        <v>340517</v>
      </c>
      <c r="U28" s="26">
        <f t="shared" si="39"/>
        <v>-5.8828972898451432E-2</v>
      </c>
      <c r="V28" s="26">
        <f t="shared" si="40"/>
        <v>1.4960717029189849</v>
      </c>
      <c r="W28" s="26">
        <f t="shared" si="41"/>
        <v>-0.68972168413232626</v>
      </c>
      <c r="X28" s="26">
        <f t="shared" si="42"/>
        <v>340517</v>
      </c>
      <c r="Y28" s="26">
        <f t="shared" si="43"/>
        <v>-0.82973158327270669</v>
      </c>
      <c r="Z28" s="105">
        <f t="shared" si="44"/>
        <v>1.4960717029189849</v>
      </c>
      <c r="AA28" s="105">
        <f t="shared" si="45"/>
        <v>-0.68972168413232626</v>
      </c>
      <c r="AB28" s="105">
        <f t="shared" si="46"/>
        <v>340517</v>
      </c>
      <c r="AC28" s="159">
        <f t="shared" si="47"/>
        <v>1.2394640264143406</v>
      </c>
      <c r="AD28" s="105">
        <f t="shared" si="48"/>
        <v>1.4960717029189849</v>
      </c>
      <c r="AE28" s="105">
        <f t="shared" si="49"/>
        <v>-0.68972168413232626</v>
      </c>
      <c r="AF28" s="105">
        <f t="shared" si="50"/>
        <v>340517</v>
      </c>
      <c r="AG28" s="105">
        <f>covariates!X36</f>
        <v>1.2394640264143406</v>
      </c>
      <c r="AH28" s="105">
        <f t="shared" si="51"/>
        <v>1.4960717029189849</v>
      </c>
      <c r="AI28" s="159">
        <f t="shared" si="52"/>
        <v>1.490492884895334</v>
      </c>
      <c r="AJ28" s="105">
        <f t="shared" si="53"/>
        <v>-0.68972168413232626</v>
      </c>
      <c r="AK28" s="105"/>
      <c r="AL28" s="105"/>
      <c r="AM28" s="105"/>
      <c r="AN28" s="105"/>
      <c r="AO28" s="105"/>
      <c r="AP28" s="105">
        <f t="shared" si="54"/>
        <v>340517</v>
      </c>
      <c r="AQ28" s="105">
        <f>covariates!T36</f>
        <v>-0.82973158327270669</v>
      </c>
      <c r="AR28" s="105">
        <f t="shared" si="55"/>
        <v>1.4960717029189849</v>
      </c>
      <c r="AS28" s="105">
        <f t="shared" si="56"/>
        <v>1.490492884895334</v>
      </c>
      <c r="AT28" s="26">
        <f t="shared" si="57"/>
        <v>-0.68972168413232626</v>
      </c>
      <c r="AU28" s="26">
        <f t="shared" si="58"/>
        <v>340517</v>
      </c>
      <c r="AV28" s="26">
        <f t="shared" si="59"/>
        <v>1.2394640264143406</v>
      </c>
      <c r="AW28" s="26">
        <f t="shared" si="60"/>
        <v>1.4960717029189849</v>
      </c>
      <c r="AX28" s="26">
        <f t="shared" si="61"/>
        <v>1.490492884895334</v>
      </c>
      <c r="AY28" s="26">
        <f t="shared" si="62"/>
        <v>-0.68972168413232626</v>
      </c>
      <c r="AZ28" s="26">
        <f t="shared" si="63"/>
        <v>-0.76057812645171086</v>
      </c>
      <c r="BA28" s="61">
        <v>1976</v>
      </c>
      <c r="BB28" s="164">
        <f t="shared" si="4"/>
        <v>340517</v>
      </c>
      <c r="BC28" s="105">
        <f t="shared" si="5"/>
        <v>1.2394640264143406</v>
      </c>
      <c r="BD28" s="105">
        <f t="shared" si="6"/>
        <v>1.4960717029189849</v>
      </c>
      <c r="BE28" s="105">
        <f t="shared" si="7"/>
        <v>1.490492884895334</v>
      </c>
      <c r="BF28" s="105">
        <f t="shared" si="8"/>
        <v>-0.68972168413232626</v>
      </c>
      <c r="BG28">
        <v>180</v>
      </c>
      <c r="BH28" s="61">
        <f t="shared" ref="BH28:BH68" si="78">BA28</f>
        <v>1976</v>
      </c>
      <c r="BI28" s="61">
        <f t="shared" ref="BI28:BI68" si="79">BB28</f>
        <v>340517</v>
      </c>
      <c r="BJ28" s="26">
        <f t="shared" ref="BJ28:BJ68" si="80">BC28</f>
        <v>1.2394640264143406</v>
      </c>
      <c r="BK28" s="26">
        <f t="shared" ref="BK28:BK68" si="81">BD28</f>
        <v>1.4960717029189849</v>
      </c>
      <c r="BL28" s="26">
        <f t="shared" ref="BL28:BL68" si="82">BE28</f>
        <v>1.490492884895334</v>
      </c>
      <c r="BM28" s="26">
        <f t="shared" ref="BM28:BM68" si="83">BF28</f>
        <v>-0.68972168413232626</v>
      </c>
      <c r="BN28" s="61">
        <f t="shared" ref="BN28:BN74" si="84">BG28</f>
        <v>180</v>
      </c>
      <c r="BO28" s="26">
        <f t="shared" ref="BO28:BO74" si="85">H28</f>
        <v>0.84237434817882784</v>
      </c>
      <c r="BR28" s="26">
        <f>covariates!V36</f>
        <v>-0.68972168413232626</v>
      </c>
      <c r="BS28" s="26">
        <f>covariates!W36</f>
        <v>-5.8828972898451432E-2</v>
      </c>
      <c r="BT28" s="26">
        <f>covariates!Y36</f>
        <v>1.490492884895334</v>
      </c>
      <c r="BU28" s="26">
        <f>covariates!U36</f>
        <v>1.4960717029189849</v>
      </c>
      <c r="BV28" s="26">
        <f>covariates!AA36</f>
        <v>-0.76057812645171086</v>
      </c>
      <c r="BW28" s="26">
        <f t="shared" si="2"/>
        <v>0.84237434817882784</v>
      </c>
      <c r="BX28" s="26">
        <f t="shared" si="76"/>
        <v>-0.76945436806962253</v>
      </c>
      <c r="BY28" s="26">
        <f t="shared" si="10"/>
        <v>-0.76057812645171086</v>
      </c>
      <c r="BZ28" s="26">
        <f t="shared" si="11"/>
        <v>1976</v>
      </c>
      <c r="CA28" s="26">
        <f t="shared" si="64"/>
        <v>1.2220571392528774</v>
      </c>
      <c r="CB28" s="26">
        <f t="shared" si="70"/>
        <v>1.2248176995422557</v>
      </c>
      <c r="CC28" s="26">
        <f t="shared" si="65"/>
        <v>970276.05538971571</v>
      </c>
      <c r="CD28" s="26">
        <f t="shared" si="12"/>
        <v>1.203173979965229</v>
      </c>
      <c r="CE28" s="26">
        <f t="shared" si="70"/>
        <v>1.1929527145815482</v>
      </c>
      <c r="CF28" s="26">
        <f t="shared" si="13"/>
        <v>969399.58669819857</v>
      </c>
      <c r="CG28" s="26">
        <f t="shared" si="14"/>
        <v>1.3842047715667061</v>
      </c>
      <c r="CH28" s="26">
        <f t="shared" si="71"/>
        <v>1.2383312335958614</v>
      </c>
      <c r="CI28" s="26">
        <f t="shared" si="15"/>
        <v>1150458.4284176952</v>
      </c>
      <c r="CJ28" s="26">
        <f t="shared" si="16"/>
        <v>1.1986157990208277</v>
      </c>
      <c r="CK28" s="26">
        <f t="shared" si="72"/>
        <v>1.2180107320658906</v>
      </c>
      <c r="CL28" s="26">
        <f t="shared" si="17"/>
        <v>944968.49283123668</v>
      </c>
      <c r="CM28" s="26">
        <f t="shared" si="66"/>
        <v>1.3028563400297026</v>
      </c>
      <c r="CN28" s="26">
        <f t="shared" si="73"/>
        <v>1.268669710201705</v>
      </c>
      <c r="CO28" s="26">
        <f t="shared" si="18"/>
        <v>1058617.3550431777</v>
      </c>
      <c r="CP28" s="26">
        <f t="shared" si="67"/>
        <v>-0.29187955452397496</v>
      </c>
      <c r="CQ28" s="26">
        <f t="shared" si="19"/>
        <v>1.4674908150063763</v>
      </c>
      <c r="CR28" s="26">
        <f t="shared" si="74"/>
        <v>1.2640138450785947</v>
      </c>
      <c r="CS28" s="26">
        <f t="shared" si="20"/>
        <v>1248873.9051605538</v>
      </c>
      <c r="CT28" s="26">
        <f t="shared" si="21"/>
        <v>861403.12391299813</v>
      </c>
      <c r="CU28" s="26">
        <f t="shared" si="22"/>
        <v>1.3207360981887122</v>
      </c>
      <c r="CV28" s="26">
        <f t="shared" si="75"/>
        <v>1.2876814338815057</v>
      </c>
      <c r="CW28" s="26">
        <f t="shared" si="23"/>
        <v>1067710.4677844869</v>
      </c>
      <c r="CX28" s="26">
        <f t="shared" si="24"/>
        <v>1.203173979965229</v>
      </c>
      <c r="CY28" s="26">
        <f t="shared" si="69"/>
        <v>1.1929527145815482</v>
      </c>
      <c r="CZ28" s="26">
        <f t="shared" si="68"/>
        <v>969399.58669819857</v>
      </c>
      <c r="DN28" s="103" t="s">
        <v>89</v>
      </c>
      <c r="DO28" s="103">
        <v>0.11401006508644572</v>
      </c>
      <c r="DP28" s="103">
        <v>5.4964792357665597E-2</v>
      </c>
      <c r="DQ28" s="103">
        <v>2.0742380748855034</v>
      </c>
      <c r="DR28" s="103">
        <v>4.2284844446918574E-2</v>
      </c>
      <c r="DS28" s="103">
        <v>4.101169943707933E-3</v>
      </c>
      <c r="DT28" s="103">
        <v>0.22391896022918351</v>
      </c>
      <c r="DU28" s="103">
        <v>4.101169943707933E-3</v>
      </c>
      <c r="DV28" s="103">
        <v>0.22391896022918351</v>
      </c>
      <c r="GT28"/>
      <c r="GU28"/>
      <c r="GV28"/>
      <c r="GW28"/>
      <c r="GX28"/>
      <c r="GY28"/>
      <c r="GZ28"/>
      <c r="HA28"/>
      <c r="HB28"/>
      <c r="HD28"/>
      <c r="HE28"/>
      <c r="HF28"/>
      <c r="HG28"/>
      <c r="HH28"/>
      <c r="HI28"/>
      <c r="HJ28"/>
      <c r="HK28"/>
      <c r="HL28"/>
    </row>
    <row r="29" spans="1:220" s="26" customFormat="1" ht="12.75" customHeight="1" x14ac:dyDescent="0.35">
      <c r="A29" s="26" t="s">
        <v>52</v>
      </c>
      <c r="B29" s="26">
        <v>1977</v>
      </c>
      <c r="C29" s="26">
        <f>'Orig data'!G31</f>
        <v>599341</v>
      </c>
      <c r="D29" s="26">
        <f>'Orig data'!Q31</f>
        <v>722536</v>
      </c>
      <c r="E29" s="26">
        <f>'Orig data'!W31</f>
        <v>573665.96733916632</v>
      </c>
      <c r="F29" s="26">
        <f t="shared" si="25"/>
        <v>599.34100000000001</v>
      </c>
      <c r="G29" s="26">
        <f t="shared" si="26"/>
        <v>573.66596733916629</v>
      </c>
      <c r="H29" s="26">
        <f t="shared" si="27"/>
        <v>-4.3783429778572559E-2</v>
      </c>
      <c r="I29" s="26">
        <f t="shared" si="28"/>
        <v>123195</v>
      </c>
      <c r="J29" s="26">
        <f t="shared" si="29"/>
        <v>0.1705036150447867</v>
      </c>
      <c r="K29" s="26">
        <f t="shared" si="30"/>
        <v>1977</v>
      </c>
      <c r="L29" s="26">
        <f>covariates!R37</f>
        <v>599341</v>
      </c>
      <c r="M29" s="26">
        <f t="shared" si="31"/>
        <v>-0.69205874739779571</v>
      </c>
      <c r="N29" s="26">
        <f t="shared" si="32"/>
        <v>0.67586517468953122</v>
      </c>
      <c r="O29" s="26">
        <f t="shared" si="33"/>
        <v>0.92774416412243355</v>
      </c>
      <c r="P29" s="26">
        <f t="shared" si="34"/>
        <v>599341</v>
      </c>
      <c r="Q29" s="26">
        <f t="shared" si="35"/>
        <v>-0.76057812645171086</v>
      </c>
      <c r="R29" s="26">
        <f t="shared" si="36"/>
        <v>0.67586517468953122</v>
      </c>
      <c r="S29" s="26">
        <f t="shared" si="37"/>
        <v>0.92774416412243355</v>
      </c>
      <c r="T29" s="26">
        <f t="shared" si="38"/>
        <v>599341</v>
      </c>
      <c r="U29" s="26">
        <f t="shared" si="39"/>
        <v>-0.13059937285680528</v>
      </c>
      <c r="V29" s="26">
        <f t="shared" si="40"/>
        <v>0.92774416412243355</v>
      </c>
      <c r="W29" s="26">
        <f t="shared" si="41"/>
        <v>-0.69205874739779571</v>
      </c>
      <c r="X29" s="26">
        <f t="shared" si="42"/>
        <v>599341</v>
      </c>
      <c r="Y29" s="26">
        <f t="shared" si="43"/>
        <v>0.47486105422452751</v>
      </c>
      <c r="Z29" s="105">
        <f t="shared" si="44"/>
        <v>0.92774416412243355</v>
      </c>
      <c r="AA29" s="105">
        <f t="shared" si="45"/>
        <v>-0.69205874739779571</v>
      </c>
      <c r="AB29" s="105">
        <f t="shared" si="46"/>
        <v>599341</v>
      </c>
      <c r="AC29" s="159">
        <f t="shared" si="47"/>
        <v>0.64127989854472345</v>
      </c>
      <c r="AD29" s="105">
        <f t="shared" si="48"/>
        <v>0.92774416412243355</v>
      </c>
      <c r="AE29" s="105">
        <f t="shared" si="49"/>
        <v>-0.69205874739779571</v>
      </c>
      <c r="AF29" s="105">
        <f t="shared" si="50"/>
        <v>599341</v>
      </c>
      <c r="AG29" s="105">
        <f>covariates!X37</f>
        <v>0.64127989854472345</v>
      </c>
      <c r="AH29" s="105">
        <f t="shared" si="51"/>
        <v>0.92774416412243355</v>
      </c>
      <c r="AI29" s="159">
        <f t="shared" si="52"/>
        <v>0.67586517468953122</v>
      </c>
      <c r="AJ29" s="105">
        <f t="shared" si="53"/>
        <v>-0.69205874739779571</v>
      </c>
      <c r="AK29" s="105"/>
      <c r="AL29" s="105"/>
      <c r="AM29" s="105"/>
      <c r="AN29" s="105"/>
      <c r="AO29" s="105"/>
      <c r="AP29" s="105">
        <f t="shared" si="54"/>
        <v>599341</v>
      </c>
      <c r="AQ29" s="105">
        <f>covariates!T37</f>
        <v>0.47486105422452751</v>
      </c>
      <c r="AR29" s="105">
        <f t="shared" si="55"/>
        <v>0.92774416412243355</v>
      </c>
      <c r="AS29" s="105">
        <f t="shared" si="56"/>
        <v>0.67586517468953122</v>
      </c>
      <c r="AT29" s="26">
        <f t="shared" si="57"/>
        <v>-0.69205874739779571</v>
      </c>
      <c r="AU29" s="26">
        <f t="shared" si="58"/>
        <v>599341</v>
      </c>
      <c r="AV29" s="26">
        <f t="shared" si="59"/>
        <v>0.64127989854472345</v>
      </c>
      <c r="AW29" s="26">
        <f t="shared" si="60"/>
        <v>0.92774416412243355</v>
      </c>
      <c r="AX29" s="26">
        <f t="shared" si="61"/>
        <v>0.67586517468953122</v>
      </c>
      <c r="AY29" s="26">
        <f t="shared" si="62"/>
        <v>-0.69205874739779571</v>
      </c>
      <c r="AZ29" s="26">
        <f t="shared" si="63"/>
        <v>-0.76057812645171086</v>
      </c>
      <c r="BA29" s="61">
        <v>1977</v>
      </c>
      <c r="BB29" s="164">
        <f t="shared" si="4"/>
        <v>599341</v>
      </c>
      <c r="BC29" s="105">
        <f t="shared" si="5"/>
        <v>0.64127989854472345</v>
      </c>
      <c r="BD29" s="105">
        <f t="shared" si="6"/>
        <v>0.92774416412243355</v>
      </c>
      <c r="BE29" s="105">
        <f t="shared" si="7"/>
        <v>0.67586517468953122</v>
      </c>
      <c r="BF29" s="105">
        <f t="shared" si="8"/>
        <v>-0.69205874739779571</v>
      </c>
      <c r="BG29">
        <v>191</v>
      </c>
      <c r="BH29" s="61">
        <f t="shared" si="78"/>
        <v>1977</v>
      </c>
      <c r="BI29" s="61">
        <f t="shared" si="79"/>
        <v>599341</v>
      </c>
      <c r="BJ29" s="26">
        <f t="shared" si="80"/>
        <v>0.64127989854472345</v>
      </c>
      <c r="BK29" s="26">
        <f t="shared" si="81"/>
        <v>0.92774416412243355</v>
      </c>
      <c r="BL29" s="26">
        <f t="shared" si="82"/>
        <v>0.67586517468953122</v>
      </c>
      <c r="BM29" s="26">
        <f t="shared" si="83"/>
        <v>-0.69205874739779571</v>
      </c>
      <c r="BN29" s="61">
        <f t="shared" si="84"/>
        <v>191</v>
      </c>
      <c r="BO29" s="26">
        <f t="shared" si="85"/>
        <v>-4.3783429778572559E-2</v>
      </c>
      <c r="BR29" s="26">
        <f>covariates!V37</f>
        <v>-0.69205874739779571</v>
      </c>
      <c r="BS29" s="26">
        <f>covariates!W37</f>
        <v>-0.13059937285680528</v>
      </c>
      <c r="BT29" s="26">
        <f>covariates!Y37</f>
        <v>0.67586517468953122</v>
      </c>
      <c r="BU29" s="26">
        <f>covariates!U37</f>
        <v>0.92774416412243355</v>
      </c>
      <c r="BV29" s="26">
        <f>covariates!AA37</f>
        <v>-0.76057812645171086</v>
      </c>
      <c r="BW29" s="26">
        <f t="shared" si="2"/>
        <v>-4.3783429778572559E-2</v>
      </c>
      <c r="BX29" s="26">
        <f t="shared" si="76"/>
        <v>-0.76945436806962253</v>
      </c>
      <c r="BY29" s="26">
        <f t="shared" si="10"/>
        <v>-0.76057812645171086</v>
      </c>
      <c r="BZ29" s="26">
        <f t="shared" si="11"/>
        <v>1977</v>
      </c>
      <c r="CA29" s="26">
        <f t="shared" si="64"/>
        <v>1.2486404730152025</v>
      </c>
      <c r="CB29" s="26">
        <f t="shared" si="70"/>
        <v>1.2012991414102823</v>
      </c>
      <c r="CC29" s="26">
        <f t="shared" si="65"/>
        <v>1535418.2027819888</v>
      </c>
      <c r="CD29" s="26">
        <f t="shared" si="12"/>
        <v>1.2235572316175458</v>
      </c>
      <c r="CE29" s="26">
        <f t="shared" si="70"/>
        <v>1.1725725187626077</v>
      </c>
      <c r="CF29" s="26">
        <f t="shared" si="13"/>
        <v>1545527.0563577879</v>
      </c>
      <c r="CG29" s="26">
        <f t="shared" si="14"/>
        <v>1.2293478522794723</v>
      </c>
      <c r="CH29" s="26">
        <f t="shared" si="71"/>
        <v>1.2273099581732789</v>
      </c>
      <c r="CI29" s="26">
        <f t="shared" si="15"/>
        <v>1527940.8028969793</v>
      </c>
      <c r="CJ29" s="26">
        <f t="shared" si="16"/>
        <v>1.2717884748075854</v>
      </c>
      <c r="CK29" s="26">
        <f t="shared" si="72"/>
        <v>1.1946217584036876</v>
      </c>
      <c r="CL29" s="26">
        <f t="shared" si="17"/>
        <v>1563133.0451259383</v>
      </c>
      <c r="CM29" s="26">
        <f t="shared" si="66"/>
        <v>1.2757703955584772</v>
      </c>
      <c r="CN29" s="26">
        <f t="shared" si="73"/>
        <v>1.265827515300243</v>
      </c>
      <c r="CO29" s="26">
        <f t="shared" si="18"/>
        <v>1595345.2273684794</v>
      </c>
      <c r="CP29" s="26">
        <f t="shared" si="67"/>
        <v>-1.0227981467954734</v>
      </c>
      <c r="CQ29" s="26">
        <f t="shared" si="19"/>
        <v>1.3472485104264007</v>
      </c>
      <c r="CR29" s="26">
        <f t="shared" si="74"/>
        <v>1.2833174918993815</v>
      </c>
      <c r="CS29" s="26">
        <f t="shared" si="20"/>
        <v>1715495.5353858944</v>
      </c>
      <c r="CT29" s="26">
        <f t="shared" si="21"/>
        <v>1290899.9397595827</v>
      </c>
      <c r="CU29" s="26">
        <f t="shared" si="22"/>
        <v>1.2931260759626007</v>
      </c>
      <c r="CV29" s="26">
        <f t="shared" si="75"/>
        <v>1.2876758589465647</v>
      </c>
      <c r="CW29" s="26">
        <f t="shared" si="23"/>
        <v>1596844.9410328071</v>
      </c>
      <c r="CX29" s="26">
        <f t="shared" si="24"/>
        <v>1.2235572316175458</v>
      </c>
      <c r="CY29" s="26">
        <f t="shared" si="69"/>
        <v>1.1725725187626077</v>
      </c>
      <c r="CZ29" s="26">
        <f t="shared" si="68"/>
        <v>1545527.0563577879</v>
      </c>
      <c r="DA29" s="26" t="s">
        <v>125</v>
      </c>
      <c r="EJ29" s="26" t="s">
        <v>125</v>
      </c>
      <c r="EU29" s="26" t="s">
        <v>125</v>
      </c>
      <c r="FZ29" s="26" t="s">
        <v>125</v>
      </c>
      <c r="GT29"/>
      <c r="GU29"/>
      <c r="GV29"/>
      <c r="GW29"/>
      <c r="GX29"/>
      <c r="GY29"/>
      <c r="GZ29"/>
      <c r="HA29"/>
      <c r="HB29"/>
      <c r="HD29"/>
      <c r="HE29"/>
      <c r="HF29"/>
      <c r="HG29"/>
      <c r="HH29"/>
      <c r="HI29"/>
      <c r="HJ29"/>
      <c r="HK29"/>
      <c r="HL29"/>
    </row>
    <row r="30" spans="1:220" s="26" customFormat="1" ht="12.75" customHeight="1" thickBot="1" x14ac:dyDescent="0.4">
      <c r="A30" s="26" t="s">
        <v>52</v>
      </c>
      <c r="B30" s="26">
        <v>1978</v>
      </c>
      <c r="C30" s="26">
        <f>'Orig data'!G32</f>
        <v>358990</v>
      </c>
      <c r="D30" s="26">
        <f>'Orig data'!Q32</f>
        <v>1185223</v>
      </c>
      <c r="E30" s="26">
        <f>'Orig data'!W32</f>
        <v>666342.58408459742</v>
      </c>
      <c r="F30" s="26">
        <f t="shared" si="25"/>
        <v>358.99</v>
      </c>
      <c r="G30" s="26">
        <f t="shared" si="26"/>
        <v>666.34258408459743</v>
      </c>
      <c r="H30" s="26">
        <f t="shared" si="27"/>
        <v>0.6185093958572383</v>
      </c>
      <c r="I30" s="26">
        <f t="shared" si="28"/>
        <v>826233</v>
      </c>
      <c r="J30" s="26">
        <f t="shared" si="29"/>
        <v>0.69711185152498734</v>
      </c>
      <c r="K30" s="26">
        <f t="shared" si="30"/>
        <v>1978</v>
      </c>
      <c r="L30" s="26">
        <f>covariates!R38</f>
        <v>358990</v>
      </c>
      <c r="M30" s="26">
        <f t="shared" si="31"/>
        <v>-0.68849257550252763</v>
      </c>
      <c r="N30" s="26">
        <f t="shared" si="32"/>
        <v>-0.33202880349877045</v>
      </c>
      <c r="O30" s="26">
        <f t="shared" si="33"/>
        <v>-0.62897909432029397</v>
      </c>
      <c r="P30" s="26">
        <f t="shared" si="34"/>
        <v>358990</v>
      </c>
      <c r="Q30" s="26">
        <f t="shared" si="35"/>
        <v>-0.76057812645171086</v>
      </c>
      <c r="R30" s="26">
        <f t="shared" si="36"/>
        <v>-0.33202880349877045</v>
      </c>
      <c r="S30" s="26">
        <f t="shared" si="37"/>
        <v>-0.62897909432029397</v>
      </c>
      <c r="T30" s="26">
        <f t="shared" si="38"/>
        <v>358990</v>
      </c>
      <c r="U30" s="26">
        <f t="shared" si="39"/>
        <v>-0.86534444938425259</v>
      </c>
      <c r="V30" s="26">
        <f t="shared" si="40"/>
        <v>-0.62897909432029397</v>
      </c>
      <c r="W30" s="26">
        <f t="shared" si="41"/>
        <v>-0.68849257550252763</v>
      </c>
      <c r="X30" s="26">
        <f t="shared" si="42"/>
        <v>358990</v>
      </c>
      <c r="Y30" s="26">
        <f t="shared" si="43"/>
        <v>-0.82973158327270669</v>
      </c>
      <c r="Z30" s="105">
        <f t="shared" si="44"/>
        <v>-0.62897909432029397</v>
      </c>
      <c r="AA30" s="105">
        <f t="shared" si="45"/>
        <v>-0.68849257550252763</v>
      </c>
      <c r="AB30" s="105">
        <f t="shared" si="46"/>
        <v>358990</v>
      </c>
      <c r="AC30" s="159">
        <f t="shared" si="47"/>
        <v>1.0457396123553988</v>
      </c>
      <c r="AD30" s="105">
        <f t="shared" si="48"/>
        <v>-0.62897909432029397</v>
      </c>
      <c r="AE30" s="105">
        <f t="shared" si="49"/>
        <v>-0.68849257550252763</v>
      </c>
      <c r="AF30" s="105">
        <f t="shared" si="50"/>
        <v>358990</v>
      </c>
      <c r="AG30" s="105">
        <f>covariates!X38</f>
        <v>1.0457396123553988</v>
      </c>
      <c r="AH30" s="105">
        <f t="shared" si="51"/>
        <v>-0.62897909432029397</v>
      </c>
      <c r="AI30" s="159">
        <f t="shared" si="52"/>
        <v>-0.33202880349877045</v>
      </c>
      <c r="AJ30" s="105">
        <f t="shared" si="53"/>
        <v>-0.68849257550252763</v>
      </c>
      <c r="AK30" s="105"/>
      <c r="AL30" s="105"/>
      <c r="AM30" s="105"/>
      <c r="AN30" s="105"/>
      <c r="AO30" s="105"/>
      <c r="AP30" s="105">
        <f t="shared" si="54"/>
        <v>358990</v>
      </c>
      <c r="AQ30" s="105">
        <f>covariates!T38</f>
        <v>-0.82973158327270669</v>
      </c>
      <c r="AR30" s="105">
        <f t="shared" si="55"/>
        <v>-0.62897909432029397</v>
      </c>
      <c r="AS30" s="105">
        <f t="shared" si="56"/>
        <v>-0.33202880349877045</v>
      </c>
      <c r="AT30" s="26">
        <f t="shared" si="57"/>
        <v>-0.68849257550252763</v>
      </c>
      <c r="AU30" s="26">
        <f t="shared" si="58"/>
        <v>358990</v>
      </c>
      <c r="AV30" s="26">
        <f t="shared" si="59"/>
        <v>1.0457396123553988</v>
      </c>
      <c r="AW30" s="26">
        <f t="shared" si="60"/>
        <v>-0.62897909432029397</v>
      </c>
      <c r="AX30" s="26">
        <f t="shared" si="61"/>
        <v>-0.33202880349877045</v>
      </c>
      <c r="AY30" s="26">
        <f t="shared" si="62"/>
        <v>-0.68849257550252763</v>
      </c>
      <c r="AZ30" s="26">
        <f t="shared" si="63"/>
        <v>-0.76057812645171086</v>
      </c>
      <c r="BA30" s="61">
        <v>1978</v>
      </c>
      <c r="BB30" s="164">
        <f t="shared" si="4"/>
        <v>358990</v>
      </c>
      <c r="BC30" s="105">
        <f t="shared" si="5"/>
        <v>1.0457396123553988</v>
      </c>
      <c r="BD30" s="105">
        <f t="shared" si="6"/>
        <v>-0.62897909432029397</v>
      </c>
      <c r="BE30" s="105">
        <f t="shared" si="7"/>
        <v>-0.33202880349877045</v>
      </c>
      <c r="BF30" s="105">
        <f t="shared" si="8"/>
        <v>-0.68849257550252763</v>
      </c>
      <c r="BG30">
        <v>193</v>
      </c>
      <c r="BH30" s="61">
        <f t="shared" si="78"/>
        <v>1978</v>
      </c>
      <c r="BI30" s="61">
        <f t="shared" si="79"/>
        <v>358990</v>
      </c>
      <c r="BJ30" s="26">
        <f t="shared" si="80"/>
        <v>1.0457396123553988</v>
      </c>
      <c r="BK30" s="26">
        <f t="shared" si="81"/>
        <v>-0.62897909432029397</v>
      </c>
      <c r="BL30" s="26">
        <f t="shared" si="82"/>
        <v>-0.33202880349877045</v>
      </c>
      <c r="BM30" s="26">
        <f t="shared" si="83"/>
        <v>-0.68849257550252763</v>
      </c>
      <c r="BN30" s="61">
        <f t="shared" si="84"/>
        <v>193</v>
      </c>
      <c r="BO30" s="26">
        <f t="shared" si="85"/>
        <v>0.6185093958572383</v>
      </c>
      <c r="BR30" s="26">
        <f>covariates!V38</f>
        <v>-0.68849257550252763</v>
      </c>
      <c r="BS30" s="26">
        <f>covariates!W38</f>
        <v>-0.86534444938425259</v>
      </c>
      <c r="BT30" s="26">
        <f>covariates!Y38</f>
        <v>-0.33202880349877045</v>
      </c>
      <c r="BU30" s="26">
        <f>covariates!U38</f>
        <v>-0.62897909432029397</v>
      </c>
      <c r="BV30" s="26">
        <f>covariates!AA38</f>
        <v>-0.76057812645171086</v>
      </c>
      <c r="BW30" s="26">
        <f t="shared" si="2"/>
        <v>0.6185093958572383</v>
      </c>
      <c r="BX30" s="26">
        <f t="shared" si="76"/>
        <v>-0.76945436806962253</v>
      </c>
      <c r="BY30" s="26">
        <f t="shared" si="10"/>
        <v>-0.76057812645171086</v>
      </c>
      <c r="BZ30" s="26">
        <f t="shared" si="11"/>
        <v>1978</v>
      </c>
      <c r="CA30" s="26">
        <f t="shared" si="64"/>
        <v>1.1826691408548922</v>
      </c>
      <c r="CB30" s="26">
        <f t="shared" si="70"/>
        <v>1.1952374367872269</v>
      </c>
      <c r="CC30" s="26">
        <f t="shared" si="65"/>
        <v>974117.12908003817</v>
      </c>
      <c r="CD30" s="26">
        <f t="shared" si="12"/>
        <v>1.143062602127991</v>
      </c>
      <c r="CE30" s="26">
        <f t="shared" si="70"/>
        <v>1.1700447947985488</v>
      </c>
      <c r="CF30" s="26">
        <f t="shared" si="13"/>
        <v>954206.23494372109</v>
      </c>
      <c r="CG30" s="26">
        <f t="shared" si="14"/>
        <v>1.1754677544424448</v>
      </c>
      <c r="CH30" s="26">
        <f t="shared" si="71"/>
        <v>1.2145529303018452</v>
      </c>
      <c r="CI30" s="26">
        <f t="shared" si="15"/>
        <v>975511.40975768794</v>
      </c>
      <c r="CJ30" s="26">
        <f t="shared" si="16"/>
        <v>1.1747979020441641</v>
      </c>
      <c r="CK30" s="26">
        <f t="shared" si="72"/>
        <v>1.1935065962362152</v>
      </c>
      <c r="CL30" s="26">
        <f t="shared" si="17"/>
        <v>963440.30852869782</v>
      </c>
      <c r="CM30" s="26">
        <f t="shared" si="66"/>
        <v>1.2596042982800164</v>
      </c>
      <c r="CN30" s="26">
        <f t="shared" si="73"/>
        <v>1.2656469822027749</v>
      </c>
      <c r="CO30" s="26">
        <f t="shared" si="18"/>
        <v>1059073.4859972654</v>
      </c>
      <c r="CP30" s="26">
        <f t="shared" si="67"/>
        <v>-0.46334580626609956</v>
      </c>
      <c r="CQ30" s="26">
        <f t="shared" si="19"/>
        <v>1.2194449666133627</v>
      </c>
      <c r="CR30" s="26">
        <f t="shared" si="74"/>
        <v>1.2942834967762189</v>
      </c>
      <c r="CS30" s="26">
        <f t="shared" si="20"/>
        <v>1018075.6091521181</v>
      </c>
      <c r="CT30" s="26">
        <f t="shared" si="21"/>
        <v>897769.13583808939</v>
      </c>
      <c r="CU30" s="26">
        <f t="shared" si="22"/>
        <v>1.2777596794830117</v>
      </c>
      <c r="CV30" s="26">
        <f t="shared" si="75"/>
        <v>1.2901841248200445</v>
      </c>
      <c r="CW30" s="26">
        <f t="shared" si="23"/>
        <v>1067924.4855725337</v>
      </c>
      <c r="CX30" s="26">
        <f t="shared" si="24"/>
        <v>1.143062602127991</v>
      </c>
      <c r="CY30" s="26">
        <f t="shared" si="69"/>
        <v>1.1700447947985488</v>
      </c>
      <c r="CZ30" s="26">
        <f t="shared" si="68"/>
        <v>954206.23494372109</v>
      </c>
      <c r="FF30" s="26" t="s">
        <v>125</v>
      </c>
      <c r="FP30" s="26" t="s">
        <v>125</v>
      </c>
      <c r="GT30" t="s">
        <v>125</v>
      </c>
      <c r="GU30"/>
      <c r="GV30"/>
      <c r="GW30"/>
      <c r="GX30"/>
      <c r="GY30"/>
      <c r="GZ30"/>
      <c r="HA30"/>
      <c r="HB30"/>
      <c r="HD30" t="s">
        <v>125</v>
      </c>
      <c r="HE30"/>
      <c r="HF30"/>
      <c r="HG30"/>
      <c r="HH30"/>
      <c r="HI30"/>
      <c r="HJ30"/>
      <c r="HK30"/>
      <c r="HL30"/>
    </row>
    <row r="31" spans="1:220" s="26" customFormat="1" ht="12.75" customHeight="1" thickBot="1" x14ac:dyDescent="0.4">
      <c r="A31" s="26" t="s">
        <v>52</v>
      </c>
      <c r="B31" s="26">
        <v>1979</v>
      </c>
      <c r="C31" s="26">
        <f>'Orig data'!G33</f>
        <v>255634</v>
      </c>
      <c r="D31" s="26">
        <f>'Orig data'!Q33</f>
        <v>308732</v>
      </c>
      <c r="E31" s="26">
        <f>'Orig data'!W33</f>
        <v>518168.16439239652</v>
      </c>
      <c r="F31" s="26">
        <f t="shared" si="25"/>
        <v>255.63399999999999</v>
      </c>
      <c r="G31" s="26">
        <f t="shared" si="26"/>
        <v>518.16816439239653</v>
      </c>
      <c r="H31" s="26">
        <f t="shared" si="27"/>
        <v>0.70655309725769067</v>
      </c>
      <c r="I31" s="26">
        <f t="shared" si="28"/>
        <v>53098</v>
      </c>
      <c r="J31" s="26">
        <f t="shared" si="29"/>
        <v>0.17198735472837282</v>
      </c>
      <c r="K31" s="26">
        <f t="shared" si="30"/>
        <v>1979</v>
      </c>
      <c r="L31" s="26">
        <f>covariates!R39</f>
        <v>255634</v>
      </c>
      <c r="M31" s="26">
        <f t="shared" si="31"/>
        <v>-0.6582991024123237</v>
      </c>
      <c r="N31" s="26">
        <f t="shared" si="32"/>
        <v>0.65924011937920879</v>
      </c>
      <c r="O31" s="26">
        <f t="shared" si="33"/>
        <v>-1.3455659910637718</v>
      </c>
      <c r="P31" s="26">
        <f t="shared" si="34"/>
        <v>255634</v>
      </c>
      <c r="Q31" s="26">
        <f t="shared" si="35"/>
        <v>-0.76057812645171086</v>
      </c>
      <c r="R31" s="26">
        <f t="shared" si="36"/>
        <v>0.65924011937920879</v>
      </c>
      <c r="S31" s="26">
        <f t="shared" si="37"/>
        <v>-1.3455659910637718</v>
      </c>
      <c r="T31" s="26">
        <f t="shared" si="38"/>
        <v>255634</v>
      </c>
      <c r="U31" s="26">
        <f t="shared" si="39"/>
        <v>-0.11917064295329061</v>
      </c>
      <c r="V31" s="26">
        <f t="shared" si="40"/>
        <v>-1.3455659910637718</v>
      </c>
      <c r="W31" s="26">
        <f t="shared" si="41"/>
        <v>-0.6582991024123237</v>
      </c>
      <c r="X31" s="26">
        <f t="shared" si="42"/>
        <v>255634</v>
      </c>
      <c r="Y31" s="26">
        <f t="shared" si="43"/>
        <v>-1.4839407944522176E-2</v>
      </c>
      <c r="Z31" s="105">
        <f t="shared" si="44"/>
        <v>-1.3455659910637718</v>
      </c>
      <c r="AA31" s="105">
        <f t="shared" si="45"/>
        <v>-0.6582991024123237</v>
      </c>
      <c r="AB31" s="105">
        <f t="shared" si="46"/>
        <v>255634</v>
      </c>
      <c r="AC31" s="159">
        <f t="shared" si="47"/>
        <v>1.7608580065748596</v>
      </c>
      <c r="AD31" s="105">
        <f t="shared" si="48"/>
        <v>-1.3455659910637718</v>
      </c>
      <c r="AE31" s="105">
        <f t="shared" si="49"/>
        <v>-0.6582991024123237</v>
      </c>
      <c r="AF31" s="105">
        <f t="shared" si="50"/>
        <v>255634</v>
      </c>
      <c r="AG31" s="105">
        <f>covariates!X39</f>
        <v>1.7608580065748596</v>
      </c>
      <c r="AH31" s="105">
        <f t="shared" si="51"/>
        <v>-1.3455659910637718</v>
      </c>
      <c r="AI31" s="159">
        <f t="shared" si="52"/>
        <v>0.65924011937920879</v>
      </c>
      <c r="AJ31" s="105">
        <f t="shared" si="53"/>
        <v>-0.6582991024123237</v>
      </c>
      <c r="AK31" s="105"/>
      <c r="AL31" s="105"/>
      <c r="AM31" s="105"/>
      <c r="AN31" s="105"/>
      <c r="AO31" s="105"/>
      <c r="AP31" s="105">
        <f t="shared" si="54"/>
        <v>255634</v>
      </c>
      <c r="AQ31" s="105">
        <f>covariates!T39</f>
        <v>-1.4839407944522176E-2</v>
      </c>
      <c r="AR31" s="105">
        <f t="shared" si="55"/>
        <v>-1.3455659910637718</v>
      </c>
      <c r="AS31" s="105">
        <f t="shared" si="56"/>
        <v>0.65924011937920879</v>
      </c>
      <c r="AT31" s="26">
        <f t="shared" si="57"/>
        <v>-0.6582991024123237</v>
      </c>
      <c r="AU31" s="26">
        <f t="shared" si="58"/>
        <v>255634</v>
      </c>
      <c r="AV31" s="26">
        <f t="shared" si="59"/>
        <v>1.7608580065748596</v>
      </c>
      <c r="AW31" s="26">
        <f t="shared" si="60"/>
        <v>-1.3455659910637718</v>
      </c>
      <c r="AX31" s="26">
        <f t="shared" si="61"/>
        <v>0.65924011937920879</v>
      </c>
      <c r="AY31" s="26">
        <f t="shared" si="62"/>
        <v>-0.6582991024123237</v>
      </c>
      <c r="AZ31" s="26">
        <f t="shared" si="63"/>
        <v>-0.76057812645171086</v>
      </c>
      <c r="BA31" s="61">
        <v>1979</v>
      </c>
      <c r="BB31" s="164">
        <f t="shared" si="4"/>
        <v>255634</v>
      </c>
      <c r="BC31" s="105">
        <f t="shared" si="5"/>
        <v>1.7608580065748596</v>
      </c>
      <c r="BD31" s="105">
        <f t="shared" si="6"/>
        <v>-1.3455659910637718</v>
      </c>
      <c r="BE31" s="105">
        <f t="shared" si="7"/>
        <v>0.65924011937920879</v>
      </c>
      <c r="BF31" s="105">
        <f t="shared" si="8"/>
        <v>-0.6582991024123237</v>
      </c>
      <c r="BG31">
        <v>201</v>
      </c>
      <c r="BH31" s="61">
        <f t="shared" si="78"/>
        <v>1979</v>
      </c>
      <c r="BI31" s="61">
        <f t="shared" si="79"/>
        <v>255634</v>
      </c>
      <c r="BJ31" s="26">
        <f t="shared" si="80"/>
        <v>1.7608580065748596</v>
      </c>
      <c r="BK31" s="26">
        <f t="shared" si="81"/>
        <v>-1.3455659910637718</v>
      </c>
      <c r="BL31" s="26">
        <f t="shared" si="82"/>
        <v>0.65924011937920879</v>
      </c>
      <c r="BM31" s="26">
        <f t="shared" si="83"/>
        <v>-0.6582991024123237</v>
      </c>
      <c r="BN31" s="61">
        <f t="shared" si="84"/>
        <v>201</v>
      </c>
      <c r="BO31" s="26">
        <f t="shared" si="85"/>
        <v>0.70655309725769067</v>
      </c>
      <c r="BR31" s="26">
        <f>covariates!V39</f>
        <v>-0.6582991024123237</v>
      </c>
      <c r="BS31" s="26">
        <f>covariates!W39</f>
        <v>-0.11917064295329061</v>
      </c>
      <c r="BT31" s="26">
        <f>covariates!Y39</f>
        <v>0.65924011937920879</v>
      </c>
      <c r="BU31" s="26">
        <f>covariates!U39</f>
        <v>-1.3455659910637718</v>
      </c>
      <c r="BV31" s="26">
        <f>covariates!AA39</f>
        <v>-0.76057812645171086</v>
      </c>
      <c r="BW31" s="26">
        <f t="shared" si="2"/>
        <v>0.70655309725769067</v>
      </c>
      <c r="BX31" s="26">
        <f t="shared" si="76"/>
        <v>-0.76945436806962253</v>
      </c>
      <c r="BY31" s="26">
        <f t="shared" si="10"/>
        <v>-0.76057812645171086</v>
      </c>
      <c r="BZ31" s="26">
        <f t="shared" si="11"/>
        <v>1979</v>
      </c>
      <c r="CA31" s="26">
        <f t="shared" si="64"/>
        <v>0.98322800006522937</v>
      </c>
      <c r="CB31" s="26">
        <f t="shared" si="70"/>
        <v>1.1660738343679884</v>
      </c>
      <c r="CC31" s="26">
        <f t="shared" si="65"/>
        <v>599227.93280725146</v>
      </c>
      <c r="CD31" s="26">
        <f t="shared" si="12"/>
        <v>0.94386039711648861</v>
      </c>
      <c r="CE31" s="26">
        <f t="shared" si="70"/>
        <v>1.1441985911021637</v>
      </c>
      <c r="CF31" s="26">
        <f t="shared" si="13"/>
        <v>583924.69127532234</v>
      </c>
      <c r="CG31" s="26">
        <f t="shared" si="14"/>
        <v>1.0367876543285648</v>
      </c>
      <c r="CH31" s="26">
        <f t="shared" si="71"/>
        <v>1.2016629727685384</v>
      </c>
      <c r="CI31" s="26">
        <f t="shared" si="15"/>
        <v>636095.21563931345</v>
      </c>
      <c r="CJ31" s="26">
        <f t="shared" si="16"/>
        <v>0.97609039383670027</v>
      </c>
      <c r="CK31" s="26">
        <f t="shared" si="72"/>
        <v>1.1648973083785727</v>
      </c>
      <c r="CL31" s="26">
        <f t="shared" si="17"/>
        <v>593633.13319138275</v>
      </c>
      <c r="CM31" s="26">
        <f t="shared" si="66"/>
        <v>1.1407422139854011</v>
      </c>
      <c r="CN31" s="26">
        <f t="shared" si="73"/>
        <v>1.2396845121984124</v>
      </c>
      <c r="CO31" s="26">
        <f t="shared" si="18"/>
        <v>704800.78795005241</v>
      </c>
      <c r="CP31" s="26">
        <f t="shared" si="67"/>
        <v>-0.30761536133921297</v>
      </c>
      <c r="CQ31" s="26">
        <f t="shared" si="19"/>
        <v>1.2072553836952844</v>
      </c>
      <c r="CR31" s="26">
        <f t="shared" si="74"/>
        <v>1.2971096167269773</v>
      </c>
      <c r="CS31" s="26">
        <f t="shared" si="20"/>
        <v>753637.82767077477</v>
      </c>
      <c r="CT31" s="26">
        <f t="shared" si="21"/>
        <v>681700.64735755487</v>
      </c>
      <c r="CU31" s="26">
        <f t="shared" si="22"/>
        <v>1.1656683693574683</v>
      </c>
      <c r="CV31" s="26">
        <f t="shared" si="75"/>
        <v>1.2670169425872708</v>
      </c>
      <c r="CW31" s="26">
        <f t="shared" si="23"/>
        <v>717547.74084774917</v>
      </c>
      <c r="CX31" s="26">
        <f t="shared" si="24"/>
        <v>0.94386039711648861</v>
      </c>
      <c r="CY31" s="26">
        <f t="shared" si="69"/>
        <v>1.1441985911021637</v>
      </c>
      <c r="CZ31" s="26">
        <f t="shared" si="68"/>
        <v>583924.69127532234</v>
      </c>
      <c r="DA31" s="161" t="s">
        <v>126</v>
      </c>
      <c r="DB31" s="161" t="s">
        <v>127</v>
      </c>
      <c r="DC31" s="161" t="s">
        <v>128</v>
      </c>
      <c r="DD31" s="161" t="s">
        <v>129</v>
      </c>
      <c r="DE31" s="163" t="s">
        <v>180</v>
      </c>
      <c r="DZ31" s="26" t="s">
        <v>125</v>
      </c>
      <c r="EJ31" s="161" t="s">
        <v>126</v>
      </c>
      <c r="EK31" s="161" t="s">
        <v>127</v>
      </c>
      <c r="EL31" s="161" t="s">
        <v>128</v>
      </c>
      <c r="EM31" s="161" t="s">
        <v>129</v>
      </c>
      <c r="EN31" s="163" t="s">
        <v>180</v>
      </c>
      <c r="EU31" s="161" t="s">
        <v>126</v>
      </c>
      <c r="EV31" s="161" t="s">
        <v>127</v>
      </c>
      <c r="EW31" s="161" t="s">
        <v>128</v>
      </c>
      <c r="EX31" s="161" t="s">
        <v>129</v>
      </c>
      <c r="EY31" s="163" t="s">
        <v>180</v>
      </c>
      <c r="FZ31" s="161" t="s">
        <v>126</v>
      </c>
      <c r="GA31" s="161" t="s">
        <v>127</v>
      </c>
      <c r="GB31" s="161" t="s">
        <v>128</v>
      </c>
      <c r="GC31" s="161" t="s">
        <v>129</v>
      </c>
      <c r="GD31" s="163" t="s">
        <v>180</v>
      </c>
      <c r="GJ31" s="26" t="s">
        <v>125</v>
      </c>
      <c r="GT31"/>
      <c r="GU31"/>
      <c r="GV31"/>
      <c r="GW31"/>
      <c r="GX31"/>
      <c r="GY31"/>
      <c r="GZ31"/>
      <c r="HA31"/>
      <c r="HB31"/>
      <c r="HD31"/>
      <c r="HE31"/>
      <c r="HF31"/>
      <c r="HG31"/>
      <c r="HH31"/>
      <c r="HI31"/>
      <c r="HJ31"/>
      <c r="HK31"/>
      <c r="HL31"/>
    </row>
    <row r="32" spans="1:220" s="26" customFormat="1" ht="12.75" customHeight="1" thickBot="1" x14ac:dyDescent="0.4">
      <c r="A32" s="26" t="s">
        <v>52</v>
      </c>
      <c r="B32" s="26">
        <v>1980</v>
      </c>
      <c r="C32" s="26">
        <f>'Orig data'!G34</f>
        <v>314011</v>
      </c>
      <c r="D32" s="26">
        <f>'Orig data'!Q34</f>
        <v>909353</v>
      </c>
      <c r="E32" s="26">
        <f>'Orig data'!W34</f>
        <v>760537.66313594871</v>
      </c>
      <c r="F32" s="26">
        <f t="shared" si="25"/>
        <v>314.01100000000002</v>
      </c>
      <c r="G32" s="26">
        <f t="shared" si="26"/>
        <v>760.53766313594872</v>
      </c>
      <c r="H32" s="26">
        <f t="shared" si="27"/>
        <v>0.88459761750741206</v>
      </c>
      <c r="I32" s="26">
        <f t="shared" si="28"/>
        <v>595342</v>
      </c>
      <c r="J32" s="26">
        <f t="shared" si="29"/>
        <v>0.6546874536071251</v>
      </c>
      <c r="K32" s="26">
        <f t="shared" si="30"/>
        <v>1980</v>
      </c>
      <c r="L32" s="26">
        <f>covariates!R40</f>
        <v>314011</v>
      </c>
      <c r="M32" s="26">
        <f t="shared" si="31"/>
        <v>-0.63811957898072502</v>
      </c>
      <c r="N32" s="26">
        <f t="shared" si="32"/>
        <v>1.2307263956715448</v>
      </c>
      <c r="O32" s="26">
        <f t="shared" si="33"/>
        <v>-0.62897909432029397</v>
      </c>
      <c r="P32" s="26">
        <f t="shared" si="34"/>
        <v>314011</v>
      </c>
      <c r="Q32" s="26">
        <f t="shared" si="35"/>
        <v>-0.76057812645171086</v>
      </c>
      <c r="R32" s="26">
        <f t="shared" si="36"/>
        <v>1.2307263956715448</v>
      </c>
      <c r="S32" s="26">
        <f t="shared" si="37"/>
        <v>-0.62897909432029397</v>
      </c>
      <c r="T32" s="26">
        <f t="shared" si="38"/>
        <v>314011</v>
      </c>
      <c r="U32" s="26">
        <f t="shared" si="39"/>
        <v>-0.30043060523395776</v>
      </c>
      <c r="V32" s="26">
        <f t="shared" si="40"/>
        <v>-0.62897909432029397</v>
      </c>
      <c r="W32" s="26">
        <f t="shared" si="41"/>
        <v>-0.63811957898072502</v>
      </c>
      <c r="X32" s="26">
        <f t="shared" si="42"/>
        <v>314011</v>
      </c>
      <c r="Y32" s="26">
        <f t="shared" si="43"/>
        <v>9.6108353015652709E-2</v>
      </c>
      <c r="Z32" s="105">
        <f t="shared" si="44"/>
        <v>-0.62897909432029397</v>
      </c>
      <c r="AA32" s="105">
        <f t="shared" si="45"/>
        <v>-0.63811957898072502</v>
      </c>
      <c r="AB32" s="105">
        <f t="shared" si="46"/>
        <v>314011</v>
      </c>
      <c r="AC32" s="159">
        <f t="shared" si="47"/>
        <v>0.99525166266150833</v>
      </c>
      <c r="AD32" s="105">
        <f t="shared" si="48"/>
        <v>-0.62897909432029397</v>
      </c>
      <c r="AE32" s="105">
        <f t="shared" si="49"/>
        <v>-0.63811957898072502</v>
      </c>
      <c r="AF32" s="105">
        <f t="shared" si="50"/>
        <v>314011</v>
      </c>
      <c r="AG32" s="105">
        <f>covariates!X40</f>
        <v>0.99525166266150833</v>
      </c>
      <c r="AH32" s="105">
        <f t="shared" si="51"/>
        <v>-0.62897909432029397</v>
      </c>
      <c r="AI32" s="159">
        <f t="shared" si="52"/>
        <v>1.2307263956715448</v>
      </c>
      <c r="AJ32" s="105">
        <f t="shared" si="53"/>
        <v>-0.63811957898072502</v>
      </c>
      <c r="AK32" s="105"/>
      <c r="AL32" s="105"/>
      <c r="AM32" s="105"/>
      <c r="AN32" s="105"/>
      <c r="AO32" s="105"/>
      <c r="AP32" s="105">
        <f t="shared" si="54"/>
        <v>314011</v>
      </c>
      <c r="AQ32" s="105">
        <f>covariates!T40</f>
        <v>9.6108353015652709E-2</v>
      </c>
      <c r="AR32" s="105">
        <f t="shared" si="55"/>
        <v>-0.62897909432029397</v>
      </c>
      <c r="AS32" s="105">
        <f t="shared" si="56"/>
        <v>1.2307263956715448</v>
      </c>
      <c r="AT32" s="26">
        <f t="shared" si="57"/>
        <v>-0.63811957898072502</v>
      </c>
      <c r="AU32" s="26">
        <f t="shared" si="58"/>
        <v>314011</v>
      </c>
      <c r="AV32" s="26">
        <f t="shared" si="59"/>
        <v>0.99525166266150833</v>
      </c>
      <c r="AW32" s="26">
        <f t="shared" si="60"/>
        <v>-0.62897909432029397</v>
      </c>
      <c r="AX32" s="26">
        <f t="shared" si="61"/>
        <v>1.2307263956715448</v>
      </c>
      <c r="AY32" s="26">
        <f t="shared" si="62"/>
        <v>-0.63811957898072502</v>
      </c>
      <c r="AZ32" s="26">
        <f t="shared" si="63"/>
        <v>-0.76057812645171086</v>
      </c>
      <c r="BA32" s="61">
        <v>1980</v>
      </c>
      <c r="BB32" s="164">
        <f t="shared" si="4"/>
        <v>314011</v>
      </c>
      <c r="BC32" s="105">
        <f t="shared" si="5"/>
        <v>0.99525166266150833</v>
      </c>
      <c r="BD32" s="105">
        <f t="shared" si="6"/>
        <v>-0.62897909432029397</v>
      </c>
      <c r="BE32" s="105">
        <f t="shared" si="7"/>
        <v>1.2307263956715448</v>
      </c>
      <c r="BF32" s="105">
        <f t="shared" si="8"/>
        <v>-0.63811957898072502</v>
      </c>
      <c r="BG32">
        <v>210</v>
      </c>
      <c r="BH32" s="61">
        <f t="shared" si="78"/>
        <v>1980</v>
      </c>
      <c r="BI32" s="61">
        <f t="shared" si="79"/>
        <v>314011</v>
      </c>
      <c r="BJ32" s="26">
        <f t="shared" si="80"/>
        <v>0.99525166266150833</v>
      </c>
      <c r="BK32" s="26">
        <f t="shared" si="81"/>
        <v>-0.62897909432029397</v>
      </c>
      <c r="BL32" s="26">
        <f t="shared" si="82"/>
        <v>1.2307263956715448</v>
      </c>
      <c r="BM32" s="26">
        <f t="shared" si="83"/>
        <v>-0.63811957898072502</v>
      </c>
      <c r="BN32" s="61">
        <f t="shared" si="84"/>
        <v>210</v>
      </c>
      <c r="BO32" s="26">
        <f t="shared" si="85"/>
        <v>0.88459761750741206</v>
      </c>
      <c r="BR32" s="26">
        <f>covariates!V40</f>
        <v>-0.63811957898072502</v>
      </c>
      <c r="BS32" s="26">
        <f>covariates!W40</f>
        <v>-0.30043060523395776</v>
      </c>
      <c r="BT32" s="26">
        <f>covariates!Y40</f>
        <v>1.2307263956715448</v>
      </c>
      <c r="BU32" s="26">
        <f>covariates!U40</f>
        <v>-0.62897909432029397</v>
      </c>
      <c r="BV32" s="26">
        <f>covariates!AA40</f>
        <v>-0.76057812645171086</v>
      </c>
      <c r="BW32" s="26">
        <f t="shared" si="2"/>
        <v>0.88459761750741206</v>
      </c>
      <c r="BX32" s="26">
        <f t="shared" si="76"/>
        <v>-0.76945436806962253</v>
      </c>
      <c r="BY32" s="26">
        <f t="shared" si="10"/>
        <v>-0.76057812645171086</v>
      </c>
      <c r="BZ32" s="26">
        <f t="shared" si="11"/>
        <v>1980</v>
      </c>
      <c r="CA32" s="26">
        <f t="shared" si="64"/>
        <v>0.99638091563376174</v>
      </c>
      <c r="CB32" s="26">
        <f t="shared" si="70"/>
        <v>1.1475012387052685</v>
      </c>
      <c r="CC32" s="26">
        <f t="shared" si="65"/>
        <v>723778.1326503912</v>
      </c>
      <c r="CD32" s="26">
        <f t="shared" si="12"/>
        <v>0.96893129410557888</v>
      </c>
      <c r="CE32" s="26">
        <f t="shared" si="70"/>
        <v>1.1283606702842435</v>
      </c>
      <c r="CF32" s="26">
        <f t="shared" si="13"/>
        <v>715953.47239508375</v>
      </c>
      <c r="CG32" s="26">
        <f t="shared" si="14"/>
        <v>1.0944937831915764</v>
      </c>
      <c r="CH32" s="26">
        <f t="shared" si="71"/>
        <v>1.1816551596499898</v>
      </c>
      <c r="CI32" s="26">
        <f t="shared" si="15"/>
        <v>804441.27245380613</v>
      </c>
      <c r="CJ32" s="26">
        <f t="shared" si="16"/>
        <v>0.98763698572154945</v>
      </c>
      <c r="CK32" s="26">
        <f t="shared" si="72"/>
        <v>1.1487312367013047</v>
      </c>
      <c r="CL32" s="26">
        <f t="shared" si="17"/>
        <v>715503.03067625093</v>
      </c>
      <c r="CM32" s="26">
        <f t="shared" si="66"/>
        <v>1.0780404956817184</v>
      </c>
      <c r="CN32" s="26">
        <f t="shared" si="73"/>
        <v>1.2187531763014419</v>
      </c>
      <c r="CO32" s="26">
        <f t="shared" si="18"/>
        <v>789966.20559319551</v>
      </c>
      <c r="CP32" s="26">
        <f t="shared" si="67"/>
        <v>-3.7964532166743226E-2</v>
      </c>
      <c r="CQ32" s="26">
        <f t="shared" si="19"/>
        <v>1.2036589672861959</v>
      </c>
      <c r="CR32" s="26">
        <f t="shared" si="74"/>
        <v>1.2841497835450542</v>
      </c>
      <c r="CS32" s="26">
        <f t="shared" si="20"/>
        <v>896234.96796701499</v>
      </c>
      <c r="CT32" s="26">
        <f t="shared" si="21"/>
        <v>807543.08463427005</v>
      </c>
      <c r="CU32" s="26">
        <f t="shared" si="22"/>
        <v>1.1074918342146183</v>
      </c>
      <c r="CV32" s="26">
        <f t="shared" si="75"/>
        <v>1.249165264622961</v>
      </c>
      <c r="CW32" s="26">
        <f t="shared" si="23"/>
        <v>806610.32518113672</v>
      </c>
      <c r="CX32" s="26">
        <f t="shared" si="24"/>
        <v>0.96893129410557888</v>
      </c>
      <c r="CY32" s="26">
        <f t="shared" si="69"/>
        <v>1.1283606702842435</v>
      </c>
      <c r="CZ32" s="26">
        <f t="shared" si="68"/>
        <v>715953.47239508375</v>
      </c>
      <c r="DA32" s="50">
        <v>1951</v>
      </c>
      <c r="DB32" s="50">
        <v>1.0329849955653978</v>
      </c>
      <c r="DC32" s="50">
        <v>-5.4180183456073561E-2</v>
      </c>
      <c r="DD32" s="50">
        <v>-0.10998892637650706</v>
      </c>
      <c r="DE32" s="26">
        <f>DD33</f>
        <v>-1.0202671170225943</v>
      </c>
      <c r="DN32" s="26" t="s">
        <v>125</v>
      </c>
      <c r="EJ32" s="50">
        <v>1</v>
      </c>
      <c r="EK32" s="50">
        <v>0.74593705288379653</v>
      </c>
      <c r="EL32" s="50">
        <v>0.23286775922552772</v>
      </c>
      <c r="EM32" s="50">
        <v>0.53382909631903785</v>
      </c>
      <c r="EN32" s="26">
        <f>EM33</f>
        <v>-1.0883031133902876</v>
      </c>
      <c r="EU32" s="50">
        <v>1</v>
      </c>
      <c r="EV32" s="50">
        <v>0.90869495554893809</v>
      </c>
      <c r="EW32" s="50">
        <v>7.0109856560386152E-2</v>
      </c>
      <c r="EX32" s="50">
        <v>0.16225636146064756</v>
      </c>
      <c r="EY32" s="26">
        <f>EX33</f>
        <v>-1.2028240712518741</v>
      </c>
      <c r="FF32" s="161" t="s">
        <v>126</v>
      </c>
      <c r="FG32" s="161" t="s">
        <v>127</v>
      </c>
      <c r="FH32" s="161" t="s">
        <v>128</v>
      </c>
      <c r="FI32" s="161" t="s">
        <v>129</v>
      </c>
      <c r="FJ32" s="163" t="s">
        <v>180</v>
      </c>
      <c r="FP32" s="161" t="s">
        <v>126</v>
      </c>
      <c r="FQ32" s="161" t="s">
        <v>127</v>
      </c>
      <c r="FR32" s="161" t="s">
        <v>128</v>
      </c>
      <c r="FS32" s="161" t="s">
        <v>129</v>
      </c>
      <c r="FT32" s="163" t="s">
        <v>180</v>
      </c>
      <c r="FZ32" s="50">
        <v>1</v>
      </c>
      <c r="GA32" s="50">
        <v>0.56352304578937473</v>
      </c>
      <c r="GB32" s="50">
        <v>0.41528176631994951</v>
      </c>
      <c r="GC32" s="50">
        <v>0.97403348794455291</v>
      </c>
      <c r="GD32" s="26">
        <f>GC33</f>
        <v>-0.82908115786737124</v>
      </c>
      <c r="GT32" s="48" t="s">
        <v>126</v>
      </c>
      <c r="GU32" s="48" t="s">
        <v>127</v>
      </c>
      <c r="GV32" s="48" t="s">
        <v>128</v>
      </c>
      <c r="GW32" s="48" t="s">
        <v>129</v>
      </c>
      <c r="GX32"/>
      <c r="GY32"/>
      <c r="GZ32"/>
      <c r="HA32"/>
      <c r="HB32"/>
      <c r="HD32" s="48" t="s">
        <v>126</v>
      </c>
      <c r="HE32" s="48" t="s">
        <v>351</v>
      </c>
      <c r="HF32" s="48" t="s">
        <v>128</v>
      </c>
      <c r="HG32" s="48" t="s">
        <v>129</v>
      </c>
      <c r="HH32"/>
      <c r="HI32"/>
      <c r="HJ32"/>
      <c r="HK32"/>
      <c r="HL32"/>
    </row>
    <row r="33" spans="1:220" s="26" customFormat="1" ht="12.75" customHeight="1" thickBot="1" x14ac:dyDescent="0.4">
      <c r="A33" s="26" t="s">
        <v>52</v>
      </c>
      <c r="B33" s="26">
        <v>1981</v>
      </c>
      <c r="C33" s="26">
        <f>'Orig data'!G35</f>
        <v>436996</v>
      </c>
      <c r="D33" s="26">
        <f>'Orig data'!Q35</f>
        <v>500271</v>
      </c>
      <c r="E33" s="26">
        <f>'Orig data'!W35</f>
        <v>1671325.9801148491</v>
      </c>
      <c r="F33" s="26">
        <f t="shared" si="25"/>
        <v>436.99599999999998</v>
      </c>
      <c r="G33" s="26">
        <f t="shared" si="26"/>
        <v>1671.325980114849</v>
      </c>
      <c r="H33" s="26">
        <f t="shared" si="27"/>
        <v>1.3414485486926537</v>
      </c>
      <c r="I33" s="26">
        <f t="shared" si="28"/>
        <v>63275</v>
      </c>
      <c r="J33" s="26">
        <f t="shared" si="29"/>
        <v>0.12648144705569581</v>
      </c>
      <c r="K33" s="26">
        <f t="shared" si="30"/>
        <v>1981</v>
      </c>
      <c r="L33" s="26">
        <f>covariates!R41</f>
        <v>436996</v>
      </c>
      <c r="M33" s="26">
        <f t="shared" si="31"/>
        <v>-0.61366486917607621</v>
      </c>
      <c r="N33" s="26">
        <f t="shared" si="32"/>
        <v>0.40570802589679061</v>
      </c>
      <c r="O33" s="26">
        <f t="shared" si="33"/>
        <v>-0.33246037842644105</v>
      </c>
      <c r="P33" s="26">
        <f t="shared" si="34"/>
        <v>436996</v>
      </c>
      <c r="Q33" s="26">
        <f t="shared" si="35"/>
        <v>-0.76057812645171086</v>
      </c>
      <c r="R33" s="26">
        <f t="shared" si="36"/>
        <v>0.40570802589679061</v>
      </c>
      <c r="S33" s="26">
        <f t="shared" si="37"/>
        <v>-0.33246037842644105</v>
      </c>
      <c r="T33" s="26">
        <f t="shared" si="38"/>
        <v>436996</v>
      </c>
      <c r="U33" s="26">
        <f t="shared" si="39"/>
        <v>-0.47378455668372033</v>
      </c>
      <c r="V33" s="26">
        <f t="shared" si="40"/>
        <v>-0.33246037842644105</v>
      </c>
      <c r="W33" s="26">
        <f t="shared" si="41"/>
        <v>-0.61366486917607621</v>
      </c>
      <c r="X33" s="26">
        <f t="shared" si="42"/>
        <v>436996</v>
      </c>
      <c r="Y33" s="26">
        <f t="shared" si="43"/>
        <v>-0.20612865097930702</v>
      </c>
      <c r="Z33" s="105">
        <f t="shared" si="44"/>
        <v>-0.33246037842644105</v>
      </c>
      <c r="AA33" s="105">
        <f t="shared" si="45"/>
        <v>-0.61366486917607621</v>
      </c>
      <c r="AB33" s="105">
        <f t="shared" si="46"/>
        <v>436996</v>
      </c>
      <c r="AC33" s="159">
        <f t="shared" si="47"/>
        <v>1.3233570311341378</v>
      </c>
      <c r="AD33" s="105">
        <f t="shared" si="48"/>
        <v>-0.33246037842644105</v>
      </c>
      <c r="AE33" s="105">
        <f t="shared" si="49"/>
        <v>-0.61366486917607621</v>
      </c>
      <c r="AF33" s="105">
        <f t="shared" si="50"/>
        <v>436996</v>
      </c>
      <c r="AG33" s="105">
        <f>covariates!X41</f>
        <v>1.3233570311341378</v>
      </c>
      <c r="AH33" s="105">
        <f t="shared" si="51"/>
        <v>-0.33246037842644105</v>
      </c>
      <c r="AI33" s="159">
        <f t="shared" si="52"/>
        <v>0.40570802589679061</v>
      </c>
      <c r="AJ33" s="105">
        <f t="shared" si="53"/>
        <v>-0.61366486917607621</v>
      </c>
      <c r="AK33" s="105"/>
      <c r="AL33" s="105"/>
      <c r="AM33" s="105"/>
      <c r="AN33" s="105"/>
      <c r="AO33" s="105"/>
      <c r="AP33" s="105">
        <f t="shared" si="54"/>
        <v>436996</v>
      </c>
      <c r="AQ33" s="105">
        <f>covariates!T41</f>
        <v>-0.20612865097930702</v>
      </c>
      <c r="AR33" s="105">
        <f t="shared" si="55"/>
        <v>-0.33246037842644105</v>
      </c>
      <c r="AS33" s="105">
        <f t="shared" si="56"/>
        <v>0.40570802589679061</v>
      </c>
      <c r="AT33" s="26">
        <f t="shared" si="57"/>
        <v>-0.61366486917607621</v>
      </c>
      <c r="AU33" s="26">
        <f t="shared" si="58"/>
        <v>436996</v>
      </c>
      <c r="AV33" s="26">
        <f t="shared" si="59"/>
        <v>1.3233570311341378</v>
      </c>
      <c r="AW33" s="26">
        <f t="shared" si="60"/>
        <v>-0.33246037842644105</v>
      </c>
      <c r="AX33" s="26">
        <f t="shared" si="61"/>
        <v>0.40570802589679061</v>
      </c>
      <c r="AY33" s="26">
        <f t="shared" si="62"/>
        <v>-0.61366486917607621</v>
      </c>
      <c r="AZ33" s="26">
        <f t="shared" si="63"/>
        <v>-0.76057812645171086</v>
      </c>
      <c r="BA33" s="61">
        <v>1981</v>
      </c>
      <c r="BB33" s="164">
        <f t="shared" si="4"/>
        <v>436996</v>
      </c>
      <c r="BC33" s="105">
        <f t="shared" si="5"/>
        <v>1.3233570311341378</v>
      </c>
      <c r="BD33" s="105">
        <f t="shared" si="6"/>
        <v>-0.33246037842644105</v>
      </c>
      <c r="BE33" s="105">
        <f t="shared" si="7"/>
        <v>0.40570802589679061</v>
      </c>
      <c r="BF33" s="105">
        <f t="shared" si="8"/>
        <v>-0.61366486917607621</v>
      </c>
      <c r="BG33">
        <v>211</v>
      </c>
      <c r="BH33" s="61">
        <f t="shared" si="78"/>
        <v>1981</v>
      </c>
      <c r="BI33" s="61">
        <f t="shared" si="79"/>
        <v>436996</v>
      </c>
      <c r="BJ33" s="26">
        <f t="shared" si="80"/>
        <v>1.3233570311341378</v>
      </c>
      <c r="BK33" s="26">
        <f t="shared" si="81"/>
        <v>-0.33246037842644105</v>
      </c>
      <c r="BL33" s="26">
        <f t="shared" si="82"/>
        <v>0.40570802589679061</v>
      </c>
      <c r="BM33" s="26">
        <f t="shared" si="83"/>
        <v>-0.61366486917607621</v>
      </c>
      <c r="BN33" s="61">
        <f t="shared" si="84"/>
        <v>211</v>
      </c>
      <c r="BO33" s="26">
        <f t="shared" si="85"/>
        <v>1.3414485486926537</v>
      </c>
      <c r="BR33" s="26">
        <f>covariates!V41</f>
        <v>-0.61366486917607621</v>
      </c>
      <c r="BS33" s="26">
        <f>covariates!W41</f>
        <v>-0.47378455668372033</v>
      </c>
      <c r="BT33" s="26">
        <f>covariates!Y41</f>
        <v>0.40570802589679061</v>
      </c>
      <c r="BU33" s="26">
        <f>covariates!U41</f>
        <v>-0.33246037842644105</v>
      </c>
      <c r="BV33" s="26">
        <f>covariates!AA41</f>
        <v>-0.76057812645171086</v>
      </c>
      <c r="BW33" s="26">
        <f t="shared" si="2"/>
        <v>1.3414485486926537</v>
      </c>
      <c r="BX33" s="26">
        <f t="shared" si="76"/>
        <v>-0.76945436806962253</v>
      </c>
      <c r="BY33" s="26">
        <f t="shared" si="10"/>
        <v>-0.76057812645171086</v>
      </c>
      <c r="BZ33" s="26">
        <f t="shared" si="11"/>
        <v>1981</v>
      </c>
      <c r="CA33" s="26">
        <f t="shared" si="64"/>
        <v>1.1163070073757329</v>
      </c>
      <c r="CB33" s="26">
        <f t="shared" si="70"/>
        <v>1.0925733263021011</v>
      </c>
      <c r="CC33" s="26">
        <f t="shared" si="65"/>
        <v>1066058.1209079698</v>
      </c>
      <c r="CD33" s="26">
        <f t="shared" si="12"/>
        <v>1.0975834786326122</v>
      </c>
      <c r="CE33" s="26">
        <f t="shared" si="70"/>
        <v>1.0746431330529607</v>
      </c>
      <c r="CF33" s="26">
        <f t="shared" si="13"/>
        <v>1070705.6096701403</v>
      </c>
      <c r="CG33" s="26">
        <f t="shared" si="14"/>
        <v>1.1416506434040663</v>
      </c>
      <c r="CH33" s="26">
        <f t="shared" si="71"/>
        <v>1.1462444467354527</v>
      </c>
      <c r="CI33" s="26">
        <f t="shared" si="15"/>
        <v>1104970.6559329657</v>
      </c>
      <c r="CJ33" s="26">
        <f t="shared" si="16"/>
        <v>1.1148830185806715</v>
      </c>
      <c r="CK33" s="26">
        <f t="shared" si="72"/>
        <v>1.0916063688581805</v>
      </c>
      <c r="CL33" s="26">
        <f t="shared" si="17"/>
        <v>1060467.2922161501</v>
      </c>
      <c r="CM33" s="26">
        <f t="shared" si="66"/>
        <v>1.2208927209944005</v>
      </c>
      <c r="CN33" s="26">
        <f t="shared" si="73"/>
        <v>1.1540172360211352</v>
      </c>
      <c r="CO33" s="26">
        <f t="shared" si="18"/>
        <v>1193259.6454399715</v>
      </c>
      <c r="CP33" s="26">
        <f t="shared" si="67"/>
        <v>0.33692855123953436</v>
      </c>
      <c r="CQ33" s="26">
        <f t="shared" si="19"/>
        <v>1.2630305105832804</v>
      </c>
      <c r="CR33" s="26">
        <f t="shared" si="74"/>
        <v>1.2405234157978116</v>
      </c>
      <c r="CS33" s="26">
        <f t="shared" si="20"/>
        <v>1245644.6270493777</v>
      </c>
      <c r="CT33" s="26">
        <f t="shared" si="21"/>
        <v>1041137.8525718608</v>
      </c>
      <c r="CU33" s="26">
        <f t="shared" si="22"/>
        <v>1.2558279373495964</v>
      </c>
      <c r="CV33" s="26">
        <f t="shared" si="75"/>
        <v>1.1880447590294518</v>
      </c>
      <c r="CW33" s="26">
        <f t="shared" si="23"/>
        <v>1220980.9236546946</v>
      </c>
      <c r="CX33" s="26">
        <f t="shared" si="24"/>
        <v>1.0975834786326122</v>
      </c>
      <c r="CY33" s="26">
        <f t="shared" si="69"/>
        <v>1.074997253995102</v>
      </c>
      <c r="CZ33" s="26">
        <f t="shared" si="68"/>
        <v>1070705.6096701403</v>
      </c>
      <c r="DA33" s="50">
        <v>1952</v>
      </c>
      <c r="DB33" s="50">
        <v>1.0301731579242457</v>
      </c>
      <c r="DC33" s="50">
        <v>-0.50258022689719173</v>
      </c>
      <c r="DD33" s="50">
        <v>-1.0202671170225943</v>
      </c>
      <c r="DE33" s="26">
        <f t="shared" ref="DE33:DE96" si="86">DD34</f>
        <v>-0.30852388598343217</v>
      </c>
      <c r="DZ33" s="161" t="s">
        <v>126</v>
      </c>
      <c r="EA33" s="161" t="s">
        <v>127</v>
      </c>
      <c r="EB33" s="161" t="s">
        <v>128</v>
      </c>
      <c r="EC33" s="161" t="s">
        <v>129</v>
      </c>
      <c r="ED33" s="163" t="s">
        <v>180</v>
      </c>
      <c r="EJ33" s="50">
        <v>2</v>
      </c>
      <c r="EK33" s="50">
        <v>1.0023342089395288</v>
      </c>
      <c r="EL33" s="50">
        <v>-0.47474127791247489</v>
      </c>
      <c r="EM33" s="50">
        <v>-1.0883031133902876</v>
      </c>
      <c r="EN33" s="26">
        <f t="shared" ref="EN33:EN96" si="87">EM34</f>
        <v>-0.56973637565327639</v>
      </c>
      <c r="EU33" s="50">
        <v>2</v>
      </c>
      <c r="EV33" s="50">
        <v>1.0473249300913945</v>
      </c>
      <c r="EW33" s="50">
        <v>-0.51973199906434053</v>
      </c>
      <c r="EX33" s="50">
        <v>-1.2028240712518741</v>
      </c>
      <c r="EY33" s="26">
        <f t="shared" ref="EY33:EY96" si="88">EX34</f>
        <v>-0.62831406092838915</v>
      </c>
      <c r="FF33" s="50">
        <v>1</v>
      </c>
      <c r="FG33" s="50">
        <v>0.89330704938267003</v>
      </c>
      <c r="FH33" s="50">
        <v>8.5497762726654214E-2</v>
      </c>
      <c r="FI33" s="50">
        <v>0.20243357965533673</v>
      </c>
      <c r="FJ33" s="26">
        <f>FI34</f>
        <v>-1.2700404919002106</v>
      </c>
      <c r="FP33" s="50">
        <v>1</v>
      </c>
      <c r="FQ33" s="50">
        <v>0.70835517919100699</v>
      </c>
      <c r="FR33" s="50">
        <v>0.27044963291831725</v>
      </c>
      <c r="FS33" s="50">
        <v>0.65451173293859255</v>
      </c>
      <c r="FT33" s="26">
        <f>FS34</f>
        <v>-0.96976298169303121</v>
      </c>
      <c r="FZ33" s="50">
        <v>2</v>
      </c>
      <c r="GA33" s="50">
        <v>0.8810738861719456</v>
      </c>
      <c r="GB33" s="50">
        <v>-0.35348095514489164</v>
      </c>
      <c r="GC33" s="50">
        <v>-0.82908115786737124</v>
      </c>
      <c r="GD33" s="26">
        <f t="shared" ref="GD33:GD96" si="89">GC34</f>
        <v>-0.69661503126781255</v>
      </c>
      <c r="GJ33" s="161" t="s">
        <v>126</v>
      </c>
      <c r="GK33" s="161" t="s">
        <v>127</v>
      </c>
      <c r="GL33" s="161" t="s">
        <v>128</v>
      </c>
      <c r="GM33" s="161" t="s">
        <v>129</v>
      </c>
      <c r="GT33" s="46">
        <v>1</v>
      </c>
      <c r="GU33" s="46">
        <v>0.58334266867330897</v>
      </c>
      <c r="GV33" s="46">
        <v>0.39546214343601527</v>
      </c>
      <c r="GW33" s="46">
        <v>0.97626142603756916</v>
      </c>
      <c r="GX33"/>
      <c r="GY33"/>
      <c r="GZ33"/>
      <c r="HA33"/>
      <c r="HB33"/>
      <c r="HD33" s="46">
        <v>1</v>
      </c>
      <c r="HE33" s="46">
        <v>0.97082394756521428</v>
      </c>
      <c r="HF33" s="46">
        <v>-4.6642635921651965E-2</v>
      </c>
      <c r="HG33" s="46">
        <v>-0.13951064363312707</v>
      </c>
      <c r="HH33"/>
      <c r="HI33"/>
      <c r="HJ33"/>
      <c r="HK33"/>
      <c r="HL33"/>
    </row>
    <row r="34" spans="1:220" s="26" customFormat="1" ht="12.75" customHeight="1" x14ac:dyDescent="0.35">
      <c r="A34" s="26" t="s">
        <v>52</v>
      </c>
      <c r="B34" s="26">
        <v>1982</v>
      </c>
      <c r="C34" s="26">
        <f>'Orig data'!G36</f>
        <v>326439</v>
      </c>
      <c r="D34" s="26">
        <f>'Orig data'!Q36</f>
        <v>724011</v>
      </c>
      <c r="E34" s="26">
        <f>'Orig data'!W36</f>
        <v>1462818.3804338966</v>
      </c>
      <c r="F34" s="26">
        <f t="shared" si="25"/>
        <v>326.43900000000002</v>
      </c>
      <c r="G34" s="26">
        <f t="shared" si="26"/>
        <v>1462.8183804338967</v>
      </c>
      <c r="H34" s="26">
        <f t="shared" si="27"/>
        <v>1.4998771501905774</v>
      </c>
      <c r="I34" s="26">
        <f t="shared" si="28"/>
        <v>397572</v>
      </c>
      <c r="J34" s="26">
        <f t="shared" si="29"/>
        <v>0.54912425363703032</v>
      </c>
      <c r="K34" s="26">
        <f t="shared" si="30"/>
        <v>1982</v>
      </c>
      <c r="L34" s="26">
        <f>covariates!R42</f>
        <v>326439</v>
      </c>
      <c r="M34" s="26">
        <f t="shared" si="31"/>
        <v>-0.58645118194482659</v>
      </c>
      <c r="N34" s="26">
        <f t="shared" si="32"/>
        <v>0.81717814482727269</v>
      </c>
      <c r="O34" s="26">
        <f t="shared" si="33"/>
        <v>0.28528694635241914</v>
      </c>
      <c r="P34" s="26">
        <f t="shared" si="34"/>
        <v>326439</v>
      </c>
      <c r="Q34" s="26">
        <f t="shared" si="35"/>
        <v>-0.76057812645171086</v>
      </c>
      <c r="R34" s="26">
        <f t="shared" si="36"/>
        <v>0.81717814482727269</v>
      </c>
      <c r="S34" s="26">
        <f t="shared" si="37"/>
        <v>0.28528694635241914</v>
      </c>
      <c r="T34" s="26">
        <f t="shared" si="38"/>
        <v>326439</v>
      </c>
      <c r="U34" s="26">
        <f t="shared" si="39"/>
        <v>-0.30433541110847406</v>
      </c>
      <c r="V34" s="26">
        <f t="shared" si="40"/>
        <v>0.28528694635241914</v>
      </c>
      <c r="W34" s="26">
        <f t="shared" si="41"/>
        <v>-0.58645118194482659</v>
      </c>
      <c r="X34" s="26">
        <f t="shared" si="42"/>
        <v>326439</v>
      </c>
      <c r="Y34" s="26">
        <f t="shared" si="43"/>
        <v>1.0984639865179271</v>
      </c>
      <c r="Z34" s="105">
        <f t="shared" si="44"/>
        <v>0.28528694635241914</v>
      </c>
      <c r="AA34" s="105">
        <f t="shared" si="45"/>
        <v>-0.58645118194482659</v>
      </c>
      <c r="AB34" s="105">
        <f t="shared" si="46"/>
        <v>326439</v>
      </c>
      <c r="AC34" s="159">
        <f t="shared" si="47"/>
        <v>1.9247806789274147</v>
      </c>
      <c r="AD34" s="105">
        <f t="shared" si="48"/>
        <v>0.28528694635241914</v>
      </c>
      <c r="AE34" s="105">
        <f t="shared" si="49"/>
        <v>-0.58645118194482659</v>
      </c>
      <c r="AF34" s="105">
        <f t="shared" si="50"/>
        <v>326439</v>
      </c>
      <c r="AG34" s="105">
        <f>covariates!X42</f>
        <v>1.9247806789274147</v>
      </c>
      <c r="AH34" s="105">
        <f t="shared" si="51"/>
        <v>0.28528694635241914</v>
      </c>
      <c r="AI34" s="159">
        <f t="shared" si="52"/>
        <v>0.81717814482727269</v>
      </c>
      <c r="AJ34" s="105">
        <f t="shared" si="53"/>
        <v>-0.58645118194482659</v>
      </c>
      <c r="AK34" s="105"/>
      <c r="AL34" s="105"/>
      <c r="AM34" s="105"/>
      <c r="AN34" s="105"/>
      <c r="AO34" s="105"/>
      <c r="AP34" s="105">
        <f t="shared" si="54"/>
        <v>326439</v>
      </c>
      <c r="AQ34" s="105">
        <f>covariates!T42</f>
        <v>1.0984639865179271</v>
      </c>
      <c r="AR34" s="105">
        <f t="shared" si="55"/>
        <v>0.28528694635241914</v>
      </c>
      <c r="AS34" s="105">
        <f t="shared" si="56"/>
        <v>0.81717814482727269</v>
      </c>
      <c r="AT34" s="26">
        <f t="shared" si="57"/>
        <v>-0.58645118194482659</v>
      </c>
      <c r="AU34" s="26">
        <f t="shared" si="58"/>
        <v>326439</v>
      </c>
      <c r="AV34" s="26">
        <f t="shared" si="59"/>
        <v>1.9247806789274147</v>
      </c>
      <c r="AW34" s="26">
        <f t="shared" si="60"/>
        <v>0.28528694635241914</v>
      </c>
      <c r="AX34" s="26">
        <f t="shared" si="61"/>
        <v>0.81717814482727269</v>
      </c>
      <c r="AY34" s="26">
        <f t="shared" si="62"/>
        <v>-0.58645118194482659</v>
      </c>
      <c r="AZ34" s="26">
        <f t="shared" si="63"/>
        <v>-0.76057812645171086</v>
      </c>
      <c r="BA34" s="61">
        <v>1982</v>
      </c>
      <c r="BB34" s="164">
        <f t="shared" si="4"/>
        <v>326439</v>
      </c>
      <c r="BC34" s="105">
        <f t="shared" si="5"/>
        <v>1.9247806789274147</v>
      </c>
      <c r="BD34" s="105">
        <f t="shared" si="6"/>
        <v>0.28528694635241914</v>
      </c>
      <c r="BE34" s="105">
        <f t="shared" si="7"/>
        <v>0.81717814482727269</v>
      </c>
      <c r="BF34" s="105">
        <f t="shared" si="8"/>
        <v>-0.58645118194482659</v>
      </c>
      <c r="BG34">
        <v>209</v>
      </c>
      <c r="BH34" s="61">
        <f t="shared" si="78"/>
        <v>1982</v>
      </c>
      <c r="BI34" s="61">
        <f t="shared" si="79"/>
        <v>326439</v>
      </c>
      <c r="BJ34" s="26">
        <f t="shared" si="80"/>
        <v>1.9247806789274147</v>
      </c>
      <c r="BK34" s="26">
        <f t="shared" si="81"/>
        <v>0.28528694635241914</v>
      </c>
      <c r="BL34" s="26">
        <f t="shared" si="82"/>
        <v>0.81717814482727269</v>
      </c>
      <c r="BM34" s="26">
        <f t="shared" si="83"/>
        <v>-0.58645118194482659</v>
      </c>
      <c r="BN34" s="61">
        <f t="shared" si="84"/>
        <v>209</v>
      </c>
      <c r="BO34" s="26">
        <f t="shared" si="85"/>
        <v>1.4998771501905774</v>
      </c>
      <c r="BR34" s="26">
        <f>covariates!V42</f>
        <v>-0.58645118194482659</v>
      </c>
      <c r="BS34" s="26">
        <f>covariates!W42</f>
        <v>-0.30433541110847406</v>
      </c>
      <c r="BT34" s="26">
        <f>covariates!Y42</f>
        <v>0.81717814482727269</v>
      </c>
      <c r="BU34" s="26">
        <f>covariates!U42</f>
        <v>0.28528694635241914</v>
      </c>
      <c r="BV34" s="26">
        <f>covariates!AA42</f>
        <v>-0.76057812645171086</v>
      </c>
      <c r="BW34" s="26">
        <f t="shared" ref="BW34:BW68" si="90">H34</f>
        <v>1.4998771501905774</v>
      </c>
      <c r="BX34" s="26">
        <f t="shared" si="76"/>
        <v>-0.76945436806962253</v>
      </c>
      <c r="BY34" s="26">
        <f t="shared" si="10"/>
        <v>-0.76057812645171086</v>
      </c>
      <c r="BZ34" s="26">
        <f t="shared" si="11"/>
        <v>1982</v>
      </c>
      <c r="CA34" s="26">
        <f t="shared" si="64"/>
        <v>1.1343458621544416</v>
      </c>
      <c r="CB34" s="26">
        <f t="shared" si="70"/>
        <v>1.0701145024307825</v>
      </c>
      <c r="CC34" s="26">
        <f t="shared" si="65"/>
        <v>858236.76344685769</v>
      </c>
      <c r="CD34" s="26">
        <f t="shared" si="12"/>
        <v>1.1282430363813416</v>
      </c>
      <c r="CE34" s="26">
        <f t="shared" si="70"/>
        <v>1.0541169694231818</v>
      </c>
      <c r="CF34" s="26">
        <f t="shared" si="13"/>
        <v>867845.14287289779</v>
      </c>
      <c r="CG34" s="26">
        <f t="shared" si="14"/>
        <v>1.0971117333054166</v>
      </c>
      <c r="CH34" s="26">
        <f t="shared" si="71"/>
        <v>1.1174223614951138</v>
      </c>
      <c r="CI34" s="26">
        <f t="shared" si="15"/>
        <v>833384.31868760707</v>
      </c>
      <c r="CJ34" s="26">
        <f t="shared" si="16"/>
        <v>1.1669575543625652</v>
      </c>
      <c r="CK34" s="26">
        <f t="shared" si="72"/>
        <v>1.0722794144193477</v>
      </c>
      <c r="CL34" s="26">
        <f t="shared" si="17"/>
        <v>884150.70086987002</v>
      </c>
      <c r="CM34" s="26">
        <f t="shared" si="66"/>
        <v>1.2904874736483054</v>
      </c>
      <c r="CN34" s="26">
        <f t="shared" si="73"/>
        <v>1.1100951951226277</v>
      </c>
      <c r="CO34" s="26">
        <f t="shared" si="18"/>
        <v>1009387.1777084174</v>
      </c>
      <c r="CP34" s="26">
        <f t="shared" si="67"/>
        <v>0.371021580495837</v>
      </c>
      <c r="CQ34" s="26">
        <f t="shared" si="19"/>
        <v>1.3835989998146783</v>
      </c>
      <c r="CR34" s="26">
        <f t="shared" si="74"/>
        <v>1.198415891235725</v>
      </c>
      <c r="CS34" s="26">
        <f t="shared" si="20"/>
        <v>1108571.675695447</v>
      </c>
      <c r="CT34" s="26">
        <f t="shared" si="21"/>
        <v>833045.88685336953</v>
      </c>
      <c r="CU34" s="26">
        <f t="shared" si="22"/>
        <v>1.331525258263869</v>
      </c>
      <c r="CV34" s="26">
        <f t="shared" si="75"/>
        <v>1.1483864715864101</v>
      </c>
      <c r="CW34" s="26">
        <f t="shared" si="23"/>
        <v>1042310.5683099757</v>
      </c>
      <c r="CX34" s="26">
        <f t="shared" si="24"/>
        <v>1.1282430363813416</v>
      </c>
      <c r="CY34" s="26">
        <f t="shared" si="69"/>
        <v>1.0559031243549011</v>
      </c>
      <c r="CZ34" s="26">
        <f t="shared" si="68"/>
        <v>867845.14287289779</v>
      </c>
      <c r="DA34" s="50">
        <v>1953</v>
      </c>
      <c r="DB34" s="50">
        <v>1.0541747554688865</v>
      </c>
      <c r="DC34" s="50">
        <v>-0.15197785171520217</v>
      </c>
      <c r="DD34" s="50">
        <v>-0.30852388598343217</v>
      </c>
      <c r="DE34" s="26">
        <f t="shared" si="86"/>
        <v>1.5336460563955834</v>
      </c>
      <c r="DN34" s="161" t="s">
        <v>126</v>
      </c>
      <c r="DO34" s="161" t="s">
        <v>127</v>
      </c>
      <c r="DP34" s="161" t="s">
        <v>128</v>
      </c>
      <c r="DQ34" s="161" t="s">
        <v>129</v>
      </c>
      <c r="DR34" s="163" t="s">
        <v>180</v>
      </c>
      <c r="DZ34" s="50">
        <v>1</v>
      </c>
      <c r="EA34" s="50">
        <v>1.1006981104839593</v>
      </c>
      <c r="EB34" s="50">
        <v>-0.12189329837463503</v>
      </c>
      <c r="EC34" s="50">
        <v>-0.27582663755616532</v>
      </c>
      <c r="ED34" s="26">
        <f>EC35</f>
        <v>-1.6442911776181806</v>
      </c>
      <c r="EJ34" s="50">
        <v>3</v>
      </c>
      <c r="EK34" s="50">
        <v>1.1507281922549786</v>
      </c>
      <c r="EL34" s="50">
        <v>-0.24853128850129425</v>
      </c>
      <c r="EM34" s="50">
        <v>-0.56973637565327639</v>
      </c>
      <c r="EN34" s="26">
        <f t="shared" si="87"/>
        <v>1.5744987385491451</v>
      </c>
      <c r="EU34" s="50">
        <v>3</v>
      </c>
      <c r="EV34" s="50">
        <v>1.1736870831833943</v>
      </c>
      <c r="EW34" s="50">
        <v>-0.27149017942970999</v>
      </c>
      <c r="EX34" s="50">
        <v>-0.62831406092838915</v>
      </c>
      <c r="EY34" s="26">
        <f t="shared" si="88"/>
        <v>1.4786066330219467</v>
      </c>
      <c r="FF34" s="50">
        <v>2</v>
      </c>
      <c r="FG34" s="50">
        <v>1.0639941586030579</v>
      </c>
      <c r="FH34" s="50">
        <v>-0.53640122757600395</v>
      </c>
      <c r="FI34" s="50">
        <v>-1.2700404919002106</v>
      </c>
      <c r="FJ34" s="26">
        <f t="shared" ref="FJ34:FJ97" si="91">FI35</f>
        <v>-0.64458769190371612</v>
      </c>
      <c r="FP34" s="50">
        <v>2</v>
      </c>
      <c r="FQ34" s="50">
        <v>0.92830697359909131</v>
      </c>
      <c r="FR34" s="50">
        <v>-0.40071404257203735</v>
      </c>
      <c r="FS34" s="50">
        <v>-0.96976298169303121</v>
      </c>
      <c r="FT34" s="26">
        <f t="shared" ref="FT34:FT97" si="92">FS35</f>
        <v>-0.83979408296487013</v>
      </c>
      <c r="FZ34" s="50">
        <v>3</v>
      </c>
      <c r="GA34" s="50">
        <v>1.1992005737613751</v>
      </c>
      <c r="GB34" s="50">
        <v>-0.29700367000769079</v>
      </c>
      <c r="GC34" s="50">
        <v>-0.69661503126781255</v>
      </c>
      <c r="GD34" s="26">
        <f t="shared" si="89"/>
        <v>1.5023570876317809</v>
      </c>
      <c r="GJ34" s="50">
        <v>1</v>
      </c>
      <c r="GK34" s="50">
        <v>0.59471922228759522</v>
      </c>
      <c r="GL34" s="50">
        <v>0.38408558982172902</v>
      </c>
      <c r="GM34" s="50">
        <v>0.93822671110550893</v>
      </c>
      <c r="GT34" s="46">
        <v>2</v>
      </c>
      <c r="GU34" s="46">
        <v>0.81928696309364069</v>
      </c>
      <c r="GV34" s="46">
        <v>-0.29169403206658673</v>
      </c>
      <c r="GW34" s="46">
        <v>-0.72009327931549372</v>
      </c>
      <c r="GX34"/>
      <c r="GY34"/>
      <c r="GZ34"/>
      <c r="HA34"/>
      <c r="HB34"/>
      <c r="HD34" s="46">
        <v>2</v>
      </c>
      <c r="HE34" s="46">
        <v>0.96275100139756398</v>
      </c>
      <c r="HF34" s="46">
        <v>-0.12037665321873614</v>
      </c>
      <c r="HG34" s="46">
        <v>-0.36005307241119616</v>
      </c>
      <c r="HH34"/>
      <c r="HI34"/>
      <c r="HJ34"/>
      <c r="HK34"/>
      <c r="HL34"/>
    </row>
    <row r="35" spans="1:220" s="26" customFormat="1" ht="12.75" customHeight="1" x14ac:dyDescent="0.35">
      <c r="A35" s="26" t="s">
        <v>52</v>
      </c>
      <c r="B35" s="26">
        <v>1983</v>
      </c>
      <c r="C35" s="26">
        <f>'Orig data'!G37</f>
        <v>371770</v>
      </c>
      <c r="D35" s="26">
        <f>'Orig data'!Q37</f>
        <v>470101</v>
      </c>
      <c r="E35" s="26">
        <f>'Orig data'!W37</f>
        <v>673139.64376411797</v>
      </c>
      <c r="F35" s="26">
        <f t="shared" si="25"/>
        <v>371.77</v>
      </c>
      <c r="G35" s="26">
        <f t="shared" si="26"/>
        <v>673.13964376411798</v>
      </c>
      <c r="H35" s="26">
        <f t="shared" si="27"/>
        <v>0.59367741908002314</v>
      </c>
      <c r="I35" s="26">
        <f t="shared" si="28"/>
        <v>98331</v>
      </c>
      <c r="J35" s="26">
        <f t="shared" si="29"/>
        <v>0.20916994433111183</v>
      </c>
      <c r="K35" s="26">
        <f t="shared" si="30"/>
        <v>1983</v>
      </c>
      <c r="L35" s="26">
        <f>covariates!R43</f>
        <v>371770</v>
      </c>
      <c r="M35" s="26">
        <f t="shared" si="31"/>
        <v>-0.55211166104157927</v>
      </c>
      <c r="N35" s="26">
        <f t="shared" si="32"/>
        <v>1.7440249783777522</v>
      </c>
      <c r="O35" s="26">
        <f t="shared" si="33"/>
        <v>1.3478123449720623E-2</v>
      </c>
      <c r="P35" s="26">
        <f t="shared" si="34"/>
        <v>371770</v>
      </c>
      <c r="Q35" s="26">
        <f t="shared" si="35"/>
        <v>-0.76057812645171086</v>
      </c>
      <c r="R35" s="26">
        <f t="shared" si="36"/>
        <v>1.7440249783777522</v>
      </c>
      <c r="S35" s="26">
        <f t="shared" si="37"/>
        <v>1.3478123449720623E-2</v>
      </c>
      <c r="T35" s="26">
        <f t="shared" si="38"/>
        <v>371770</v>
      </c>
      <c r="U35" s="26">
        <f t="shared" si="39"/>
        <v>-0.95495528497240845</v>
      </c>
      <c r="V35" s="26">
        <f t="shared" si="40"/>
        <v>1.3478123449720623E-2</v>
      </c>
      <c r="W35" s="26">
        <f t="shared" si="41"/>
        <v>-0.55211166104157927</v>
      </c>
      <c r="X35" s="26">
        <f t="shared" si="42"/>
        <v>371770</v>
      </c>
      <c r="Y35" s="26">
        <f t="shared" si="43"/>
        <v>0.65084715781652991</v>
      </c>
      <c r="Z35" s="105">
        <f t="shared" si="44"/>
        <v>1.3478123449720623E-2</v>
      </c>
      <c r="AA35" s="105">
        <f t="shared" si="45"/>
        <v>-0.55211166104157927</v>
      </c>
      <c r="AB35" s="105">
        <f t="shared" si="46"/>
        <v>371770</v>
      </c>
      <c r="AC35" s="159">
        <f t="shared" si="47"/>
        <v>0.93910201499354218</v>
      </c>
      <c r="AD35" s="105">
        <f t="shared" si="48"/>
        <v>1.3478123449720623E-2</v>
      </c>
      <c r="AE35" s="105">
        <f t="shared" si="49"/>
        <v>-0.55211166104157927</v>
      </c>
      <c r="AF35" s="105">
        <f t="shared" si="50"/>
        <v>371770</v>
      </c>
      <c r="AG35" s="105">
        <f>covariates!X43</f>
        <v>0.93910201499354218</v>
      </c>
      <c r="AH35" s="105">
        <f t="shared" si="51"/>
        <v>1.3478123449720623E-2</v>
      </c>
      <c r="AI35" s="159">
        <f t="shared" si="52"/>
        <v>1.7440249783777522</v>
      </c>
      <c r="AJ35" s="105">
        <f t="shared" si="53"/>
        <v>-0.55211166104157927</v>
      </c>
      <c r="AK35" s="105"/>
      <c r="AL35" s="105"/>
      <c r="AM35" s="105"/>
      <c r="AN35" s="105"/>
      <c r="AO35" s="105"/>
      <c r="AP35" s="105">
        <f t="shared" si="54"/>
        <v>371770</v>
      </c>
      <c r="AQ35" s="105">
        <f>covariates!T43</f>
        <v>0.65084715781652991</v>
      </c>
      <c r="AR35" s="105">
        <f t="shared" si="55"/>
        <v>1.3478123449720623E-2</v>
      </c>
      <c r="AS35" s="105">
        <f t="shared" si="56"/>
        <v>1.7440249783777522</v>
      </c>
      <c r="AT35" s="26">
        <f t="shared" si="57"/>
        <v>-0.55211166104157927</v>
      </c>
      <c r="AU35" s="26">
        <f t="shared" si="58"/>
        <v>371770</v>
      </c>
      <c r="AV35" s="26">
        <f t="shared" si="59"/>
        <v>0.93910201499354218</v>
      </c>
      <c r="AW35" s="26">
        <f t="shared" si="60"/>
        <v>1.3478123449720623E-2</v>
      </c>
      <c r="AX35" s="26">
        <f t="shared" si="61"/>
        <v>1.7440249783777522</v>
      </c>
      <c r="AY35" s="26">
        <f t="shared" si="62"/>
        <v>-0.55211166104157927</v>
      </c>
      <c r="AZ35" s="26">
        <f t="shared" si="63"/>
        <v>-0.76057812645171086</v>
      </c>
      <c r="BA35" s="61">
        <v>1983</v>
      </c>
      <c r="BB35" s="164">
        <f t="shared" si="4"/>
        <v>371770</v>
      </c>
      <c r="BC35" s="105">
        <f t="shared" si="5"/>
        <v>0.93910201499354218</v>
      </c>
      <c r="BD35" s="105">
        <f t="shared" si="6"/>
        <v>1.3478123449720623E-2</v>
      </c>
      <c r="BE35" s="105">
        <f t="shared" si="7"/>
        <v>1.7440249783777522</v>
      </c>
      <c r="BF35" s="105">
        <f t="shared" si="8"/>
        <v>-0.55211166104157927</v>
      </c>
      <c r="BG35">
        <v>210</v>
      </c>
      <c r="BH35" s="61">
        <f t="shared" si="78"/>
        <v>1983</v>
      </c>
      <c r="BI35" s="61">
        <f t="shared" si="79"/>
        <v>371770</v>
      </c>
      <c r="BJ35" s="26">
        <f t="shared" si="80"/>
        <v>0.93910201499354218</v>
      </c>
      <c r="BK35" s="26">
        <f t="shared" si="81"/>
        <v>1.3478123449720623E-2</v>
      </c>
      <c r="BL35" s="26">
        <f t="shared" si="82"/>
        <v>1.7440249783777522</v>
      </c>
      <c r="BM35" s="26">
        <f t="shared" si="83"/>
        <v>-0.55211166104157927</v>
      </c>
      <c r="BN35" s="61">
        <f t="shared" si="84"/>
        <v>210</v>
      </c>
      <c r="BO35" s="26">
        <f t="shared" si="85"/>
        <v>0.59367741908002314</v>
      </c>
      <c r="BR35" s="26">
        <f>covariates!V43</f>
        <v>-0.55211166104157927</v>
      </c>
      <c r="BS35" s="26">
        <f>covariates!W43</f>
        <v>-0.95495528497240845</v>
      </c>
      <c r="BT35" s="26">
        <f>covariates!Y43</f>
        <v>1.7440249783777522</v>
      </c>
      <c r="BU35" s="26">
        <f>covariates!U43</f>
        <v>1.3478123449720623E-2</v>
      </c>
      <c r="BV35" s="26">
        <f>covariates!AA43</f>
        <v>-0.76057812645171086</v>
      </c>
      <c r="BW35" s="26">
        <f t="shared" si="90"/>
        <v>0.59367741908002314</v>
      </c>
      <c r="BX35" s="26">
        <f t="shared" si="76"/>
        <v>-0.76945436806962253</v>
      </c>
      <c r="BY35" s="26">
        <f t="shared" si="10"/>
        <v>-0.76057812645171086</v>
      </c>
      <c r="BZ35" s="26">
        <f t="shared" ref="BZ35:BZ68" si="93">B35</f>
        <v>1983</v>
      </c>
      <c r="CA35" s="26">
        <f t="shared" ref="CA35:CA68" si="94">$DO$24+$M35*$DO$26+$N35*$DO$27+$DO$28*O35</f>
        <v>0.99180297758247293</v>
      </c>
      <c r="CB35" s="26">
        <f t="shared" si="70"/>
        <v>1.0611057319903288</v>
      </c>
      <c r="CC35" s="26">
        <f t="shared" si="65"/>
        <v>828055.74623149424</v>
      </c>
      <c r="CD35" s="26">
        <f t="shared" ref="CD35:CD68" si="95">$EA$23+$Q35*$EA$25+$R35*$EA$26+$S35*$EA$27</f>
        <v>0.99130484834835242</v>
      </c>
      <c r="CE35" s="26">
        <f t="shared" si="70"/>
        <v>1.0459863349516607</v>
      </c>
      <c r="CF35" s="26">
        <f t="shared" ref="CF35:CF68" si="96">$L35*EXP(CD35+$L35*$EA$24)</f>
        <v>844050.1836744016</v>
      </c>
      <c r="CG35" s="26">
        <f t="shared" ref="CG35:CG68" si="97">$EV$21+$Y35*$EV$23+$Z35*$EV$24+$AA35*$EV$25</f>
        <v>1.0975850143678467</v>
      </c>
      <c r="CH35" s="26">
        <f t="shared" si="71"/>
        <v>1.1101651144882563</v>
      </c>
      <c r="CI35" s="26">
        <f t="shared" ref="CI35:CI68" si="98">$L35*EXP(CG35+$L35*$EV$22)</f>
        <v>928714.61246556451</v>
      </c>
      <c r="CJ35" s="26">
        <f t="shared" ref="CJ35:CJ68" si="99">$FG$21+$AQ35*$FG$23+$AR35*$FG$24+$AS35*$FG$25+$AT35*$FG$26</f>
        <v>0.99373718090740037</v>
      </c>
      <c r="CK35" s="26">
        <f t="shared" si="72"/>
        <v>1.0632109835316239</v>
      </c>
      <c r="CL35" s="26">
        <f t="shared" ref="CL35:CL68" si="100">$L35*EXP(CJ35+$L35*$FG$22)</f>
        <v>826957.0590222521</v>
      </c>
      <c r="CM35" s="26">
        <f t="shared" ref="CM35:CM68" si="101">$FQ$21+$AG35*$FQ$23+$AH35*$FQ$24+$AI35*$FQ$25+$AJ35*$FQ$26</f>
        <v>1.0650776048982746</v>
      </c>
      <c r="CN35" s="26">
        <f t="shared" si="73"/>
        <v>1.0982949898698204</v>
      </c>
      <c r="CO35" s="26">
        <f t="shared" ref="CO35:CO68" si="102">$L35*EXP(CM35+$L35*$FQ$22)</f>
        <v>897197.52691467106</v>
      </c>
      <c r="CP35" s="26">
        <f t="shared" si="67"/>
        <v>-0.28732324362440487</v>
      </c>
      <c r="CQ35" s="26">
        <f t="shared" ref="CQ35:CQ68" si="103">$GA$21+$AC35*$GA$23+$AD35*$GA$24+$AE35*$GA$25</f>
        <v>1.2487741307004516</v>
      </c>
      <c r="CR35" s="26">
        <f t="shared" si="74"/>
        <v>1.1889682948070932</v>
      </c>
      <c r="CS35" s="26">
        <f t="shared" ref="CS35:CS68" si="104">$L35*EXP(CQ35+$L35*$GA$22)</f>
        <v>1078876.8332511128</v>
      </c>
      <c r="CT35" s="26">
        <f t="shared" ref="CT35:CT68" si="105">$L35*EXP($DB$24+$L35*$DB$25)</f>
        <v>922375.40023171389</v>
      </c>
      <c r="CU35" s="26">
        <f t="shared" ref="CU35:CU68" si="106">$FQ$21+$AG35*$FQ$23+$AH35*$FQ$24+$AI35*$FQ$25+$BX35*$FQ$26</f>
        <v>1.1138158995020531</v>
      </c>
      <c r="CV35" s="26">
        <f t="shared" si="75"/>
        <v>1.141887001157099</v>
      </c>
      <c r="CW35" s="26">
        <f t="shared" ref="CW35:CW68" si="107">$L35*EXP(CU35+$L35*$FG$22)</f>
        <v>932464.87987484783</v>
      </c>
      <c r="CX35" s="26">
        <f t="shared" ref="CX35:CX68" si="108">$EA$23+$BY35*$EA$25+$R35*$EA$26+$S35*$EA$27</f>
        <v>0.99130484834835242</v>
      </c>
      <c r="CY35" s="26">
        <f t="shared" si="69"/>
        <v>1.0524842068500768</v>
      </c>
      <c r="CZ35" s="26">
        <f t="shared" si="68"/>
        <v>844050.1836744016</v>
      </c>
      <c r="DA35" s="50">
        <v>1954</v>
      </c>
      <c r="DB35" s="50">
        <v>1.0860215353824876</v>
      </c>
      <c r="DC35" s="50">
        <v>0.75546900428645913</v>
      </c>
      <c r="DD35" s="50">
        <v>1.5336460563955834</v>
      </c>
      <c r="DE35" s="26">
        <f t="shared" si="86"/>
        <v>1.2832725825176217</v>
      </c>
      <c r="DN35" s="50">
        <v>1</v>
      </c>
      <c r="DO35" s="50">
        <v>0.91923484338310091</v>
      </c>
      <c r="DP35" s="50">
        <v>5.9569968726223332E-2</v>
      </c>
      <c r="DQ35" s="50">
        <v>0.14092700711748729</v>
      </c>
      <c r="DR35" s="26">
        <f>DQ36</f>
        <v>-1.2731466522913766</v>
      </c>
      <c r="DZ35" s="50">
        <v>2</v>
      </c>
      <c r="EA35" s="50">
        <v>1.2542380328344551</v>
      </c>
      <c r="EB35" s="50">
        <v>-0.72664510180740116</v>
      </c>
      <c r="EC35" s="50">
        <v>-1.6442911776181806</v>
      </c>
      <c r="ED35" s="26">
        <f t="shared" ref="ED35:ED98" si="109">EC36</f>
        <v>-0.88586269327045597</v>
      </c>
      <c r="EJ35" s="50">
        <v>4</v>
      </c>
      <c r="EK35" s="50">
        <v>1.1546602494551765</v>
      </c>
      <c r="EL35" s="50">
        <v>0.68683029021377018</v>
      </c>
      <c r="EM35" s="50">
        <v>1.5744987385491451</v>
      </c>
      <c r="EN35" s="26">
        <f t="shared" si="87"/>
        <v>1.33782242054053</v>
      </c>
      <c r="EU35" s="50">
        <v>4</v>
      </c>
      <c r="EV35" s="50">
        <v>1.2025947945825741</v>
      </c>
      <c r="EW35" s="50">
        <v>0.63889574508637259</v>
      </c>
      <c r="EX35" s="50">
        <v>1.4786066330219467</v>
      </c>
      <c r="EY35" s="26">
        <f t="shared" si="88"/>
        <v>1.1245171494386925</v>
      </c>
      <c r="FF35" s="50">
        <v>3</v>
      </c>
      <c r="FG35" s="50">
        <v>1.1744383255214426</v>
      </c>
      <c r="FH35" s="50">
        <v>-0.27224142176775823</v>
      </c>
      <c r="FI35" s="50">
        <v>-0.64458769190371612</v>
      </c>
      <c r="FJ35" s="26">
        <f t="shared" si="91"/>
        <v>1.7723745090647742</v>
      </c>
      <c r="FP35" s="50">
        <v>3</v>
      </c>
      <c r="FQ35" s="50">
        <v>1.2492067280773882</v>
      </c>
      <c r="FR35" s="50">
        <v>-0.34700982432370386</v>
      </c>
      <c r="FS35" s="50">
        <v>-0.83979408296487013</v>
      </c>
      <c r="FT35" s="26">
        <f t="shared" si="92"/>
        <v>1.5587537218765541</v>
      </c>
      <c r="FZ35" s="50">
        <v>4</v>
      </c>
      <c r="GA35" s="50">
        <v>1.2009566024717722</v>
      </c>
      <c r="GB35" s="50">
        <v>0.64053393719717455</v>
      </c>
      <c r="GC35" s="50">
        <v>1.5023570876317809</v>
      </c>
      <c r="GD35" s="26">
        <f t="shared" si="89"/>
        <v>1.1627028077944352</v>
      </c>
      <c r="GJ35" s="50">
        <v>2</v>
      </c>
      <c r="GK35" s="50">
        <v>0.80176168893244926</v>
      </c>
      <c r="GL35" s="50">
        <v>-0.2741687579053953</v>
      </c>
      <c r="GM35" s="50">
        <v>-0.66972690159204984</v>
      </c>
      <c r="GT35" s="46">
        <v>3</v>
      </c>
      <c r="GU35" s="46">
        <v>1.1451063773569372</v>
      </c>
      <c r="GV35" s="46">
        <v>-0.24290947360325288</v>
      </c>
      <c r="GW35" s="46">
        <v>-0.59966080959735668</v>
      </c>
      <c r="GX35"/>
      <c r="GY35"/>
      <c r="GZ35"/>
      <c r="HA35"/>
      <c r="HB35"/>
      <c r="HD35" s="46">
        <v>3</v>
      </c>
      <c r="HE35" s="46">
        <v>0.75309419319815318</v>
      </c>
      <c r="HF35" s="46">
        <v>-0.79687762297672571</v>
      </c>
      <c r="HG35" s="46">
        <v>-2.3835040169055244</v>
      </c>
      <c r="HH35"/>
      <c r="HI35"/>
      <c r="HJ35"/>
      <c r="HK35"/>
      <c r="HL35"/>
    </row>
    <row r="36" spans="1:220" s="26" customFormat="1" ht="12.75" customHeight="1" x14ac:dyDescent="0.35">
      <c r="A36" s="26" t="s">
        <v>52</v>
      </c>
      <c r="B36" s="26">
        <v>1984</v>
      </c>
      <c r="C36" s="26">
        <f>'Orig data'!G38</f>
        <v>541478</v>
      </c>
      <c r="D36" s="26">
        <f>'Orig data'!Q38</f>
        <v>612803</v>
      </c>
      <c r="E36" s="26">
        <f>'Orig data'!W38</f>
        <v>984259.76243600273</v>
      </c>
      <c r="F36" s="26">
        <f t="shared" si="25"/>
        <v>541.47799999999995</v>
      </c>
      <c r="G36" s="26">
        <f t="shared" si="26"/>
        <v>984.25976243600269</v>
      </c>
      <c r="H36" s="26">
        <f t="shared" si="27"/>
        <v>0.59758741069926624</v>
      </c>
      <c r="I36" s="26">
        <f t="shared" si="28"/>
        <v>71325</v>
      </c>
      <c r="J36" s="26">
        <f t="shared" si="29"/>
        <v>0.11639140147812592</v>
      </c>
      <c r="K36" s="26">
        <f t="shared" si="30"/>
        <v>1984</v>
      </c>
      <c r="L36" s="26">
        <f>covariates!R44</f>
        <v>541478</v>
      </c>
      <c r="M36" s="26">
        <f t="shared" si="31"/>
        <v>-0.53725736599905283</v>
      </c>
      <c r="N36" s="26">
        <f t="shared" si="32"/>
        <v>0.6862558342584828</v>
      </c>
      <c r="O36" s="26">
        <f t="shared" si="33"/>
        <v>0.13702758840549265</v>
      </c>
      <c r="P36" s="26">
        <f t="shared" si="34"/>
        <v>541478</v>
      </c>
      <c r="Q36" s="26">
        <f t="shared" si="35"/>
        <v>-0.76057812645171086</v>
      </c>
      <c r="R36" s="26">
        <f t="shared" si="36"/>
        <v>0.6862558342584828</v>
      </c>
      <c r="S36" s="26">
        <f t="shared" si="37"/>
        <v>0.13702758840549265</v>
      </c>
      <c r="T36" s="26">
        <f t="shared" si="38"/>
        <v>541478</v>
      </c>
      <c r="U36" s="26">
        <f t="shared" si="39"/>
        <v>-1.0919185894373749</v>
      </c>
      <c r="V36" s="26">
        <f t="shared" si="40"/>
        <v>0.13702758840549265</v>
      </c>
      <c r="W36" s="26">
        <f t="shared" si="41"/>
        <v>-0.53725736599905283</v>
      </c>
      <c r="X36" s="26">
        <f t="shared" si="42"/>
        <v>541478</v>
      </c>
      <c r="Y36" s="26">
        <f t="shared" si="43"/>
        <v>-1.4839407944522176E-2</v>
      </c>
      <c r="Z36" s="105">
        <f t="shared" si="44"/>
        <v>0.13702758840549265</v>
      </c>
      <c r="AA36" s="105">
        <f t="shared" si="45"/>
        <v>-0.53725736599905283</v>
      </c>
      <c r="AB36" s="105">
        <f t="shared" si="46"/>
        <v>541478</v>
      </c>
      <c r="AC36" s="159">
        <f t="shared" si="47"/>
        <v>-0.50472780352659885</v>
      </c>
      <c r="AD36" s="105">
        <f t="shared" si="48"/>
        <v>0.13702758840549265</v>
      </c>
      <c r="AE36" s="105">
        <f t="shared" si="49"/>
        <v>-0.53725736599905283</v>
      </c>
      <c r="AF36" s="105">
        <f t="shared" si="50"/>
        <v>541478</v>
      </c>
      <c r="AG36" s="105">
        <f>covariates!X44</f>
        <v>-0.50472780352659885</v>
      </c>
      <c r="AH36" s="105">
        <f t="shared" si="51"/>
        <v>0.13702758840549265</v>
      </c>
      <c r="AI36" s="159">
        <f t="shared" si="52"/>
        <v>0.6862558342584828</v>
      </c>
      <c r="AJ36" s="105">
        <f t="shared" si="53"/>
        <v>-0.53725736599905283</v>
      </c>
      <c r="AK36" s="105"/>
      <c r="AL36" s="105"/>
      <c r="AM36" s="105"/>
      <c r="AN36" s="105"/>
      <c r="AO36" s="105"/>
      <c r="AP36" s="105">
        <f t="shared" si="54"/>
        <v>541478</v>
      </c>
      <c r="AQ36" s="105">
        <f>covariates!T44</f>
        <v>-1.4839407944522176E-2</v>
      </c>
      <c r="AR36" s="105">
        <f t="shared" si="55"/>
        <v>0.13702758840549265</v>
      </c>
      <c r="AS36" s="105">
        <f t="shared" si="56"/>
        <v>0.6862558342584828</v>
      </c>
      <c r="AT36" s="26">
        <f t="shared" si="57"/>
        <v>-0.53725736599905283</v>
      </c>
      <c r="AU36" s="26">
        <f t="shared" si="58"/>
        <v>541478</v>
      </c>
      <c r="AV36" s="26">
        <f t="shared" si="59"/>
        <v>-0.50472780352659885</v>
      </c>
      <c r="AW36" s="26">
        <f t="shared" si="60"/>
        <v>0.13702758840549265</v>
      </c>
      <c r="AX36" s="26">
        <f t="shared" si="61"/>
        <v>0.6862558342584828</v>
      </c>
      <c r="AY36" s="26">
        <f t="shared" si="62"/>
        <v>-0.53725736599905283</v>
      </c>
      <c r="AZ36" s="26">
        <f t="shared" si="63"/>
        <v>-0.76057812645171086</v>
      </c>
      <c r="BA36" s="61">
        <v>1984</v>
      </c>
      <c r="BB36" s="164">
        <f t="shared" si="4"/>
        <v>541478</v>
      </c>
      <c r="BC36" s="105">
        <f t="shared" si="5"/>
        <v>-0.50472780352659885</v>
      </c>
      <c r="BD36" s="105">
        <f t="shared" si="6"/>
        <v>0.13702758840549265</v>
      </c>
      <c r="BE36" s="105">
        <f t="shared" si="7"/>
        <v>0.6862558342584828</v>
      </c>
      <c r="BF36" s="105">
        <f t="shared" si="8"/>
        <v>-0.53725736599905283</v>
      </c>
      <c r="BG36">
        <v>209</v>
      </c>
      <c r="BH36" s="61">
        <f t="shared" si="78"/>
        <v>1984</v>
      </c>
      <c r="BI36" s="61">
        <f t="shared" si="79"/>
        <v>541478</v>
      </c>
      <c r="BJ36" s="26">
        <f t="shared" si="80"/>
        <v>-0.50472780352659885</v>
      </c>
      <c r="BK36" s="26">
        <f t="shared" si="81"/>
        <v>0.13702758840549265</v>
      </c>
      <c r="BL36" s="26">
        <f t="shared" si="82"/>
        <v>0.6862558342584828</v>
      </c>
      <c r="BM36" s="26">
        <f t="shared" si="83"/>
        <v>-0.53725736599905283</v>
      </c>
      <c r="BN36" s="61">
        <f t="shared" si="84"/>
        <v>209</v>
      </c>
      <c r="BO36" s="26">
        <f t="shared" si="85"/>
        <v>0.59758741069926624</v>
      </c>
      <c r="BR36" s="26">
        <f>covariates!V44</f>
        <v>-0.53725736599905283</v>
      </c>
      <c r="BS36" s="26">
        <f>covariates!W44</f>
        <v>-1.0919185894373749</v>
      </c>
      <c r="BT36" s="26">
        <f>covariates!Y44</f>
        <v>0.6862558342584828</v>
      </c>
      <c r="BU36" s="26">
        <f>covariates!U44</f>
        <v>0.13702758840549265</v>
      </c>
      <c r="BV36" s="26">
        <f>covariates!AA44</f>
        <v>-0.76057812645171086</v>
      </c>
      <c r="BW36" s="26">
        <f t="shared" si="90"/>
        <v>0.59758741069926624</v>
      </c>
      <c r="BX36" s="26">
        <f t="shared" si="76"/>
        <v>-0.76945436806962253</v>
      </c>
      <c r="BY36" s="26">
        <f t="shared" si="10"/>
        <v>-0.76057812645171086</v>
      </c>
      <c r="BZ36" s="26">
        <f t="shared" si="93"/>
        <v>1984</v>
      </c>
      <c r="CA36" s="26">
        <f t="shared" si="94"/>
        <v>1.1202563874002809</v>
      </c>
      <c r="CB36" s="26">
        <f t="shared" si="70"/>
        <v>1.0751905987405241</v>
      </c>
      <c r="CC36" s="26">
        <f t="shared" ref="CC36:CC68" si="110">L36*EXP(CA36+$L36*$DO$25)</f>
        <v>1256861.4508964152</v>
      </c>
      <c r="CD36" s="26">
        <f t="shared" si="95"/>
        <v>1.124469254021895</v>
      </c>
      <c r="CE36" s="26">
        <f t="shared" si="70"/>
        <v>1.0591118759333014</v>
      </c>
      <c r="CF36" s="26">
        <f t="shared" si="96"/>
        <v>1298774.1011947638</v>
      </c>
      <c r="CG36" s="26">
        <f t="shared" si="97"/>
        <v>1.1574778245148376</v>
      </c>
      <c r="CH36" s="26">
        <f t="shared" si="71"/>
        <v>1.1116640400038187</v>
      </c>
      <c r="CI36" s="26">
        <f t="shared" si="98"/>
        <v>1321620.5054655657</v>
      </c>
      <c r="CJ36" s="26">
        <f t="shared" si="99"/>
        <v>1.1220457127405594</v>
      </c>
      <c r="CK36" s="26">
        <f t="shared" si="72"/>
        <v>1.081571757339459</v>
      </c>
      <c r="CL36" s="26">
        <f t="shared" si="100"/>
        <v>1253144.6297436531</v>
      </c>
      <c r="CM36" s="26">
        <f t="shared" si="101"/>
        <v>1.0522952790674369</v>
      </c>
      <c r="CN36" s="26">
        <f t="shared" si="73"/>
        <v>1.1079414446651428</v>
      </c>
      <c r="CO36" s="26">
        <f t="shared" si="102"/>
        <v>1186178.5646658491</v>
      </c>
      <c r="CP36" s="26">
        <f t="shared" si="67"/>
        <v>-0.18660228022163139</v>
      </c>
      <c r="CQ36" s="26">
        <f t="shared" si="103"/>
        <v>1.1149367085481956</v>
      </c>
      <c r="CR36" s="26">
        <f t="shared" si="74"/>
        <v>1.1966344618937907</v>
      </c>
      <c r="CS36" s="26">
        <f t="shared" si="104"/>
        <v>1264153.2563533308</v>
      </c>
      <c r="CT36" s="26">
        <f t="shared" si="105"/>
        <v>1208968.3882833014</v>
      </c>
      <c r="CU36" s="26">
        <f t="shared" si="106"/>
        <v>1.1043645941494902</v>
      </c>
      <c r="CV36" s="26">
        <f t="shared" si="75"/>
        <v>1.1571690145231683</v>
      </c>
      <c r="CW36" s="26">
        <f t="shared" si="107"/>
        <v>1231182.3618195211</v>
      </c>
      <c r="CX36" s="26">
        <f t="shared" si="108"/>
        <v>1.124469254021895</v>
      </c>
      <c r="CY36" s="26">
        <f t="shared" si="69"/>
        <v>1.0740697748905821</v>
      </c>
      <c r="CZ36" s="26">
        <f t="shared" si="68"/>
        <v>1298774.1011947638</v>
      </c>
      <c r="DA36" s="50">
        <v>1955</v>
      </c>
      <c r="DB36" s="50">
        <v>1.0710302463012071</v>
      </c>
      <c r="DC36" s="50">
        <v>0.6321358543581963</v>
      </c>
      <c r="DD36" s="50">
        <v>1.2832725825176217</v>
      </c>
      <c r="DE36" s="26">
        <f t="shared" si="86"/>
        <v>2.7982584957105905</v>
      </c>
      <c r="DN36" s="50">
        <v>2</v>
      </c>
      <c r="DO36" s="50">
        <v>1.0657531304958914</v>
      </c>
      <c r="DP36" s="50">
        <v>-0.53816019946883742</v>
      </c>
      <c r="DQ36" s="50">
        <v>-1.2731466522913766</v>
      </c>
      <c r="DR36" s="26">
        <f t="shared" ref="DR36:DR99" si="111">DQ37</f>
        <v>-0.66535852973021192</v>
      </c>
      <c r="DZ36" s="50">
        <v>3</v>
      </c>
      <c r="EA36" s="50">
        <v>1.293677315313956</v>
      </c>
      <c r="EB36" s="50">
        <v>-0.39148041156027169</v>
      </c>
      <c r="EC36" s="50">
        <v>-0.88586269327045597</v>
      </c>
      <c r="ED36" s="26">
        <f t="shared" si="109"/>
        <v>1.5742071441672323</v>
      </c>
      <c r="EJ36" s="50">
        <v>5</v>
      </c>
      <c r="EK36" s="50">
        <v>1.1195791222404554</v>
      </c>
      <c r="EL36" s="50">
        <v>0.58358697841894802</v>
      </c>
      <c r="EM36" s="50">
        <v>1.33782242054053</v>
      </c>
      <c r="EN36" s="26">
        <f t="shared" si="87"/>
        <v>3.4112436693284383</v>
      </c>
      <c r="EU36" s="50">
        <v>5</v>
      </c>
      <c r="EV36" s="50">
        <v>1.2172699833231211</v>
      </c>
      <c r="EW36" s="50">
        <v>0.48589611733628235</v>
      </c>
      <c r="EX36" s="50">
        <v>1.1245171494386925</v>
      </c>
      <c r="EY36" s="26">
        <f t="shared" si="88"/>
        <v>3.2797615499945452</v>
      </c>
      <c r="FF36" s="50">
        <v>4</v>
      </c>
      <c r="FG36" s="50">
        <v>1.0929286879406312</v>
      </c>
      <c r="FH36" s="50">
        <v>0.74856185172831546</v>
      </c>
      <c r="FI36" s="50">
        <v>1.7723745090647742</v>
      </c>
      <c r="FJ36" s="26">
        <f t="shared" si="91"/>
        <v>0.74400530821446187</v>
      </c>
      <c r="FP36" s="50">
        <v>4</v>
      </c>
      <c r="FQ36" s="50">
        <v>1.197400677446222</v>
      </c>
      <c r="FR36" s="50">
        <v>0.64408986222272469</v>
      </c>
      <c r="FS36" s="50">
        <v>1.5587537218765541</v>
      </c>
      <c r="FT36" s="26">
        <f t="shared" si="92"/>
        <v>0.60820445446758997</v>
      </c>
      <c r="FZ36" s="50">
        <v>5</v>
      </c>
      <c r="GA36" s="50">
        <v>1.2074446683860973</v>
      </c>
      <c r="GB36" s="50">
        <v>0.49572143227330612</v>
      </c>
      <c r="GC36" s="50">
        <v>1.1627028077944352</v>
      </c>
      <c r="GD36" s="26">
        <f t="shared" si="89"/>
        <v>3.3642840065178752</v>
      </c>
      <c r="GJ36" s="50">
        <v>3</v>
      </c>
      <c r="GK36" s="50">
        <v>1.1682954609385647</v>
      </c>
      <c r="GL36" s="50">
        <v>-0.2660985571848804</v>
      </c>
      <c r="GM36" s="50">
        <v>-0.65001338439531164</v>
      </c>
      <c r="GT36" s="46">
        <v>4</v>
      </c>
      <c r="GU36" s="46">
        <v>1.1158179406035003</v>
      </c>
      <c r="GV36" s="46">
        <v>0.72567259906544646</v>
      </c>
      <c r="GW36" s="46">
        <v>1.7914386450359354</v>
      </c>
      <c r="GX36"/>
      <c r="GY36"/>
      <c r="GZ36"/>
      <c r="HA36"/>
      <c r="HB36"/>
      <c r="HD36" s="46">
        <v>4</v>
      </c>
      <c r="HE36" s="46">
        <v>0.57021963866149683</v>
      </c>
      <c r="HF36" s="46">
        <v>4.8289757195741467E-2</v>
      </c>
      <c r="HG36" s="46">
        <v>0.14443727233987586</v>
      </c>
      <c r="HH36"/>
      <c r="HI36"/>
      <c r="HJ36"/>
      <c r="HK36"/>
      <c r="HL36"/>
    </row>
    <row r="37" spans="1:220" s="26" customFormat="1" ht="12.75" customHeight="1" x14ac:dyDescent="0.35">
      <c r="A37" s="26" t="s">
        <v>52</v>
      </c>
      <c r="B37" s="26">
        <v>1985</v>
      </c>
      <c r="C37" s="26">
        <f>'Orig data'!G39</f>
        <v>1383808</v>
      </c>
      <c r="D37" s="26">
        <f>'Orig data'!Q39</f>
        <v>1839044</v>
      </c>
      <c r="E37" s="26">
        <f>'Orig data'!W39</f>
        <v>1154731.9912101116</v>
      </c>
      <c r="F37" s="26">
        <f t="shared" si="25"/>
        <v>1383.808</v>
      </c>
      <c r="G37" s="26">
        <f t="shared" si="26"/>
        <v>1154.7319912101116</v>
      </c>
      <c r="H37" s="26">
        <f t="shared" si="27"/>
        <v>-0.18097084444265166</v>
      </c>
      <c r="I37" s="26">
        <f t="shared" si="28"/>
        <v>455236</v>
      </c>
      <c r="J37" s="26">
        <f t="shared" si="29"/>
        <v>0.24753948247023996</v>
      </c>
      <c r="K37" s="26">
        <f t="shared" si="30"/>
        <v>1985</v>
      </c>
      <c r="L37" s="26">
        <f>covariates!R45</f>
        <v>1383808</v>
      </c>
      <c r="M37" s="26">
        <f t="shared" si="31"/>
        <v>-0.52094944511260732</v>
      </c>
      <c r="N37" s="26">
        <f t="shared" si="32"/>
        <v>1.0686321063959006</v>
      </c>
      <c r="O37" s="26">
        <f t="shared" si="33"/>
        <v>-1.1231769541433823</v>
      </c>
      <c r="P37" s="26">
        <f t="shared" si="34"/>
        <v>1383808</v>
      </c>
      <c r="Q37" s="26">
        <f t="shared" si="35"/>
        <v>-0.74512451055224627</v>
      </c>
      <c r="R37" s="26">
        <f t="shared" si="36"/>
        <v>1.0686321063959006</v>
      </c>
      <c r="S37" s="26">
        <f t="shared" si="37"/>
        <v>-1.1231769541433823</v>
      </c>
      <c r="T37" s="26">
        <f t="shared" si="38"/>
        <v>1383808</v>
      </c>
      <c r="U37" s="26">
        <f t="shared" si="39"/>
        <v>0.32259546375996317</v>
      </c>
      <c r="V37" s="26">
        <f t="shared" si="40"/>
        <v>-1.1231769541433823</v>
      </c>
      <c r="W37" s="26">
        <f t="shared" si="41"/>
        <v>-0.52094944511260732</v>
      </c>
      <c r="X37" s="26">
        <f t="shared" si="42"/>
        <v>1383808</v>
      </c>
      <c r="Y37" s="26">
        <f t="shared" si="43"/>
        <v>-0.24821228444695947</v>
      </c>
      <c r="Z37" s="105">
        <f t="shared" si="44"/>
        <v>-1.1231769541433823</v>
      </c>
      <c r="AA37" s="105">
        <f t="shared" si="45"/>
        <v>-0.52094944511260732</v>
      </c>
      <c r="AB37" s="105">
        <f t="shared" si="46"/>
        <v>1383808</v>
      </c>
      <c r="AC37" s="159">
        <f t="shared" si="47"/>
        <v>-0.76724552453108652</v>
      </c>
      <c r="AD37" s="105">
        <f t="shared" si="48"/>
        <v>-1.1231769541433823</v>
      </c>
      <c r="AE37" s="105">
        <f t="shared" si="49"/>
        <v>-0.52094944511260732</v>
      </c>
      <c r="AF37" s="105">
        <f t="shared" si="50"/>
        <v>1383808</v>
      </c>
      <c r="AG37" s="105">
        <f>covariates!X45</f>
        <v>-0.76724552453108652</v>
      </c>
      <c r="AH37" s="105">
        <f t="shared" si="51"/>
        <v>-1.1231769541433823</v>
      </c>
      <c r="AI37" s="159">
        <f t="shared" si="52"/>
        <v>1.0686321063959006</v>
      </c>
      <c r="AJ37" s="105">
        <f t="shared" si="53"/>
        <v>-0.52094944511260732</v>
      </c>
      <c r="AK37" s="105"/>
      <c r="AL37" s="105"/>
      <c r="AM37" s="105"/>
      <c r="AN37" s="105"/>
      <c r="AO37" s="105"/>
      <c r="AP37" s="105">
        <f t="shared" si="54"/>
        <v>1383808</v>
      </c>
      <c r="AQ37" s="105">
        <f>covariates!T45</f>
        <v>-0.24821228444695947</v>
      </c>
      <c r="AR37" s="105">
        <f t="shared" si="55"/>
        <v>-1.1231769541433823</v>
      </c>
      <c r="AS37" s="105">
        <f t="shared" si="56"/>
        <v>1.0686321063959006</v>
      </c>
      <c r="AT37" s="26">
        <f t="shared" si="57"/>
        <v>-0.52094944511260732</v>
      </c>
      <c r="AU37" s="26">
        <f t="shared" si="58"/>
        <v>1383808</v>
      </c>
      <c r="AV37" s="26">
        <f t="shared" si="59"/>
        <v>-0.76724552453108652</v>
      </c>
      <c r="AW37" s="26">
        <f t="shared" si="60"/>
        <v>-1.1231769541433823</v>
      </c>
      <c r="AX37" s="26">
        <f t="shared" si="61"/>
        <v>1.0686321063959006</v>
      </c>
      <c r="AY37" s="26">
        <f t="shared" si="62"/>
        <v>-0.52094944511260732</v>
      </c>
      <c r="AZ37" s="26">
        <f t="shared" si="63"/>
        <v>-0.74512451055224627</v>
      </c>
      <c r="BA37" s="61">
        <v>1985</v>
      </c>
      <c r="BB37" s="164">
        <f t="shared" si="4"/>
        <v>1383808</v>
      </c>
      <c r="BC37" s="105">
        <f t="shared" si="5"/>
        <v>-0.76724552453108652</v>
      </c>
      <c r="BD37" s="105">
        <f t="shared" si="6"/>
        <v>-1.1231769541433823</v>
      </c>
      <c r="BE37" s="105">
        <f t="shared" si="7"/>
        <v>1.0686321063959006</v>
      </c>
      <c r="BF37" s="105">
        <f t="shared" si="8"/>
        <v>-0.52094944511260732</v>
      </c>
      <c r="BG37">
        <v>218</v>
      </c>
      <c r="BH37" s="61">
        <f t="shared" si="78"/>
        <v>1985</v>
      </c>
      <c r="BI37" s="61">
        <f t="shared" si="79"/>
        <v>1383808</v>
      </c>
      <c r="BJ37" s="26">
        <f t="shared" si="80"/>
        <v>-0.76724552453108652</v>
      </c>
      <c r="BK37" s="26">
        <f t="shared" si="81"/>
        <v>-1.1231769541433823</v>
      </c>
      <c r="BL37" s="26">
        <f t="shared" si="82"/>
        <v>1.0686321063959006</v>
      </c>
      <c r="BM37" s="26">
        <f t="shared" si="83"/>
        <v>-0.52094944511260732</v>
      </c>
      <c r="BN37" s="61">
        <f t="shared" si="84"/>
        <v>218</v>
      </c>
      <c r="BO37" s="26">
        <f t="shared" si="85"/>
        <v>-0.18097084444265166</v>
      </c>
      <c r="BR37" s="26">
        <f>covariates!V45</f>
        <v>-0.52094944511260732</v>
      </c>
      <c r="BS37" s="26">
        <f>covariates!W45</f>
        <v>0.32259546375996317</v>
      </c>
      <c r="BT37" s="26">
        <f>covariates!Y45</f>
        <v>1.0686321063959006</v>
      </c>
      <c r="BU37" s="26">
        <f>covariates!U45</f>
        <v>-1.1231769541433823</v>
      </c>
      <c r="BV37" s="26">
        <f>covariates!AA45</f>
        <v>-0.74512451055224627</v>
      </c>
      <c r="BW37" s="26">
        <f t="shared" si="90"/>
        <v>-0.18097084444265166</v>
      </c>
      <c r="BX37" s="26">
        <f t="shared" si="76"/>
        <v>-0.76945436806962253</v>
      </c>
      <c r="BY37" s="26">
        <f>BY36</f>
        <v>-0.76057812645171086</v>
      </c>
      <c r="BZ37" s="26">
        <f t="shared" si="93"/>
        <v>1985</v>
      </c>
      <c r="CA37" s="26">
        <f t="shared" si="94"/>
        <v>0.93004535968612001</v>
      </c>
      <c r="CB37" s="26">
        <f t="shared" si="70"/>
        <v>1.1006849722393204</v>
      </c>
      <c r="CC37" s="26">
        <f t="shared" si="110"/>
        <v>1722797.1654777396</v>
      </c>
      <c r="CD37" s="26">
        <f t="shared" si="95"/>
        <v>0.92224520821257183</v>
      </c>
      <c r="CE37" s="26">
        <f t="shared" si="70"/>
        <v>1.0804363323120207</v>
      </c>
      <c r="CF37" s="26">
        <f t="shared" si="96"/>
        <v>1838986.6507840334</v>
      </c>
      <c r="CG37" s="26">
        <f t="shared" si="97"/>
        <v>1.0483174359535958</v>
      </c>
      <c r="CH37" s="26">
        <f t="shared" si="71"/>
        <v>1.1158981880767431</v>
      </c>
      <c r="CI37" s="26">
        <f t="shared" si="98"/>
        <v>2004699.3616349448</v>
      </c>
      <c r="CJ37" s="26">
        <f t="shared" si="99"/>
        <v>0.9095106665597823</v>
      </c>
      <c r="CK37" s="26">
        <f t="shared" si="72"/>
        <v>1.1122811011004576</v>
      </c>
      <c r="CL37" s="26">
        <f t="shared" si="100"/>
        <v>1667412.4557408297</v>
      </c>
      <c r="CM37" s="26">
        <f t="shared" si="101"/>
        <v>0.85440553806761843</v>
      </c>
      <c r="CN37" s="26">
        <f t="shared" si="73"/>
        <v>1.1225248401913273</v>
      </c>
      <c r="CO37" s="26">
        <f t="shared" si="102"/>
        <v>1638974.3302986324</v>
      </c>
      <c r="CP37" s="26">
        <f t="shared" si="67"/>
        <v>-0.35020236302676899</v>
      </c>
      <c r="CQ37" s="26">
        <f t="shared" si="103"/>
        <v>0.94979516530388985</v>
      </c>
      <c r="CR37" s="26">
        <f t="shared" si="74"/>
        <v>1.1989065180409617</v>
      </c>
      <c r="CS37" s="26">
        <f t="shared" si="104"/>
        <v>1807740.7613455108</v>
      </c>
      <c r="CT37" s="26">
        <f t="shared" si="105"/>
        <v>1830583.9808122965</v>
      </c>
      <c r="CU37" s="26">
        <f t="shared" si="106"/>
        <v>0.91013184382309742</v>
      </c>
      <c r="CV37" s="26">
        <f t="shared" si="75"/>
        <v>1.1755453113166463</v>
      </c>
      <c r="CW37" s="26">
        <f t="shared" si="107"/>
        <v>1668448.5362084038</v>
      </c>
      <c r="CX37" s="26">
        <f t="shared" si="108"/>
        <v>0.9257864176339865</v>
      </c>
      <c r="CY37" s="26">
        <f t="shared" si="69"/>
        <v>1.1050184044193976</v>
      </c>
      <c r="CZ37" s="26">
        <f t="shared" si="68"/>
        <v>1845510.4318577072</v>
      </c>
      <c r="DA37" s="50">
        <v>1956</v>
      </c>
      <c r="DB37" s="50">
        <v>1.1192198615655926</v>
      </c>
      <c r="DC37" s="50">
        <v>1.3784129334632655</v>
      </c>
      <c r="DD37" s="50">
        <v>2.7982584957105905</v>
      </c>
      <c r="DE37" s="26">
        <f t="shared" si="86"/>
        <v>0.13191686731503896</v>
      </c>
      <c r="DN37" s="50">
        <v>3</v>
      </c>
      <c r="DO37" s="50">
        <v>1.1834445341295401</v>
      </c>
      <c r="DP37" s="50">
        <v>-0.28124763037585576</v>
      </c>
      <c r="DQ37" s="50">
        <v>-0.66535852973021192</v>
      </c>
      <c r="DR37" s="26">
        <f t="shared" si="111"/>
        <v>1.7000845439671852</v>
      </c>
      <c r="DZ37" s="50">
        <v>4</v>
      </c>
      <c r="EA37" s="50">
        <v>1.1458169715626545</v>
      </c>
      <c r="EB37" s="50">
        <v>0.69567356810629222</v>
      </c>
      <c r="EC37" s="50">
        <v>1.5742071441672323</v>
      </c>
      <c r="ED37" s="26">
        <f t="shared" si="109"/>
        <v>0.75700105924620875</v>
      </c>
      <c r="EJ37" s="50">
        <v>6</v>
      </c>
      <c r="EK37" s="50">
        <v>1.0095747724776976</v>
      </c>
      <c r="EL37" s="50">
        <v>1.4880580225511606</v>
      </c>
      <c r="EM37" s="50">
        <v>3.4112436693284383</v>
      </c>
      <c r="EN37" s="26">
        <f t="shared" si="87"/>
        <v>8.801511718548613E-2</v>
      </c>
      <c r="EU37" s="50">
        <v>6</v>
      </c>
      <c r="EV37" s="50">
        <v>1.0804704122882831</v>
      </c>
      <c r="EW37" s="50">
        <v>1.417162382740575</v>
      </c>
      <c r="EX37" s="50">
        <v>3.2797615499945452</v>
      </c>
      <c r="EY37" s="26">
        <f t="shared" si="88"/>
        <v>0.31733687520019721</v>
      </c>
      <c r="FF37" s="50">
        <v>5</v>
      </c>
      <c r="FG37" s="50">
        <v>1.3889356779331197</v>
      </c>
      <c r="FH37" s="50">
        <v>0.31423042272628376</v>
      </c>
      <c r="FI37" s="50">
        <v>0.74400530821446187</v>
      </c>
      <c r="FJ37" s="26">
        <f t="shared" si="91"/>
        <v>3.1466626853574442</v>
      </c>
      <c r="FP37" s="50">
        <v>5</v>
      </c>
      <c r="FQ37" s="50">
        <v>1.4518510161894391</v>
      </c>
      <c r="FR37" s="50">
        <v>0.25131508446996431</v>
      </c>
      <c r="FS37" s="50">
        <v>0.60820445446758997</v>
      </c>
      <c r="FT37" s="26">
        <f t="shared" si="92"/>
        <v>3.1174379952101461</v>
      </c>
      <c r="FZ37" s="50">
        <v>6</v>
      </c>
      <c r="GA37" s="50">
        <v>1.063261367433515</v>
      </c>
      <c r="GB37" s="50">
        <v>1.4343714275953432</v>
      </c>
      <c r="GC37" s="50">
        <v>3.3642840065178752</v>
      </c>
      <c r="GD37" s="26">
        <f t="shared" si="89"/>
        <v>0.35420427434411189</v>
      </c>
      <c r="GJ37" s="50">
        <v>4</v>
      </c>
      <c r="GK37" s="50">
        <v>1.175447647774702</v>
      </c>
      <c r="GL37" s="50">
        <v>0.6660428918942447</v>
      </c>
      <c r="GM37" s="50">
        <v>1.6269791121483688</v>
      </c>
      <c r="GT37" s="46">
        <v>5</v>
      </c>
      <c r="GU37" s="46">
        <v>1.4191016819774962</v>
      </c>
      <c r="GV37" s="46">
        <v>0.28406441868190724</v>
      </c>
      <c r="GW37" s="46">
        <v>0.70125836081147341</v>
      </c>
      <c r="GX37"/>
      <c r="GY37"/>
      <c r="GZ37"/>
      <c r="HA37"/>
      <c r="HB37"/>
      <c r="HD37" s="46">
        <v>5</v>
      </c>
      <c r="HE37" s="46">
        <v>0.57541360645164707</v>
      </c>
      <c r="HF37" s="46">
        <v>0.13113949080604359</v>
      </c>
      <c r="HG37" s="46">
        <v>0.3922453010332293</v>
      </c>
      <c r="HH37"/>
      <c r="HI37"/>
      <c r="HJ37"/>
      <c r="HK37"/>
      <c r="HL37"/>
    </row>
    <row r="38" spans="1:220" s="26" customFormat="1" ht="12.75" customHeight="1" x14ac:dyDescent="0.35">
      <c r="A38" s="26" t="s">
        <v>52</v>
      </c>
      <c r="B38" s="26">
        <v>1986</v>
      </c>
      <c r="C38" s="26">
        <f>'Orig data'!G40</f>
        <v>997327</v>
      </c>
      <c r="D38" s="26">
        <f>'Orig data'!Q40</f>
        <v>1580868</v>
      </c>
      <c r="E38" s="26">
        <f>'Orig data'!W40</f>
        <v>1522545.2624981394</v>
      </c>
      <c r="F38" s="26">
        <f t="shared" si="25"/>
        <v>997.327</v>
      </c>
      <c r="G38" s="26">
        <f t="shared" si="26"/>
        <v>1522.5452624981394</v>
      </c>
      <c r="H38" s="26">
        <f t="shared" si="27"/>
        <v>0.4230600280662542</v>
      </c>
      <c r="I38" s="26">
        <f t="shared" si="28"/>
        <v>583541</v>
      </c>
      <c r="J38" s="26">
        <f t="shared" si="29"/>
        <v>0.36912696063175421</v>
      </c>
      <c r="K38" s="26">
        <f t="shared" si="30"/>
        <v>1986</v>
      </c>
      <c r="L38" s="26">
        <f>covariates!R46</f>
        <v>997327</v>
      </c>
      <c r="M38" s="26">
        <f t="shared" si="31"/>
        <v>-0.49958460082961131</v>
      </c>
      <c r="N38" s="26">
        <f t="shared" si="32"/>
        <v>1.8583222336362195</v>
      </c>
      <c r="O38" s="26">
        <f t="shared" si="33"/>
        <v>0.28528694635241914</v>
      </c>
      <c r="P38" s="26">
        <f t="shared" si="34"/>
        <v>997327</v>
      </c>
      <c r="Q38" s="26">
        <f t="shared" si="35"/>
        <v>-0.69808506095806766</v>
      </c>
      <c r="R38" s="26">
        <f t="shared" si="36"/>
        <v>1.8583222336362195</v>
      </c>
      <c r="S38" s="26">
        <f t="shared" si="37"/>
        <v>0.28528694635241914</v>
      </c>
      <c r="T38" s="26">
        <f t="shared" si="38"/>
        <v>997327</v>
      </c>
      <c r="U38" s="26">
        <f t="shared" si="39"/>
        <v>0.3462793323899348</v>
      </c>
      <c r="V38" s="26">
        <f t="shared" si="40"/>
        <v>0.28528694635241914</v>
      </c>
      <c r="W38" s="26">
        <f t="shared" si="41"/>
        <v>-0.49958460082961131</v>
      </c>
      <c r="X38" s="26">
        <f t="shared" si="42"/>
        <v>997327</v>
      </c>
      <c r="Y38" s="26">
        <f t="shared" si="43"/>
        <v>0.88039424945827227</v>
      </c>
      <c r="Z38" s="105">
        <f t="shared" si="44"/>
        <v>0.28528694635241914</v>
      </c>
      <c r="AA38" s="105">
        <f t="shared" si="45"/>
        <v>-0.49958460082961131</v>
      </c>
      <c r="AB38" s="105">
        <f t="shared" si="46"/>
        <v>997327</v>
      </c>
      <c r="AC38" s="159">
        <f t="shared" si="47"/>
        <v>-1.2712216938226724</v>
      </c>
      <c r="AD38" s="105">
        <f t="shared" si="48"/>
        <v>0.28528694635241914</v>
      </c>
      <c r="AE38" s="105">
        <f t="shared" si="49"/>
        <v>-0.49958460082961131</v>
      </c>
      <c r="AF38" s="105">
        <f t="shared" si="50"/>
        <v>997327</v>
      </c>
      <c r="AG38" s="105">
        <f>covariates!X46</f>
        <v>-1.2712216938226724</v>
      </c>
      <c r="AH38" s="105">
        <f t="shared" si="51"/>
        <v>0.28528694635241914</v>
      </c>
      <c r="AI38" s="159">
        <f t="shared" si="52"/>
        <v>1.8583222336362195</v>
      </c>
      <c r="AJ38" s="105">
        <f t="shared" si="53"/>
        <v>-0.49958460082961131</v>
      </c>
      <c r="AK38" s="105"/>
      <c r="AL38" s="105"/>
      <c r="AM38" s="105"/>
      <c r="AN38" s="105"/>
      <c r="AO38" s="105"/>
      <c r="AP38" s="105">
        <f t="shared" si="54"/>
        <v>997327</v>
      </c>
      <c r="AQ38" s="105">
        <f>covariates!T46</f>
        <v>0.88039424945827227</v>
      </c>
      <c r="AR38" s="105">
        <f t="shared" si="55"/>
        <v>0.28528694635241914</v>
      </c>
      <c r="AS38" s="105">
        <f t="shared" si="56"/>
        <v>1.8583222336362195</v>
      </c>
      <c r="AT38" s="26">
        <f t="shared" si="57"/>
        <v>-0.49958460082961131</v>
      </c>
      <c r="AU38" s="26">
        <f t="shared" si="58"/>
        <v>997327</v>
      </c>
      <c r="AV38" s="26">
        <f t="shared" si="59"/>
        <v>-1.2712216938226724</v>
      </c>
      <c r="AW38" s="26">
        <f t="shared" si="60"/>
        <v>0.28528694635241914</v>
      </c>
      <c r="AX38" s="26">
        <f t="shared" si="61"/>
        <v>1.8583222336362195</v>
      </c>
      <c r="AY38" s="26">
        <f t="shared" si="62"/>
        <v>-0.49958460082961131</v>
      </c>
      <c r="AZ38" s="26">
        <f t="shared" si="63"/>
        <v>-0.69808506095806766</v>
      </c>
      <c r="BA38" s="61">
        <v>1986</v>
      </c>
      <c r="BB38" s="164">
        <f t="shared" si="4"/>
        <v>997327</v>
      </c>
      <c r="BC38" s="105">
        <f t="shared" si="5"/>
        <v>-1.2712216938226724</v>
      </c>
      <c r="BD38" s="105">
        <f t="shared" si="6"/>
        <v>0.28528694635241914</v>
      </c>
      <c r="BE38" s="105">
        <f t="shared" si="7"/>
        <v>1.8583222336362195</v>
      </c>
      <c r="BF38" s="105">
        <f t="shared" si="8"/>
        <v>-0.49958460082961131</v>
      </c>
      <c r="BG38">
        <v>228</v>
      </c>
      <c r="BH38" s="61">
        <f t="shared" si="78"/>
        <v>1986</v>
      </c>
      <c r="BI38" s="61">
        <f t="shared" si="79"/>
        <v>997327</v>
      </c>
      <c r="BJ38" s="26">
        <f t="shared" si="80"/>
        <v>-1.2712216938226724</v>
      </c>
      <c r="BK38" s="26">
        <f t="shared" si="81"/>
        <v>0.28528694635241914</v>
      </c>
      <c r="BL38" s="26">
        <f t="shared" si="82"/>
        <v>1.8583222336362195</v>
      </c>
      <c r="BM38" s="26">
        <f t="shared" si="83"/>
        <v>-0.49958460082961131</v>
      </c>
      <c r="BN38" s="61">
        <f t="shared" si="84"/>
        <v>228</v>
      </c>
      <c r="BO38" s="26">
        <f t="shared" si="85"/>
        <v>0.4230600280662542</v>
      </c>
      <c r="BR38" s="26">
        <f>covariates!V46</f>
        <v>-0.49958460082961131</v>
      </c>
      <c r="BS38" s="26">
        <f>covariates!W46</f>
        <v>0.3462793323899348</v>
      </c>
      <c r="BT38" s="26">
        <f>covariates!Y46</f>
        <v>1.8583222336362195</v>
      </c>
      <c r="BU38" s="26">
        <f>covariates!U46</f>
        <v>0.28528694635241914</v>
      </c>
      <c r="BV38" s="26">
        <f>covariates!AA46</f>
        <v>-0.69808506095806766</v>
      </c>
      <c r="BW38" s="26">
        <f t="shared" si="90"/>
        <v>0.4230600280662542</v>
      </c>
      <c r="BX38" s="26">
        <f t="shared" si="76"/>
        <v>-0.76945436806962253</v>
      </c>
      <c r="BY38" s="26">
        <f t="shared" ref="BY38:BY68" si="112">BY37</f>
        <v>-0.76057812645171086</v>
      </c>
      <c r="BZ38" s="26">
        <f t="shared" si="93"/>
        <v>1986</v>
      </c>
      <c r="CA38" s="26">
        <f t="shared" si="94"/>
        <v>0.99746890053968995</v>
      </c>
      <c r="CB38" s="26">
        <f>AVERAGE(CA33:CA42)</f>
        <v>1.125203882043579</v>
      </c>
      <c r="CC38" s="26">
        <f t="shared" si="110"/>
        <v>1619978.3287657092</v>
      </c>
      <c r="CD38" s="26">
        <f t="shared" si="95"/>
        <v>0.99791234366743808</v>
      </c>
      <c r="CE38" s="26">
        <f>AVERAGE(CD33:CD42)</f>
        <v>1.0899060176352839</v>
      </c>
      <c r="CF38" s="26">
        <f t="shared" si="96"/>
        <v>1708328.6154697784</v>
      </c>
      <c r="CG38" s="26">
        <f t="shared" si="97"/>
        <v>1.0959839191633172</v>
      </c>
      <c r="CH38" s="26">
        <f>AVERAGE(CG33:CG42)</f>
        <v>1.1094619698560981</v>
      </c>
      <c r="CI38" s="26">
        <f t="shared" si="98"/>
        <v>1831083.5509553116</v>
      </c>
      <c r="CJ38" s="26">
        <f t="shared" si="99"/>
        <v>1.0053462546324972</v>
      </c>
      <c r="CK38" s="26">
        <f>AVERAGE(CJ33:CJ42)</f>
        <v>1.1418085698596356</v>
      </c>
      <c r="CL38" s="26">
        <f t="shared" si="100"/>
        <v>1618564.3839676182</v>
      </c>
      <c r="CM38" s="26">
        <f t="shared" si="101"/>
        <v>0.86363593104462899</v>
      </c>
      <c r="CN38" s="26">
        <f>AVERAGE(CM33:CM42)</f>
        <v>1.133576781203731</v>
      </c>
      <c r="CO38" s="26">
        <f t="shared" si="102"/>
        <v>1443609.0022895383</v>
      </c>
      <c r="CP38" s="26">
        <f t="shared" si="67"/>
        <v>5.3237219455821716E-2</v>
      </c>
      <c r="CQ38" s="26">
        <f t="shared" si="103"/>
        <v>1.0464155693855111</v>
      </c>
      <c r="CR38" s="26">
        <f>AVERAGE(CQ33:CQ42)</f>
        <v>1.1809870012076362</v>
      </c>
      <c r="CS38" s="26">
        <f t="shared" si="104"/>
        <v>1736397.2236255431</v>
      </c>
      <c r="CT38" s="26">
        <f t="shared" si="105"/>
        <v>1677456.8253472701</v>
      </c>
      <c r="CU38" s="26">
        <f t="shared" si="106"/>
        <v>0.92415322375829545</v>
      </c>
      <c r="CV38" s="26">
        <f>AVERAGE(CU33:CU42)</f>
        <v>1.1889237832523798</v>
      </c>
      <c r="CW38" s="26">
        <f t="shared" si="107"/>
        <v>1492341.7682509311</v>
      </c>
      <c r="CX38" s="26">
        <f t="shared" si="108"/>
        <v>1.0122326835632187</v>
      </c>
      <c r="CY38" s="26">
        <f t="shared" si="69"/>
        <v>1.1317877106187331</v>
      </c>
      <c r="CZ38" s="26">
        <f t="shared" si="68"/>
        <v>1732968.4663392478</v>
      </c>
      <c r="DA38" s="50">
        <v>1957</v>
      </c>
      <c r="DB38" s="50">
        <v>1.0870903443864173</v>
      </c>
      <c r="DC38" s="50">
        <v>6.4981815056665004E-2</v>
      </c>
      <c r="DD38" s="50">
        <v>0.13191686731503896</v>
      </c>
      <c r="DE38" s="26">
        <f t="shared" si="86"/>
        <v>-1.934902307739015E-2</v>
      </c>
      <c r="DN38" s="50">
        <v>4</v>
      </c>
      <c r="DO38" s="50">
        <v>1.1228633213130548</v>
      </c>
      <c r="DP38" s="50">
        <v>0.71862721835589194</v>
      </c>
      <c r="DQ38" s="50">
        <v>1.7000845439671852</v>
      </c>
      <c r="DR38" s="26">
        <f t="shared" si="111"/>
        <v>0.75394156540648938</v>
      </c>
      <c r="DZ38" s="50">
        <v>5</v>
      </c>
      <c r="EA38" s="50">
        <v>1.3686322180650377</v>
      </c>
      <c r="EB38" s="50">
        <v>0.33453388259436578</v>
      </c>
      <c r="EC38" s="50">
        <v>0.75700105924620875</v>
      </c>
      <c r="ED38" s="26">
        <f t="shared" si="109"/>
        <v>3.0689028049173395</v>
      </c>
      <c r="EJ38" s="50">
        <v>7</v>
      </c>
      <c r="EK38" s="50">
        <v>1.1136780680413891</v>
      </c>
      <c r="EL38" s="50">
        <v>3.8394091401693142E-2</v>
      </c>
      <c r="EM38" s="50">
        <v>8.801511718548613E-2</v>
      </c>
      <c r="EN38" s="26">
        <f t="shared" si="87"/>
        <v>-0.14778549155306339</v>
      </c>
      <c r="EU38" s="50">
        <v>7</v>
      </c>
      <c r="EV38" s="50">
        <v>1.0149530807128289</v>
      </c>
      <c r="EW38" s="50">
        <v>0.13711907873025342</v>
      </c>
      <c r="EX38" s="50">
        <v>0.31733687520019721</v>
      </c>
      <c r="EY38" s="26">
        <f t="shared" si="88"/>
        <v>-5.6735525988337164E-2</v>
      </c>
      <c r="FF38" s="50">
        <v>6</v>
      </c>
      <c r="FG38" s="50">
        <v>1.1686407369347314</v>
      </c>
      <c r="FH38" s="50">
        <v>1.3289920580941268</v>
      </c>
      <c r="FI38" s="50">
        <v>3.1466626853574442</v>
      </c>
      <c r="FJ38" s="26">
        <f t="shared" si="91"/>
        <v>0.38584888177915355</v>
      </c>
      <c r="FP38" s="50">
        <v>6</v>
      </c>
      <c r="FQ38" s="50">
        <v>1.2094817672927352</v>
      </c>
      <c r="FR38" s="50">
        <v>1.288151027736123</v>
      </c>
      <c r="FS38" s="50">
        <v>3.1174379952101461</v>
      </c>
      <c r="FT38" s="26">
        <f t="shared" si="92"/>
        <v>0.62913414499389542</v>
      </c>
      <c r="FZ38" s="50">
        <v>7</v>
      </c>
      <c r="GA38" s="50">
        <v>1.0010562256910467</v>
      </c>
      <c r="GB38" s="50">
        <v>0.15101593375203559</v>
      </c>
      <c r="GC38" s="50">
        <v>0.35420427434411189</v>
      </c>
      <c r="GD38" s="26">
        <f t="shared" si="89"/>
        <v>-4.5781498826440725E-2</v>
      </c>
      <c r="GJ38" s="50">
        <v>5</v>
      </c>
      <c r="GK38" s="50">
        <v>1.4431305943104968</v>
      </c>
      <c r="GL38" s="50">
        <v>0.2600355063489066</v>
      </c>
      <c r="GM38" s="50">
        <v>0.63520284113139613</v>
      </c>
      <c r="GT38" s="46">
        <v>6</v>
      </c>
      <c r="GU38" s="46">
        <v>1.1515433202596812</v>
      </c>
      <c r="GV38" s="46">
        <v>1.346089474769177</v>
      </c>
      <c r="GW38" s="46">
        <v>3.3230367356893233</v>
      </c>
      <c r="GX38"/>
      <c r="GY38"/>
      <c r="GZ38"/>
      <c r="HA38"/>
      <c r="HB38"/>
      <c r="HD38" s="46">
        <v>6</v>
      </c>
      <c r="HE38" s="46">
        <v>0.72491025519613639</v>
      </c>
      <c r="HF38" s="46">
        <v>0.15968736231127567</v>
      </c>
      <c r="HG38" s="46">
        <v>0.47763352683463417</v>
      </c>
      <c r="HH38"/>
      <c r="HI38"/>
      <c r="HJ38"/>
      <c r="HK38"/>
      <c r="HL38"/>
    </row>
    <row r="39" spans="1:220" s="26" customFormat="1" ht="12.75" customHeight="1" x14ac:dyDescent="0.35">
      <c r="A39" s="26" t="s">
        <v>52</v>
      </c>
      <c r="B39" s="26">
        <v>1987</v>
      </c>
      <c r="C39" s="26">
        <f>'Orig data'!G41</f>
        <v>363671</v>
      </c>
      <c r="D39" s="26">
        <f>'Orig data'!Q41</f>
        <v>481076</v>
      </c>
      <c r="E39" s="26">
        <f>'Orig data'!W41</f>
        <v>1482704.3872326303</v>
      </c>
      <c r="F39" s="26">
        <f t="shared" si="25"/>
        <v>363.67099999999999</v>
      </c>
      <c r="G39" s="26">
        <f t="shared" si="26"/>
        <v>1482.7043872326303</v>
      </c>
      <c r="H39" s="26">
        <f t="shared" si="27"/>
        <v>1.4053733752002293</v>
      </c>
      <c r="I39" s="26">
        <f t="shared" si="28"/>
        <v>117405</v>
      </c>
      <c r="J39" s="26">
        <f t="shared" si="29"/>
        <v>0.24404667869525812</v>
      </c>
      <c r="K39" s="26">
        <f t="shared" si="30"/>
        <v>1987</v>
      </c>
      <c r="L39" s="26">
        <f>covariates!R47</f>
        <v>363671</v>
      </c>
      <c r="M39" s="26">
        <f t="shared" si="31"/>
        <v>-0.45567869652766718</v>
      </c>
      <c r="N39" s="26">
        <f t="shared" si="32"/>
        <v>0.90030342137888497</v>
      </c>
      <c r="O39" s="26">
        <f t="shared" si="33"/>
        <v>0.85361448514897043</v>
      </c>
      <c r="P39" s="26">
        <f t="shared" si="34"/>
        <v>363671</v>
      </c>
      <c r="Q39" s="26">
        <f t="shared" si="35"/>
        <v>-0.55496175202889453</v>
      </c>
      <c r="R39" s="26">
        <f t="shared" si="36"/>
        <v>0.90030342137888497</v>
      </c>
      <c r="S39" s="26">
        <f t="shared" si="37"/>
        <v>0.85361448514897043</v>
      </c>
      <c r="T39" s="26">
        <f t="shared" si="38"/>
        <v>363671</v>
      </c>
      <c r="U39" s="26">
        <f t="shared" si="39"/>
        <v>9.1080077030883985E-2</v>
      </c>
      <c r="V39" s="26">
        <f t="shared" si="40"/>
        <v>0.85361448514897043</v>
      </c>
      <c r="W39" s="26">
        <f t="shared" si="41"/>
        <v>-0.45567869652766718</v>
      </c>
      <c r="X39" s="26">
        <f t="shared" si="42"/>
        <v>363671</v>
      </c>
      <c r="Y39" s="26">
        <f t="shared" si="43"/>
        <v>0.69675657614487729</v>
      </c>
      <c r="Z39" s="105">
        <f t="shared" si="44"/>
        <v>0.85361448514897043</v>
      </c>
      <c r="AA39" s="105">
        <f t="shared" si="45"/>
        <v>-0.45567869652766718</v>
      </c>
      <c r="AB39" s="105">
        <f t="shared" si="46"/>
        <v>363671</v>
      </c>
      <c r="AC39" s="159">
        <f t="shared" si="47"/>
        <v>0.27969825456171127</v>
      </c>
      <c r="AD39" s="105">
        <f t="shared" si="48"/>
        <v>0.85361448514897043</v>
      </c>
      <c r="AE39" s="105">
        <f t="shared" si="49"/>
        <v>-0.45567869652766718</v>
      </c>
      <c r="AF39" s="105">
        <f t="shared" si="50"/>
        <v>363671</v>
      </c>
      <c r="AG39" s="105">
        <f>covariates!X47</f>
        <v>0.27969825456171127</v>
      </c>
      <c r="AH39" s="105">
        <f t="shared" si="51"/>
        <v>0.85361448514897043</v>
      </c>
      <c r="AI39" s="159">
        <f t="shared" si="52"/>
        <v>0.90030342137888497</v>
      </c>
      <c r="AJ39" s="105">
        <f t="shared" si="53"/>
        <v>-0.45567869652766718</v>
      </c>
      <c r="AK39" s="105"/>
      <c r="AL39" s="105"/>
      <c r="AM39" s="105"/>
      <c r="AN39" s="105"/>
      <c r="AO39" s="105"/>
      <c r="AP39" s="105">
        <f t="shared" si="54"/>
        <v>363671</v>
      </c>
      <c r="AQ39" s="105">
        <f>covariates!T47</f>
        <v>0.69675657614487729</v>
      </c>
      <c r="AR39" s="105">
        <f t="shared" si="55"/>
        <v>0.85361448514897043</v>
      </c>
      <c r="AS39" s="105">
        <f t="shared" si="56"/>
        <v>0.90030342137888497</v>
      </c>
      <c r="AT39" s="26">
        <f t="shared" si="57"/>
        <v>-0.45567869652766718</v>
      </c>
      <c r="AU39" s="26">
        <f t="shared" si="58"/>
        <v>363671</v>
      </c>
      <c r="AV39" s="26">
        <f t="shared" si="59"/>
        <v>0.27969825456171127</v>
      </c>
      <c r="AW39" s="26">
        <f t="shared" si="60"/>
        <v>0.85361448514897043</v>
      </c>
      <c r="AX39" s="26">
        <f t="shared" si="61"/>
        <v>0.90030342137888497</v>
      </c>
      <c r="AY39" s="26">
        <f t="shared" si="62"/>
        <v>-0.45567869652766718</v>
      </c>
      <c r="AZ39" s="26">
        <f t="shared" si="63"/>
        <v>-0.55496175202889453</v>
      </c>
      <c r="BA39" s="61">
        <v>1987</v>
      </c>
      <c r="BB39" s="164">
        <f t="shared" si="4"/>
        <v>363671</v>
      </c>
      <c r="BC39" s="105">
        <f t="shared" si="5"/>
        <v>0.27969825456171127</v>
      </c>
      <c r="BD39" s="105">
        <f t="shared" si="6"/>
        <v>0.85361448514897043</v>
      </c>
      <c r="BE39" s="105">
        <f t="shared" si="7"/>
        <v>0.90030342137888497</v>
      </c>
      <c r="BF39" s="105">
        <f t="shared" si="8"/>
        <v>-0.45567869652766718</v>
      </c>
      <c r="BG39">
        <v>237</v>
      </c>
      <c r="BH39" s="61">
        <f t="shared" si="78"/>
        <v>1987</v>
      </c>
      <c r="BI39" s="61">
        <f t="shared" si="79"/>
        <v>363671</v>
      </c>
      <c r="BJ39" s="26">
        <f t="shared" si="80"/>
        <v>0.27969825456171127</v>
      </c>
      <c r="BK39" s="26">
        <f t="shared" si="81"/>
        <v>0.85361448514897043</v>
      </c>
      <c r="BL39" s="26">
        <f t="shared" si="82"/>
        <v>0.90030342137888497</v>
      </c>
      <c r="BM39" s="26">
        <f t="shared" si="83"/>
        <v>-0.45567869652766718</v>
      </c>
      <c r="BN39" s="61">
        <f t="shared" si="84"/>
        <v>237</v>
      </c>
      <c r="BO39" s="26">
        <f t="shared" si="85"/>
        <v>1.4053733752002293</v>
      </c>
      <c r="BR39" s="26">
        <f>covariates!V47</f>
        <v>-0.45567869652766718</v>
      </c>
      <c r="BS39" s="26">
        <f>covariates!W47</f>
        <v>9.1080077030883985E-2</v>
      </c>
      <c r="BT39" s="26">
        <f>covariates!Y47</f>
        <v>0.90030342137888497</v>
      </c>
      <c r="BU39" s="26">
        <f>covariates!U47</f>
        <v>0.85361448514897043</v>
      </c>
      <c r="BV39" s="26">
        <f>covariates!AA47</f>
        <v>-0.55496175202889453</v>
      </c>
      <c r="BW39" s="26">
        <f t="shared" si="90"/>
        <v>1.4053733752002293</v>
      </c>
      <c r="BX39" s="26">
        <f t="shared" si="76"/>
        <v>-0.76945436806962253</v>
      </c>
      <c r="BY39" s="26">
        <f t="shared" si="112"/>
        <v>-0.76057812645171086</v>
      </c>
      <c r="BZ39" s="26">
        <f t="shared" si="93"/>
        <v>1987</v>
      </c>
      <c r="CA39" s="26">
        <f t="shared" si="94"/>
        <v>1.1585527686106665</v>
      </c>
      <c r="CB39" s="26">
        <f t="shared" si="70"/>
        <v>1.1225430764122062</v>
      </c>
      <c r="CC39" s="26">
        <f t="shared" si="110"/>
        <v>960991.32589805091</v>
      </c>
      <c r="CD39" s="26">
        <f t="shared" si="95"/>
        <v>1.1422508869023376</v>
      </c>
      <c r="CE39" s="26">
        <f t="shared" si="70"/>
        <v>1.0763659380046608</v>
      </c>
      <c r="CF39" s="26">
        <f t="shared" si="96"/>
        <v>963782.33313041402</v>
      </c>
      <c r="CG39" s="26">
        <f t="shared" si="97"/>
        <v>1.156775382210897</v>
      </c>
      <c r="CH39" s="26">
        <f t="shared" si="71"/>
        <v>1.0940141863048751</v>
      </c>
      <c r="CI39" s="26">
        <f t="shared" si="98"/>
        <v>967709.790106053</v>
      </c>
      <c r="CJ39" s="26">
        <f t="shared" si="99"/>
        <v>1.1811041659303481</v>
      </c>
      <c r="CK39" s="26">
        <f t="shared" si="72"/>
        <v>1.1439357742682212</v>
      </c>
      <c r="CL39" s="26">
        <f t="shared" si="100"/>
        <v>979777.91522732517</v>
      </c>
      <c r="CM39" s="26">
        <f t="shared" si="101"/>
        <v>1.1577683430304049</v>
      </c>
      <c r="CN39" s="26">
        <f t="shared" si="73"/>
        <v>1.1267444033355243</v>
      </c>
      <c r="CO39" s="26">
        <f t="shared" si="102"/>
        <v>966760.82246281463</v>
      </c>
      <c r="CP39" s="26">
        <f t="shared" si="67"/>
        <v>0.42767186285701975</v>
      </c>
      <c r="CQ39" s="26">
        <f t="shared" si="103"/>
        <v>1.2527725461400829</v>
      </c>
      <c r="CR39" s="26">
        <f t="shared" si="74"/>
        <v>1.1740942130692475</v>
      </c>
      <c r="CS39" s="26">
        <f t="shared" si="104"/>
        <v>1063843.1524992352</v>
      </c>
      <c r="CT39" s="26">
        <f t="shared" si="105"/>
        <v>906833.85443632212</v>
      </c>
      <c r="CU39" s="26">
        <f t="shared" si="106"/>
        <v>1.2281313716694886</v>
      </c>
      <c r="CV39" s="26">
        <f t="shared" si="75"/>
        <v>1.1850234377115203</v>
      </c>
      <c r="CW39" s="26">
        <f t="shared" si="107"/>
        <v>1026954.7356425396</v>
      </c>
      <c r="CX39" s="26">
        <f t="shared" si="108"/>
        <v>1.189368056569303</v>
      </c>
      <c r="CY39" s="26">
        <f t="shared" si="69"/>
        <v>1.132307151267822</v>
      </c>
      <c r="CZ39" s="26">
        <f t="shared" si="68"/>
        <v>1010279.84253416</v>
      </c>
      <c r="DA39" s="50">
        <v>1958</v>
      </c>
      <c r="DB39" s="50">
        <v>1.0841417986168556</v>
      </c>
      <c r="DC39" s="50">
        <v>-9.5312651424581674E-3</v>
      </c>
      <c r="DD39" s="50">
        <v>-1.934902307739015E-2</v>
      </c>
      <c r="DE39" s="26">
        <f t="shared" si="86"/>
        <v>-0.52686915122378275</v>
      </c>
      <c r="DN39" s="50">
        <v>5</v>
      </c>
      <c r="DO39" s="50">
        <v>1.3844743439032112</v>
      </c>
      <c r="DP39" s="50">
        <v>0.31869175675619221</v>
      </c>
      <c r="DQ39" s="50">
        <v>0.75394156540648938</v>
      </c>
      <c r="DR39" s="26">
        <f t="shared" si="111"/>
        <v>3.1410975555990603</v>
      </c>
      <c r="DZ39" s="50">
        <v>6</v>
      </c>
      <c r="EA39" s="50">
        <v>1.1414233708887704</v>
      </c>
      <c r="EB39" s="50">
        <v>1.3562094241400877</v>
      </c>
      <c r="EC39" s="50">
        <v>3.0689028049173395</v>
      </c>
      <c r="ED39" s="26">
        <f t="shared" si="109"/>
        <v>0.44062291958049682</v>
      </c>
      <c r="EJ39" s="50">
        <v>8</v>
      </c>
      <c r="EK39" s="50">
        <v>1.1390777506068213</v>
      </c>
      <c r="EL39" s="50">
        <v>-6.4467217132423871E-2</v>
      </c>
      <c r="EM39" s="50">
        <v>-0.14778549155306339</v>
      </c>
      <c r="EN39" s="26">
        <f t="shared" si="87"/>
        <v>-1.05957049083235</v>
      </c>
      <c r="EU39" s="50">
        <v>8</v>
      </c>
      <c r="EV39" s="50">
        <v>1.0991255635977932</v>
      </c>
      <c r="EW39" s="50">
        <v>-2.4515030123395842E-2</v>
      </c>
      <c r="EX39" s="50">
        <v>-5.6735525988337164E-2</v>
      </c>
      <c r="EY39" s="26">
        <f t="shared" si="88"/>
        <v>-0.94527841952918923</v>
      </c>
      <c r="FF39" s="50">
        <v>7</v>
      </c>
      <c r="FG39" s="50">
        <v>0.98910899790206552</v>
      </c>
      <c r="FH39" s="50">
        <v>0.16296316154101675</v>
      </c>
      <c r="FI39" s="50">
        <v>0.38584888177915355</v>
      </c>
      <c r="FJ39" s="26">
        <f t="shared" si="91"/>
        <v>0.12423112869913064</v>
      </c>
      <c r="FP39" s="50">
        <v>7</v>
      </c>
      <c r="FQ39" s="50">
        <v>0.89210875465268702</v>
      </c>
      <c r="FR39" s="50">
        <v>0.25996340479039526</v>
      </c>
      <c r="FS39" s="50">
        <v>0.62913414499389542</v>
      </c>
      <c r="FT39" s="26">
        <f t="shared" si="92"/>
        <v>0.13872905393839829</v>
      </c>
      <c r="FZ39" s="50">
        <v>8</v>
      </c>
      <c r="GA39" s="50">
        <v>1.0941295971747014</v>
      </c>
      <c r="GB39" s="50">
        <v>-1.9519063700303985E-2</v>
      </c>
      <c r="GC39" s="50">
        <v>-4.5781498826440725E-2</v>
      </c>
      <c r="GD39" s="26">
        <f t="shared" si="89"/>
        <v>-0.96472790643223061</v>
      </c>
      <c r="GJ39" s="50">
        <v>6</v>
      </c>
      <c r="GK39" s="50">
        <v>1.2222633933339586</v>
      </c>
      <c r="GL39" s="50">
        <v>1.2753694016948995</v>
      </c>
      <c r="GM39" s="50">
        <v>3.1154140402721024</v>
      </c>
      <c r="GT39" s="46">
        <v>7</v>
      </c>
      <c r="GU39" s="46">
        <v>0.84328688531645768</v>
      </c>
      <c r="GV39" s="46">
        <v>0.3087852741266246</v>
      </c>
      <c r="GW39" s="46">
        <v>0.76228573850087089</v>
      </c>
      <c r="GX39"/>
      <c r="GY39"/>
      <c r="GZ39"/>
      <c r="HA39"/>
      <c r="HB39"/>
      <c r="HD39" s="46">
        <v>7</v>
      </c>
      <c r="HE39" s="46">
        <v>0.78635015205922132</v>
      </c>
      <c r="HF39" s="46">
        <v>0.55509839663343241</v>
      </c>
      <c r="HG39" s="46">
        <v>1.6603292902255897</v>
      </c>
      <c r="HH39"/>
      <c r="HI39"/>
      <c r="HJ39"/>
      <c r="HK39"/>
      <c r="HL39"/>
    </row>
    <row r="40" spans="1:220" s="26" customFormat="1" ht="12.75" customHeight="1" x14ac:dyDescent="0.35">
      <c r="A40" s="26" t="s">
        <v>52</v>
      </c>
      <c r="B40" s="26">
        <v>1988</v>
      </c>
      <c r="C40" s="26">
        <f>'Orig data'!G42</f>
        <v>528467</v>
      </c>
      <c r="D40" s="26">
        <f>'Orig data'!Q42</f>
        <v>1035111</v>
      </c>
      <c r="E40" s="26">
        <f>'Orig data'!W42</f>
        <v>1535457.5528593045</v>
      </c>
      <c r="F40" s="26">
        <f t="shared" si="25"/>
        <v>528.46699999999998</v>
      </c>
      <c r="G40" s="26">
        <f t="shared" si="26"/>
        <v>1535.4575528593045</v>
      </c>
      <c r="H40" s="26">
        <f t="shared" si="27"/>
        <v>1.0666033331525118</v>
      </c>
      <c r="I40" s="26">
        <f t="shared" si="28"/>
        <v>506644</v>
      </c>
      <c r="J40" s="26">
        <f t="shared" si="29"/>
        <v>0.4894586184476834</v>
      </c>
      <c r="K40" s="26">
        <f t="shared" si="30"/>
        <v>1988</v>
      </c>
      <c r="L40" s="26">
        <f>covariates!R48</f>
        <v>528467</v>
      </c>
      <c r="M40" s="26">
        <f t="shared" si="31"/>
        <v>-0.43718145242390405</v>
      </c>
      <c r="N40" s="26">
        <f t="shared" si="32"/>
        <v>-0.59387342463634996</v>
      </c>
      <c r="O40" s="26">
        <f t="shared" si="33"/>
        <v>0.87832437814012487</v>
      </c>
      <c r="P40" s="26">
        <f t="shared" si="34"/>
        <v>528467</v>
      </c>
      <c r="Q40" s="26">
        <f t="shared" si="35"/>
        <v>-0.39138784960402279</v>
      </c>
      <c r="R40" s="26">
        <f t="shared" si="36"/>
        <v>-0.59387342463634996</v>
      </c>
      <c r="S40" s="26">
        <f t="shared" si="37"/>
        <v>0.87832437814012487</v>
      </c>
      <c r="T40" s="26">
        <f t="shared" si="38"/>
        <v>528467</v>
      </c>
      <c r="U40" s="26">
        <f t="shared" si="39"/>
        <v>0.57441929449176166</v>
      </c>
      <c r="V40" s="26">
        <f t="shared" si="40"/>
        <v>0.87832437814012487</v>
      </c>
      <c r="W40" s="26">
        <f t="shared" si="41"/>
        <v>-0.43718145242390405</v>
      </c>
      <c r="X40" s="26">
        <f t="shared" si="42"/>
        <v>528467</v>
      </c>
      <c r="Y40" s="26">
        <f t="shared" si="43"/>
        <v>0.23766239286139526</v>
      </c>
      <c r="Z40" s="105">
        <f t="shared" si="44"/>
        <v>0.87832437814012487</v>
      </c>
      <c r="AA40" s="105">
        <f t="shared" si="45"/>
        <v>-0.43718145242390405</v>
      </c>
      <c r="AB40" s="105">
        <f t="shared" si="46"/>
        <v>528467</v>
      </c>
      <c r="AC40" s="159">
        <f t="shared" si="47"/>
        <v>0.72729914083169778</v>
      </c>
      <c r="AD40" s="105">
        <f t="shared" si="48"/>
        <v>0.87832437814012487</v>
      </c>
      <c r="AE40" s="105">
        <f t="shared" si="49"/>
        <v>-0.43718145242390405</v>
      </c>
      <c r="AF40" s="105">
        <f t="shared" si="50"/>
        <v>528467</v>
      </c>
      <c r="AG40" s="105">
        <f>covariates!X48</f>
        <v>0.72729914083169778</v>
      </c>
      <c r="AH40" s="105">
        <f t="shared" si="51"/>
        <v>0.87832437814012487</v>
      </c>
      <c r="AI40" s="159">
        <f t="shared" si="52"/>
        <v>-0.59387342463634996</v>
      </c>
      <c r="AJ40" s="105">
        <f t="shared" si="53"/>
        <v>-0.43718145242390405</v>
      </c>
      <c r="AK40" s="105"/>
      <c r="AL40" s="105"/>
      <c r="AM40" s="105"/>
      <c r="AN40" s="105"/>
      <c r="AO40" s="105"/>
      <c r="AP40" s="105">
        <f t="shared" si="54"/>
        <v>528467</v>
      </c>
      <c r="AQ40" s="105">
        <f>covariates!T48</f>
        <v>0.23766239286139526</v>
      </c>
      <c r="AR40" s="105">
        <f t="shared" si="55"/>
        <v>0.87832437814012487</v>
      </c>
      <c r="AS40" s="105">
        <f t="shared" si="56"/>
        <v>-0.59387342463634996</v>
      </c>
      <c r="AT40" s="26">
        <f t="shared" si="57"/>
        <v>-0.43718145242390405</v>
      </c>
      <c r="AU40" s="26">
        <f t="shared" si="58"/>
        <v>528467</v>
      </c>
      <c r="AV40" s="26">
        <f t="shared" si="59"/>
        <v>0.72729914083169778</v>
      </c>
      <c r="AW40" s="26">
        <f t="shared" si="60"/>
        <v>0.87832437814012487</v>
      </c>
      <c r="AX40" s="26">
        <f t="shared" si="61"/>
        <v>-0.59387342463634996</v>
      </c>
      <c r="AY40" s="26">
        <f t="shared" si="62"/>
        <v>-0.43718145242390405</v>
      </c>
      <c r="AZ40" s="26">
        <f t="shared" si="63"/>
        <v>-0.39138784960402279</v>
      </c>
      <c r="BA40" s="61">
        <v>1988</v>
      </c>
      <c r="BB40" s="164">
        <f t="shared" si="4"/>
        <v>528467</v>
      </c>
      <c r="BC40" s="105">
        <f t="shared" si="5"/>
        <v>0.72729914083169778</v>
      </c>
      <c r="BD40" s="105">
        <f t="shared" si="6"/>
        <v>0.87832437814012487</v>
      </c>
      <c r="BE40" s="105">
        <f t="shared" si="7"/>
        <v>-0.59387342463634996</v>
      </c>
      <c r="BF40" s="105">
        <f t="shared" si="8"/>
        <v>-0.43718145242390405</v>
      </c>
      <c r="BG40">
        <v>240</v>
      </c>
      <c r="BH40" s="61">
        <f t="shared" si="78"/>
        <v>1988</v>
      </c>
      <c r="BI40" s="61">
        <f t="shared" si="79"/>
        <v>528467</v>
      </c>
      <c r="BJ40" s="26">
        <f t="shared" si="80"/>
        <v>0.72729914083169778</v>
      </c>
      <c r="BK40" s="26">
        <f t="shared" si="81"/>
        <v>0.87832437814012487</v>
      </c>
      <c r="BL40" s="26">
        <f t="shared" si="82"/>
        <v>-0.59387342463634996</v>
      </c>
      <c r="BM40" s="26">
        <f t="shared" si="83"/>
        <v>-0.43718145242390405</v>
      </c>
      <c r="BN40" s="61">
        <f t="shared" si="84"/>
        <v>240</v>
      </c>
      <c r="BO40" s="26">
        <f t="shared" si="85"/>
        <v>1.0666033331525118</v>
      </c>
      <c r="BR40" s="26">
        <f>covariates!V48</f>
        <v>-0.43718145242390405</v>
      </c>
      <c r="BS40" s="26">
        <f>covariates!W48</f>
        <v>0.57441929449176166</v>
      </c>
      <c r="BT40" s="26">
        <f>covariates!Y48</f>
        <v>-0.59387342463634996</v>
      </c>
      <c r="BU40" s="26">
        <f>covariates!U48</f>
        <v>0.87832437814012487</v>
      </c>
      <c r="BV40" s="26">
        <f>covariates!AA48</f>
        <v>-0.39138784960402279</v>
      </c>
      <c r="BW40" s="26">
        <f t="shared" si="90"/>
        <v>1.0666033331525118</v>
      </c>
      <c r="BX40" s="26">
        <f t="shared" si="76"/>
        <v>-0.76945436806962253</v>
      </c>
      <c r="BY40" s="26">
        <f t="shared" si="112"/>
        <v>-0.76057812645171086</v>
      </c>
      <c r="BZ40" s="26">
        <f t="shared" si="93"/>
        <v>1988</v>
      </c>
      <c r="CA40" s="26">
        <f t="shared" si="94"/>
        <v>1.323517808356846</v>
      </c>
      <c r="CB40" s="26">
        <f t="shared" si="70"/>
        <v>1.0928994718223828</v>
      </c>
      <c r="CC40" s="26">
        <f t="shared" si="110"/>
        <v>1513222.5033566596</v>
      </c>
      <c r="CD40" s="26">
        <f t="shared" si="95"/>
        <v>1.2743180119443989</v>
      </c>
      <c r="CE40" s="26">
        <f t="shared" si="70"/>
        <v>1.0306839727653681</v>
      </c>
      <c r="CF40" s="26">
        <f t="shared" si="96"/>
        <v>1481336.8469721782</v>
      </c>
      <c r="CG40" s="26">
        <f t="shared" si="97"/>
        <v>1.1904570095980687</v>
      </c>
      <c r="CH40" s="26">
        <f t="shared" si="71"/>
        <v>1.0648243406393356</v>
      </c>
      <c r="CI40" s="26">
        <f t="shared" si="98"/>
        <v>1341632.7543097129</v>
      </c>
      <c r="CJ40" s="26">
        <f t="shared" si="99"/>
        <v>1.3584056401225142</v>
      </c>
      <c r="CK40" s="26">
        <f t="shared" si="72"/>
        <v>1.1133211108398284</v>
      </c>
      <c r="CL40" s="26">
        <f t="shared" si="100"/>
        <v>1559698.5175019752</v>
      </c>
      <c r="CM40" s="26">
        <f t="shared" si="101"/>
        <v>1.3560688462332409</v>
      </c>
      <c r="CN40" s="26">
        <f t="shared" si="73"/>
        <v>1.0901967453171819</v>
      </c>
      <c r="CO40" s="26">
        <f t="shared" si="102"/>
        <v>1578745.5313692659</v>
      </c>
      <c r="CP40" s="26">
        <f t="shared" si="67"/>
        <v>-2.7802147531181376E-2</v>
      </c>
      <c r="CQ40" s="26">
        <f t="shared" si="103"/>
        <v>1.2961066374803369</v>
      </c>
      <c r="CR40" s="26">
        <f t="shared" si="74"/>
        <v>1.1335578537136999</v>
      </c>
      <c r="CS40" s="26">
        <f t="shared" si="104"/>
        <v>1488349.8161119234</v>
      </c>
      <c r="CT40" s="26">
        <f t="shared" si="105"/>
        <v>1189496.8374681824</v>
      </c>
      <c r="CU40" s="26">
        <f t="shared" si="106"/>
        <v>1.4305798131437057</v>
      </c>
      <c r="CV40" s="26">
        <f t="shared" si="75"/>
        <v>1.1526373194846491</v>
      </c>
      <c r="CW40" s="26">
        <f t="shared" si="107"/>
        <v>1676430.3104670753</v>
      </c>
      <c r="CX40" s="26">
        <f t="shared" si="108"/>
        <v>1.3589182825330446</v>
      </c>
      <c r="CY40" s="26">
        <f t="shared" ref="CY40:CY64" si="113">AVERAGE(CX35:CX44)</f>
        <v>1.1047242296302744</v>
      </c>
      <c r="CZ40" s="26">
        <f t="shared" si="68"/>
        <v>1612112.1693675986</v>
      </c>
      <c r="DA40" s="50">
        <v>1959</v>
      </c>
      <c r="DB40" s="50">
        <v>1.0450557019033822</v>
      </c>
      <c r="DC40" s="50">
        <v>-0.25953401138705479</v>
      </c>
      <c r="DD40" s="50">
        <v>-0.52686915122378275</v>
      </c>
      <c r="DE40" s="26">
        <f t="shared" si="86"/>
        <v>-0.38770810361652336</v>
      </c>
      <c r="DN40" s="50">
        <v>6</v>
      </c>
      <c r="DO40" s="50">
        <v>1.1698881208156362</v>
      </c>
      <c r="DP40" s="50">
        <v>1.327744674213222</v>
      </c>
      <c r="DQ40" s="50">
        <v>3.1410975555990603</v>
      </c>
      <c r="DR40" s="26">
        <f t="shared" si="111"/>
        <v>0.4147850898921332</v>
      </c>
      <c r="DZ40" s="50">
        <v>7</v>
      </c>
      <c r="EA40" s="50">
        <v>0.95735209366918905</v>
      </c>
      <c r="EB40" s="50">
        <v>0.19472006577389323</v>
      </c>
      <c r="EC40" s="50">
        <v>0.44062291958049682</v>
      </c>
      <c r="ED40" s="26">
        <f t="shared" si="109"/>
        <v>0.15246308131004671</v>
      </c>
      <c r="EJ40" s="50">
        <v>9</v>
      </c>
      <c r="EK40" s="50">
        <v>1.2477291790983289</v>
      </c>
      <c r="EL40" s="50">
        <v>-0.46220748858200156</v>
      </c>
      <c r="EM40" s="50">
        <v>-1.05957049083235</v>
      </c>
      <c r="EN40" s="26">
        <f t="shared" si="87"/>
        <v>-0.96131877240637553</v>
      </c>
      <c r="EU40" s="50">
        <v>9</v>
      </c>
      <c r="EV40" s="50">
        <v>1.1939699868186786</v>
      </c>
      <c r="EW40" s="50">
        <v>-0.40844829630235124</v>
      </c>
      <c r="EX40" s="50">
        <v>-0.94527841952918923</v>
      </c>
      <c r="EY40" s="26">
        <f t="shared" si="88"/>
        <v>-0.79693462306040408</v>
      </c>
      <c r="FF40" s="50">
        <v>8</v>
      </c>
      <c r="FG40" s="50">
        <v>1.0221415528691695</v>
      </c>
      <c r="FH40" s="50">
        <v>5.2468980605227866E-2</v>
      </c>
      <c r="FI40" s="50">
        <v>0.12423112869913064</v>
      </c>
      <c r="FJ40" s="26">
        <f t="shared" si="91"/>
        <v>-0.74095524040550809</v>
      </c>
      <c r="FP40" s="50">
        <v>8</v>
      </c>
      <c r="FQ40" s="50">
        <v>1.0172865470207193</v>
      </c>
      <c r="FR40" s="50">
        <v>5.7323986453678089E-2</v>
      </c>
      <c r="FS40" s="50">
        <v>0.13872905393839829</v>
      </c>
      <c r="FT40" s="26">
        <f t="shared" si="92"/>
        <v>-0.75149492345725333</v>
      </c>
      <c r="FZ40" s="50">
        <v>9</v>
      </c>
      <c r="GA40" s="50">
        <v>1.196835997426615</v>
      </c>
      <c r="GB40" s="50">
        <v>-0.41131430691028759</v>
      </c>
      <c r="GC40" s="50">
        <v>-0.96472790643223061</v>
      </c>
      <c r="GD40" s="26">
        <f t="shared" si="89"/>
        <v>-0.84073573286443104</v>
      </c>
      <c r="GJ40" s="50">
        <v>7</v>
      </c>
      <c r="GK40" s="50">
        <v>0.90107091700803854</v>
      </c>
      <c r="GL40" s="50">
        <v>0.25100124243504374</v>
      </c>
      <c r="GM40" s="50">
        <v>0.61313435446128461</v>
      </c>
      <c r="GT40" s="46">
        <v>8</v>
      </c>
      <c r="GU40" s="46">
        <v>0.96119449164228654</v>
      </c>
      <c r="GV40" s="46">
        <v>0.11341604183211085</v>
      </c>
      <c r="GW40" s="46">
        <v>0.27998560310354442</v>
      </c>
      <c r="GX40"/>
      <c r="GY40"/>
      <c r="GZ40"/>
      <c r="HA40"/>
      <c r="HB40"/>
      <c r="HD40" s="46">
        <v>8</v>
      </c>
      <c r="HE40" s="46">
        <v>1.0270269614269774</v>
      </c>
      <c r="HF40" s="46">
        <v>0.47285018876360008</v>
      </c>
      <c r="HG40" s="46">
        <v>1.4143204575158381</v>
      </c>
      <c r="HH40"/>
      <c r="HI40"/>
      <c r="HJ40"/>
      <c r="HK40"/>
      <c r="HL40"/>
    </row>
    <row r="41" spans="1:220" s="26" customFormat="1" ht="12.75" customHeight="1" x14ac:dyDescent="0.35">
      <c r="A41" s="26" t="s">
        <v>52</v>
      </c>
      <c r="B41" s="26">
        <v>1989</v>
      </c>
      <c r="C41" s="26">
        <f>'Orig data'!G43</f>
        <v>739647</v>
      </c>
      <c r="D41" s="26">
        <f>'Orig data'!Q43</f>
        <v>1094661</v>
      </c>
      <c r="E41" s="26">
        <f>'Orig data'!W43</f>
        <v>1593610.9601886882</v>
      </c>
      <c r="F41" s="26">
        <f t="shared" si="25"/>
        <v>739.64700000000005</v>
      </c>
      <c r="G41" s="26">
        <f t="shared" si="26"/>
        <v>1593.6109601886883</v>
      </c>
      <c r="H41" s="26">
        <f t="shared" si="27"/>
        <v>0.76758471907752701</v>
      </c>
      <c r="I41" s="26">
        <f t="shared" si="28"/>
        <v>355014</v>
      </c>
      <c r="J41" s="26">
        <f t="shared" si="29"/>
        <v>0.32431410272221262</v>
      </c>
      <c r="K41" s="26">
        <f t="shared" si="30"/>
        <v>1989</v>
      </c>
      <c r="L41" s="26">
        <f>covariates!R49</f>
        <v>739647</v>
      </c>
      <c r="M41" s="26">
        <f t="shared" si="31"/>
        <v>-0.48915912005853013</v>
      </c>
      <c r="N41" s="26">
        <f t="shared" si="32"/>
        <v>-0.52529507148126953</v>
      </c>
      <c r="O41" s="26">
        <f t="shared" si="33"/>
        <v>8.7607802423182862E-2</v>
      </c>
      <c r="P41" s="26">
        <f t="shared" si="34"/>
        <v>739647</v>
      </c>
      <c r="Q41" s="26">
        <f t="shared" si="35"/>
        <v>-0.34058524404230983</v>
      </c>
      <c r="R41" s="26">
        <f t="shared" si="36"/>
        <v>-0.52529507148126953</v>
      </c>
      <c r="S41" s="26">
        <f t="shared" si="37"/>
        <v>8.7607802423182862E-2</v>
      </c>
      <c r="T41" s="26">
        <f t="shared" si="38"/>
        <v>739647</v>
      </c>
      <c r="U41" s="26">
        <f t="shared" si="39"/>
        <v>0.80436300187548815</v>
      </c>
      <c r="V41" s="26">
        <f t="shared" si="40"/>
        <v>8.7607802423182862E-2</v>
      </c>
      <c r="W41" s="26">
        <f t="shared" si="41"/>
        <v>-0.48915912005853013</v>
      </c>
      <c r="X41" s="26">
        <f t="shared" si="42"/>
        <v>739647</v>
      </c>
      <c r="Y41" s="26">
        <f t="shared" si="43"/>
        <v>0.81918169168713972</v>
      </c>
      <c r="Z41" s="105">
        <f t="shared" si="44"/>
        <v>8.7607802423182862E-2</v>
      </c>
      <c r="AA41" s="105">
        <f t="shared" si="45"/>
        <v>-0.48915912005853013</v>
      </c>
      <c r="AB41" s="105">
        <f t="shared" si="46"/>
        <v>739647</v>
      </c>
      <c r="AC41" s="159">
        <f t="shared" si="47"/>
        <v>0.80539560488772288</v>
      </c>
      <c r="AD41" s="105">
        <f t="shared" si="48"/>
        <v>8.7607802423182862E-2</v>
      </c>
      <c r="AE41" s="105">
        <f t="shared" si="49"/>
        <v>-0.48915912005853013</v>
      </c>
      <c r="AF41" s="105">
        <f t="shared" si="50"/>
        <v>739647</v>
      </c>
      <c r="AG41" s="105">
        <f>covariates!X49</f>
        <v>0.80539560488772288</v>
      </c>
      <c r="AH41" s="105">
        <f t="shared" si="51"/>
        <v>8.7607802423182862E-2</v>
      </c>
      <c r="AI41" s="159">
        <f t="shared" si="52"/>
        <v>-0.52529507148126953</v>
      </c>
      <c r="AJ41" s="105">
        <f t="shared" si="53"/>
        <v>-0.48915912005853013</v>
      </c>
      <c r="AK41" s="105"/>
      <c r="AL41" s="105"/>
      <c r="AM41" s="105"/>
      <c r="AN41" s="105"/>
      <c r="AO41" s="105"/>
      <c r="AP41" s="105">
        <f t="shared" si="54"/>
        <v>739647</v>
      </c>
      <c r="AQ41" s="105">
        <f>covariates!T49</f>
        <v>0.81918169168713972</v>
      </c>
      <c r="AR41" s="105">
        <f t="shared" si="55"/>
        <v>8.7607802423182862E-2</v>
      </c>
      <c r="AS41" s="105">
        <f t="shared" si="56"/>
        <v>-0.52529507148126953</v>
      </c>
      <c r="AT41" s="26">
        <f t="shared" si="57"/>
        <v>-0.48915912005853013</v>
      </c>
      <c r="AU41" s="26">
        <f t="shared" si="58"/>
        <v>739647</v>
      </c>
      <c r="AV41" s="26">
        <f t="shared" si="59"/>
        <v>0.80539560488772288</v>
      </c>
      <c r="AW41" s="26">
        <f t="shared" si="60"/>
        <v>8.7607802423182862E-2</v>
      </c>
      <c r="AX41" s="26">
        <f t="shared" si="61"/>
        <v>-0.52529507148126953</v>
      </c>
      <c r="AY41" s="26">
        <f t="shared" si="62"/>
        <v>-0.48915912005853013</v>
      </c>
      <c r="AZ41" s="26">
        <f t="shared" si="63"/>
        <v>-0.34058524404230983</v>
      </c>
      <c r="BA41" s="61">
        <v>1989</v>
      </c>
      <c r="BB41" s="164">
        <f t="shared" si="4"/>
        <v>739647</v>
      </c>
      <c r="BC41" s="105">
        <f t="shared" si="5"/>
        <v>0.80539560488772288</v>
      </c>
      <c r="BD41" s="105">
        <f t="shared" si="6"/>
        <v>8.7607802423182862E-2</v>
      </c>
      <c r="BE41" s="105">
        <f t="shared" si="7"/>
        <v>-0.52529507148126953</v>
      </c>
      <c r="BF41" s="105">
        <f t="shared" si="8"/>
        <v>-0.48915912005853013</v>
      </c>
      <c r="BG41">
        <v>244</v>
      </c>
      <c r="BH41" s="61">
        <f t="shared" si="78"/>
        <v>1989</v>
      </c>
      <c r="BI41" s="61">
        <f t="shared" si="79"/>
        <v>739647</v>
      </c>
      <c r="BJ41" s="26">
        <f t="shared" si="80"/>
        <v>0.80539560488772288</v>
      </c>
      <c r="BK41" s="26">
        <f t="shared" si="81"/>
        <v>8.7607802423182862E-2</v>
      </c>
      <c r="BL41" s="26">
        <f t="shared" si="82"/>
        <v>-0.52529507148126953</v>
      </c>
      <c r="BM41" s="26">
        <f t="shared" si="83"/>
        <v>-0.48915912005853013</v>
      </c>
      <c r="BN41" s="61">
        <f t="shared" si="84"/>
        <v>244</v>
      </c>
      <c r="BO41" s="26">
        <f t="shared" si="85"/>
        <v>0.76758471907752701</v>
      </c>
      <c r="BR41" s="26">
        <f>covariates!V49</f>
        <v>-0.48915912005853013</v>
      </c>
      <c r="BS41" s="26">
        <f>covariates!W49</f>
        <v>0.80436300187548815</v>
      </c>
      <c r="BT41" s="26">
        <f>covariates!Y49</f>
        <v>-0.52529507148126953</v>
      </c>
      <c r="BU41" s="26">
        <f>covariates!U49</f>
        <v>8.7607802423182862E-2</v>
      </c>
      <c r="BV41" s="26">
        <f>covariates!AA49</f>
        <v>-0.34058524404230983</v>
      </c>
      <c r="BW41" s="26">
        <f t="shared" si="90"/>
        <v>0.76758471907752701</v>
      </c>
      <c r="BX41" s="26">
        <f t="shared" si="76"/>
        <v>-0.76945436806962253</v>
      </c>
      <c r="BY41" s="26">
        <f t="shared" si="112"/>
        <v>-0.76057812645171086</v>
      </c>
      <c r="BZ41" s="26">
        <f t="shared" si="93"/>
        <v>1989</v>
      </c>
      <c r="CA41" s="26">
        <f t="shared" si="94"/>
        <v>1.2381717350531913</v>
      </c>
      <c r="CB41" s="26">
        <f t="shared" si="70"/>
        <v>1.0736372789812709</v>
      </c>
      <c r="CC41" s="26">
        <f t="shared" si="110"/>
        <v>1744719.4619672506</v>
      </c>
      <c r="CD41" s="26">
        <f t="shared" si="95"/>
        <v>1.1571049609036839</v>
      </c>
      <c r="CE41" s="26">
        <f t="shared" si="70"/>
        <v>0.99838825660234942</v>
      </c>
      <c r="CF41" s="26">
        <f t="shared" si="96"/>
        <v>1672936.8181233082</v>
      </c>
      <c r="CG41" s="26">
        <f t="shared" si="97"/>
        <v>1.0791291350578089</v>
      </c>
      <c r="CH41" s="26">
        <f t="shared" si="71"/>
        <v>1.0387584994463865</v>
      </c>
      <c r="CI41" s="26">
        <f t="shared" si="98"/>
        <v>1514878.9376366062</v>
      </c>
      <c r="CJ41" s="26">
        <f t="shared" si="99"/>
        <v>1.2831838314466883</v>
      </c>
      <c r="CK41" s="26">
        <f t="shared" si="72"/>
        <v>1.0944142168379192</v>
      </c>
      <c r="CL41" s="26">
        <f t="shared" si="100"/>
        <v>1813241.6417087172</v>
      </c>
      <c r="CM41" s="26">
        <f t="shared" si="101"/>
        <v>1.2865761692472459</v>
      </c>
      <c r="CN41" s="26">
        <f t="shared" si="73"/>
        <v>1.076926262275925</v>
      </c>
      <c r="CO41" s="26">
        <f t="shared" si="102"/>
        <v>1856638.5436448306</v>
      </c>
      <c r="CP41" s="26">
        <f t="shared" si="67"/>
        <v>-0.15276513265391145</v>
      </c>
      <c r="CQ41" s="26">
        <f t="shared" si="103"/>
        <v>1.2299759451669949</v>
      </c>
      <c r="CR41" s="26">
        <f t="shared" si="74"/>
        <v>1.1113328994584439</v>
      </c>
      <c r="CS41" s="26">
        <f t="shared" si="104"/>
        <v>1756927.4310409494</v>
      </c>
      <c r="CT41" s="26">
        <f t="shared" si="105"/>
        <v>1460086.5279103669</v>
      </c>
      <c r="CU41" s="26">
        <f t="shared" si="106"/>
        <v>1.34943133729225</v>
      </c>
      <c r="CV41" s="26">
        <f t="shared" si="75"/>
        <v>1.144695036794352</v>
      </c>
      <c r="CW41" s="26">
        <f t="shared" si="107"/>
        <v>1937432.6329153711</v>
      </c>
      <c r="CX41" s="26">
        <f t="shared" si="108"/>
        <v>1.2533466924046446</v>
      </c>
      <c r="CY41" s="26">
        <f t="shared" si="113"/>
        <v>1.0892029609700522</v>
      </c>
      <c r="CZ41" s="26">
        <f t="shared" si="68"/>
        <v>1841945.5684935413</v>
      </c>
      <c r="DA41" s="50">
        <v>1960</v>
      </c>
      <c r="DB41" s="50">
        <v>1.0497273914914886</v>
      </c>
      <c r="DC41" s="50">
        <v>-0.19098373693950688</v>
      </c>
      <c r="DD41" s="50">
        <v>-0.38770810361652336</v>
      </c>
      <c r="DE41" s="26">
        <f t="shared" si="86"/>
        <v>-0.61295984021738348</v>
      </c>
      <c r="DN41" s="50">
        <v>7</v>
      </c>
      <c r="DO41" s="50">
        <v>0.97674214046113472</v>
      </c>
      <c r="DP41" s="50">
        <v>0.17533001898194756</v>
      </c>
      <c r="DQ41" s="50">
        <v>0.4147850898921332</v>
      </c>
      <c r="DR41" s="26">
        <f t="shared" si="111"/>
        <v>0.10585648883326097</v>
      </c>
      <c r="DZ41" s="50">
        <v>8</v>
      </c>
      <c r="EA41" s="50">
        <v>1.0072340537192195</v>
      </c>
      <c r="EB41" s="50">
        <v>6.7376479755177909E-2</v>
      </c>
      <c r="EC41" s="50">
        <v>0.15246308131004671</v>
      </c>
      <c r="ED41" s="26">
        <f t="shared" si="109"/>
        <v>-0.69835338003164915</v>
      </c>
      <c r="EJ41" s="50">
        <v>10</v>
      </c>
      <c r="EK41" s="50">
        <v>1.2780916256073471</v>
      </c>
      <c r="EL41" s="50">
        <v>-0.41934797105536536</v>
      </c>
      <c r="EM41" s="50">
        <v>-0.96131877240637553</v>
      </c>
      <c r="EN41" s="26">
        <f t="shared" si="87"/>
        <v>-0.86596437067778598</v>
      </c>
      <c r="EU41" s="50">
        <v>10</v>
      </c>
      <c r="EV41" s="50">
        <v>1.2030936178310569</v>
      </c>
      <c r="EW41" s="50">
        <v>-0.34434996327907519</v>
      </c>
      <c r="EX41" s="50">
        <v>-0.79693462306040408</v>
      </c>
      <c r="EY41" s="26">
        <f t="shared" si="88"/>
        <v>-0.91198988430957539</v>
      </c>
      <c r="FF41" s="50">
        <v>9</v>
      </c>
      <c r="FG41" s="50">
        <v>1.0984639180021074</v>
      </c>
      <c r="FH41" s="50">
        <v>-0.31294222748578004</v>
      </c>
      <c r="FI41" s="50">
        <v>-0.74095524040550809</v>
      </c>
      <c r="FJ41" s="26">
        <f t="shared" si="91"/>
        <v>-0.87575903255657539</v>
      </c>
      <c r="FP41" s="50">
        <v>9</v>
      </c>
      <c r="FQ41" s="50">
        <v>1.0960455756673084</v>
      </c>
      <c r="FR41" s="50">
        <v>-0.31052388515098106</v>
      </c>
      <c r="FS41" s="50">
        <v>-0.75149492345725333</v>
      </c>
      <c r="FT41" s="26">
        <f t="shared" si="92"/>
        <v>-0.69813801717935586</v>
      </c>
      <c r="FZ41" s="50">
        <v>10</v>
      </c>
      <c r="GA41" s="50">
        <v>1.2171935687217841</v>
      </c>
      <c r="GB41" s="50">
        <v>-0.35844991416980232</v>
      </c>
      <c r="GC41" s="50">
        <v>-0.84073573286443104</v>
      </c>
      <c r="GD41" s="26">
        <f t="shared" si="89"/>
        <v>-0.80956598533071378</v>
      </c>
      <c r="GJ41" s="50">
        <v>8</v>
      </c>
      <c r="GK41" s="50">
        <v>1.0261501372816504</v>
      </c>
      <c r="GL41" s="50">
        <v>4.8460396192747002E-2</v>
      </c>
      <c r="GM41" s="50">
        <v>0.11837683928703001</v>
      </c>
      <c r="GT41" s="46">
        <v>9</v>
      </c>
      <c r="GU41" s="46">
        <v>1.0548042875106733</v>
      </c>
      <c r="GV41" s="46">
        <v>-0.26928259699434598</v>
      </c>
      <c r="GW41" s="46">
        <v>-0.66476707445281724</v>
      </c>
      <c r="GX41"/>
      <c r="GY41"/>
      <c r="GZ41"/>
      <c r="HA41"/>
      <c r="HB41"/>
      <c r="HD41" s="46">
        <v>9</v>
      </c>
      <c r="HE41" s="46">
        <v>0.7929289649887048</v>
      </c>
      <c r="HF41" s="46">
        <v>-0.19925154590868166</v>
      </c>
      <c r="HG41" s="46">
        <v>-0.59597213719458286</v>
      </c>
      <c r="HH41"/>
      <c r="HI41"/>
      <c r="HJ41"/>
      <c r="HK41"/>
      <c r="HL41"/>
    </row>
    <row r="42" spans="1:220" s="26" customFormat="1" ht="12.75" customHeight="1" x14ac:dyDescent="0.35">
      <c r="A42" s="26" t="s">
        <v>52</v>
      </c>
      <c r="B42" s="26">
        <v>1990</v>
      </c>
      <c r="C42" s="26">
        <f>'Orig data'!G44</f>
        <v>861972</v>
      </c>
      <c r="D42" s="26">
        <f>'Orig data'!Q44</f>
        <v>1594885</v>
      </c>
      <c r="E42" s="26">
        <f>'Orig data'!W44</f>
        <v>2146403.1629478713</v>
      </c>
      <c r="F42" s="26">
        <f t="shared" si="25"/>
        <v>861.97199999999998</v>
      </c>
      <c r="G42" s="26">
        <f t="shared" si="26"/>
        <v>2146.4031629478714</v>
      </c>
      <c r="H42" s="26">
        <f t="shared" si="27"/>
        <v>0.91232598517879238</v>
      </c>
      <c r="I42" s="26">
        <f t="shared" si="28"/>
        <v>732913</v>
      </c>
      <c r="J42" s="26">
        <f t="shared" si="29"/>
        <v>0.45953971602968241</v>
      </c>
      <c r="K42" s="26">
        <f t="shared" si="30"/>
        <v>1990</v>
      </c>
      <c r="L42" s="26">
        <f>covariates!R50</f>
        <v>861972</v>
      </c>
      <c r="M42" s="26">
        <f t="shared" si="31"/>
        <v>-0.53437066183625082</v>
      </c>
      <c r="N42" s="26">
        <f t="shared" si="32"/>
        <v>-1.4188917944111041</v>
      </c>
      <c r="O42" s="26">
        <f t="shared" si="33"/>
        <v>-0.85136813124068367</v>
      </c>
      <c r="P42" s="26">
        <f t="shared" si="34"/>
        <v>861972</v>
      </c>
      <c r="Q42" s="26">
        <f t="shared" si="35"/>
        <v>-5.6335173910402559E-3</v>
      </c>
      <c r="R42" s="26">
        <f t="shared" si="36"/>
        <v>-1.4188917944111041</v>
      </c>
      <c r="S42" s="26">
        <f t="shared" si="37"/>
        <v>-0.85136813124068367</v>
      </c>
      <c r="T42" s="26">
        <f t="shared" si="38"/>
        <v>861972</v>
      </c>
      <c r="U42" s="26">
        <f t="shared" si="39"/>
        <v>0.50588323973722782</v>
      </c>
      <c r="V42" s="26">
        <f t="shared" si="40"/>
        <v>-0.85136813124068367</v>
      </c>
      <c r="W42" s="26">
        <f t="shared" si="41"/>
        <v>-0.53437066183625082</v>
      </c>
      <c r="X42" s="26">
        <f t="shared" si="42"/>
        <v>861972</v>
      </c>
      <c r="Y42" s="26">
        <f t="shared" si="43"/>
        <v>0.37539064784644011</v>
      </c>
      <c r="Z42" s="105">
        <f t="shared" si="44"/>
        <v>-0.85136813124068367</v>
      </c>
      <c r="AA42" s="105">
        <f t="shared" si="45"/>
        <v>-0.53437066183625082</v>
      </c>
      <c r="AB42" s="105">
        <f t="shared" si="46"/>
        <v>861972</v>
      </c>
      <c r="AC42" s="159">
        <f t="shared" si="47"/>
        <v>-0.34015402475930545</v>
      </c>
      <c r="AD42" s="105">
        <f t="shared" si="48"/>
        <v>-0.85136813124068367</v>
      </c>
      <c r="AE42" s="105">
        <f t="shared" si="49"/>
        <v>-0.53437066183625082</v>
      </c>
      <c r="AF42" s="105">
        <f t="shared" si="50"/>
        <v>861972</v>
      </c>
      <c r="AG42" s="105">
        <f>covariates!X50</f>
        <v>-0.34015402475930545</v>
      </c>
      <c r="AH42" s="105">
        <f t="shared" si="51"/>
        <v>-0.85136813124068367</v>
      </c>
      <c r="AI42" s="159">
        <f t="shared" si="52"/>
        <v>-1.4188917944111041</v>
      </c>
      <c r="AJ42" s="105">
        <f t="shared" si="53"/>
        <v>-0.53437066183625082</v>
      </c>
      <c r="AK42" s="105"/>
      <c r="AL42" s="105"/>
      <c r="AM42" s="105"/>
      <c r="AN42" s="105"/>
      <c r="AO42" s="105"/>
      <c r="AP42" s="105">
        <f t="shared" si="54"/>
        <v>861972</v>
      </c>
      <c r="AQ42" s="105">
        <f>covariates!T50</f>
        <v>0.37539064784644011</v>
      </c>
      <c r="AR42" s="105">
        <f t="shared" si="55"/>
        <v>-0.85136813124068367</v>
      </c>
      <c r="AS42" s="105">
        <f t="shared" si="56"/>
        <v>-1.4188917944111041</v>
      </c>
      <c r="AT42" s="26">
        <f t="shared" si="57"/>
        <v>-0.53437066183625082</v>
      </c>
      <c r="AU42" s="26">
        <f t="shared" si="58"/>
        <v>861972</v>
      </c>
      <c r="AV42" s="26">
        <f t="shared" si="59"/>
        <v>-0.34015402475930545</v>
      </c>
      <c r="AW42" s="26">
        <f t="shared" si="60"/>
        <v>-0.85136813124068367</v>
      </c>
      <c r="AX42" s="26">
        <f t="shared" si="61"/>
        <v>-1.4188917944111041</v>
      </c>
      <c r="AY42" s="26">
        <f t="shared" si="62"/>
        <v>-0.53437066183625082</v>
      </c>
      <c r="AZ42" s="26">
        <f t="shared" si="63"/>
        <v>-5.6335173910402559E-3</v>
      </c>
      <c r="BA42" s="61">
        <v>1990</v>
      </c>
      <c r="BB42" s="164">
        <f t="shared" si="4"/>
        <v>861972</v>
      </c>
      <c r="BC42" s="105">
        <f t="shared" si="5"/>
        <v>-0.34015402475930545</v>
      </c>
      <c r="BD42" s="105">
        <f t="shared" si="6"/>
        <v>-0.85136813124068367</v>
      </c>
      <c r="BE42" s="105">
        <f t="shared" si="7"/>
        <v>-1.4188917944111041</v>
      </c>
      <c r="BF42" s="105">
        <f t="shared" si="8"/>
        <v>-0.53437066183625082</v>
      </c>
      <c r="BG42">
        <v>255</v>
      </c>
      <c r="BH42" s="61">
        <f t="shared" si="78"/>
        <v>1990</v>
      </c>
      <c r="BI42" s="61">
        <f t="shared" si="79"/>
        <v>861972</v>
      </c>
      <c r="BJ42" s="26">
        <f t="shared" si="80"/>
        <v>-0.34015402475930545</v>
      </c>
      <c r="BK42" s="26">
        <f t="shared" si="81"/>
        <v>-0.85136813124068367</v>
      </c>
      <c r="BL42" s="26">
        <f t="shared" si="82"/>
        <v>-1.4188917944111041</v>
      </c>
      <c r="BM42" s="26">
        <f t="shared" si="83"/>
        <v>-0.53437066183625082</v>
      </c>
      <c r="BN42" s="61">
        <f t="shared" si="84"/>
        <v>255</v>
      </c>
      <c r="BO42" s="26">
        <f t="shared" si="85"/>
        <v>0.91232598517879238</v>
      </c>
      <c r="BR42" s="26">
        <f>covariates!V50</f>
        <v>-0.53437066183625082</v>
      </c>
      <c r="BS42" s="26">
        <f>covariates!W50</f>
        <v>0.50588323973722782</v>
      </c>
      <c r="BT42" s="26">
        <f>covariates!Y50</f>
        <v>-1.4188917944111041</v>
      </c>
      <c r="BU42" s="26">
        <f>covariates!U50</f>
        <v>-0.85136813124068367</v>
      </c>
      <c r="BV42" s="26">
        <f>covariates!AA50</f>
        <v>-5.6335173910402559E-3</v>
      </c>
      <c r="BW42" s="26">
        <f t="shared" si="90"/>
        <v>0.91232598517879238</v>
      </c>
      <c r="BX42" s="26">
        <f t="shared" si="76"/>
        <v>-0.76945436806962253</v>
      </c>
      <c r="BY42" s="26">
        <f t="shared" si="112"/>
        <v>-0.76057812645171086</v>
      </c>
      <c r="BZ42" s="26">
        <f t="shared" si="93"/>
        <v>1990</v>
      </c>
      <c r="CA42" s="26">
        <f t="shared" si="94"/>
        <v>1.2415700136763479</v>
      </c>
      <c r="CB42" s="26">
        <f t="shared" si="70"/>
        <v>1.0646376406932125</v>
      </c>
      <c r="CC42" s="26">
        <f t="shared" si="110"/>
        <v>1915918.1973299657</v>
      </c>
      <c r="CD42" s="26">
        <f t="shared" si="95"/>
        <v>1.0636281473382088</v>
      </c>
      <c r="CE42" s="26">
        <f t="shared" si="70"/>
        <v>0.97618373550736826</v>
      </c>
      <c r="CF42" s="26">
        <f t="shared" si="96"/>
        <v>1678276.8457884095</v>
      </c>
      <c r="CG42" s="26">
        <f t="shared" si="97"/>
        <v>1.0301316009851256</v>
      </c>
      <c r="CH42" s="26">
        <f t="shared" si="71"/>
        <v>1.0102156049656315</v>
      </c>
      <c r="CI42" s="26">
        <f t="shared" si="98"/>
        <v>1583257.0518116106</v>
      </c>
      <c r="CJ42" s="26">
        <f t="shared" si="99"/>
        <v>1.282911673313327</v>
      </c>
      <c r="CK42" s="26">
        <f t="shared" si="72"/>
        <v>1.0892115062486702</v>
      </c>
      <c r="CL42" s="26">
        <f t="shared" si="100"/>
        <v>1981740.8922708137</v>
      </c>
      <c r="CM42" s="26">
        <f t="shared" si="101"/>
        <v>1.1885599058057519</v>
      </c>
      <c r="CN42" s="26">
        <f t="shared" si="73"/>
        <v>1.0671722907532104</v>
      </c>
      <c r="CO42" s="26">
        <f t="shared" si="102"/>
        <v>1846392.0829323863</v>
      </c>
      <c r="CP42" s="26">
        <f t="shared" si="67"/>
        <v>0.15055998425163075</v>
      </c>
      <c r="CQ42" s="26">
        <f t="shared" si="103"/>
        <v>1.0244637989529404</v>
      </c>
      <c r="CR42" s="26">
        <f t="shared" si="74"/>
        <v>1.0866072192978913</v>
      </c>
      <c r="CS42" s="26">
        <f t="shared" si="104"/>
        <v>1569516.9602364707</v>
      </c>
      <c r="CT42" s="26">
        <f t="shared" si="105"/>
        <v>1577013.1009133018</v>
      </c>
      <c r="CU42" s="26">
        <f t="shared" si="106"/>
        <v>1.2412765535719537</v>
      </c>
      <c r="CV42" s="26">
        <f t="shared" si="75"/>
        <v>1.1420348264523068</v>
      </c>
      <c r="CW42" s="26">
        <f t="shared" si="107"/>
        <v>1900924.9379793289</v>
      </c>
      <c r="CX42" s="26">
        <f t="shared" si="108"/>
        <v>1.2366243560989325</v>
      </c>
      <c r="CY42" s="26">
        <f t="shared" si="113"/>
        <v>1.0863372601884254</v>
      </c>
      <c r="CZ42" s="26">
        <f t="shared" si="68"/>
        <v>1995238.8924627875</v>
      </c>
      <c r="DA42" s="50">
        <v>1961</v>
      </c>
      <c r="DB42" s="50">
        <v>1.0751190621418216</v>
      </c>
      <c r="DC42" s="50">
        <v>-0.30194200169297114</v>
      </c>
      <c r="DD42" s="50">
        <v>-0.61295984021738348</v>
      </c>
      <c r="DE42" s="26">
        <f t="shared" si="86"/>
        <v>2.9606396202745092E-2</v>
      </c>
      <c r="DN42" s="50">
        <v>8</v>
      </c>
      <c r="DO42" s="50">
        <v>1.0298649033908172</v>
      </c>
      <c r="DP42" s="50">
        <v>4.4745630083580235E-2</v>
      </c>
      <c r="DQ42" s="50">
        <v>0.10585648883326097</v>
      </c>
      <c r="DR42" s="26">
        <f t="shared" si="111"/>
        <v>-0.76096517639862082</v>
      </c>
      <c r="DZ42" s="50">
        <v>9</v>
      </c>
      <c r="EA42" s="50">
        <v>1.0941379926883725</v>
      </c>
      <c r="EB42" s="50">
        <v>-0.30861630217204516</v>
      </c>
      <c r="EC42" s="50">
        <v>-0.69835338003164915</v>
      </c>
      <c r="ED42" s="26">
        <f t="shared" si="109"/>
        <v>-0.76464111023918568</v>
      </c>
      <c r="EJ42" s="50">
        <v>11</v>
      </c>
      <c r="EK42" s="50">
        <v>1.1509293859765752</v>
      </c>
      <c r="EL42" s="50">
        <v>-0.37775232552772475</v>
      </c>
      <c r="EM42" s="50">
        <v>-0.86596437067778598</v>
      </c>
      <c r="EN42" s="26">
        <f t="shared" si="87"/>
        <v>-5.6852269611535541E-2</v>
      </c>
      <c r="EU42" s="50">
        <v>11</v>
      </c>
      <c r="EV42" s="50">
        <v>1.167241609893187</v>
      </c>
      <c r="EW42" s="50">
        <v>-0.39406454944433655</v>
      </c>
      <c r="EX42" s="50">
        <v>-0.91198988430957539</v>
      </c>
      <c r="EY42" s="26">
        <f t="shared" si="88"/>
        <v>5.161925667352011E-2</v>
      </c>
      <c r="FF42" s="50">
        <v>10</v>
      </c>
      <c r="FG42" s="50">
        <v>1.2286202239370076</v>
      </c>
      <c r="FH42" s="50">
        <v>-0.36987656938502589</v>
      </c>
      <c r="FI42" s="50">
        <v>-0.87575903255657539</v>
      </c>
      <c r="FJ42" s="26">
        <f t="shared" si="91"/>
        <v>-1.2127116920458252</v>
      </c>
      <c r="FP42" s="50">
        <v>10</v>
      </c>
      <c r="FQ42" s="50">
        <v>1.1472200270453581</v>
      </c>
      <c r="FR42" s="50">
        <v>-0.28847637249337632</v>
      </c>
      <c r="FS42" s="50">
        <v>-0.69813801717935586</v>
      </c>
      <c r="FT42" s="26">
        <f t="shared" si="92"/>
        <v>-1.1160368067001489</v>
      </c>
      <c r="FZ42" s="50">
        <v>11</v>
      </c>
      <c r="GA42" s="50">
        <v>1.1183376699163428</v>
      </c>
      <c r="GB42" s="50">
        <v>-0.34516060946749227</v>
      </c>
      <c r="GC42" s="50">
        <v>-0.80956598533071378</v>
      </c>
      <c r="GD42" s="26">
        <f t="shared" si="89"/>
        <v>3.2839067937878295E-2</v>
      </c>
      <c r="GJ42" s="50">
        <v>9</v>
      </c>
      <c r="GK42" s="50">
        <v>1.0909272010160889</v>
      </c>
      <c r="GL42" s="50">
        <v>-0.3054055104997615</v>
      </c>
      <c r="GM42" s="50">
        <v>-0.74603061209009647</v>
      </c>
      <c r="GT42" s="46">
        <v>10</v>
      </c>
      <c r="GU42" s="46">
        <v>1.1342224782789447</v>
      </c>
      <c r="GV42" s="46">
        <v>-0.27547882372696297</v>
      </c>
      <c r="GW42" s="46">
        <v>-0.68006344920433759</v>
      </c>
      <c r="GX42"/>
      <c r="GY42"/>
      <c r="GZ42"/>
      <c r="HA42"/>
      <c r="HB42"/>
      <c r="HD42" s="46">
        <v>10</v>
      </c>
      <c r="HE42" s="46">
        <v>0.57308666136868824</v>
      </c>
      <c r="HF42" s="46">
        <v>2.4500749330577998E-2</v>
      </c>
      <c r="HG42" s="46">
        <v>7.3283064755268704E-2</v>
      </c>
      <c r="HH42"/>
      <c r="HI42"/>
      <c r="HJ42"/>
      <c r="HK42"/>
      <c r="HL42"/>
    </row>
    <row r="43" spans="1:220" s="26" customFormat="1" ht="12.75" customHeight="1" x14ac:dyDescent="0.35">
      <c r="A43" s="26" t="s">
        <v>55</v>
      </c>
      <c r="B43" s="26">
        <v>1991</v>
      </c>
      <c r="C43" s="26">
        <f>'Orig data'!G45</f>
        <v>1106348</v>
      </c>
      <c r="D43" s="26">
        <f>'Orig data'!Q45</f>
        <v>1454169</v>
      </c>
      <c r="E43" s="26">
        <f>'Orig data'!W45</f>
        <v>1813267.302483201</v>
      </c>
      <c r="F43" s="26">
        <f t="shared" si="25"/>
        <v>1106.348</v>
      </c>
      <c r="G43" s="26">
        <f t="shared" si="26"/>
        <v>1813.2673024832011</v>
      </c>
      <c r="H43" s="26">
        <f t="shared" si="27"/>
        <v>0.49406585647799239</v>
      </c>
      <c r="I43" s="26">
        <f t="shared" si="28"/>
        <v>347821</v>
      </c>
      <c r="J43" s="26">
        <f t="shared" si="29"/>
        <v>0.23918884256231565</v>
      </c>
      <c r="K43" s="26">
        <f t="shared" si="30"/>
        <v>1991</v>
      </c>
      <c r="L43" s="26">
        <f>covariates!R51</f>
        <v>1106348</v>
      </c>
      <c r="M43" s="26">
        <f t="shared" si="31"/>
        <v>-0.48291432726648731</v>
      </c>
      <c r="N43" s="26">
        <f t="shared" si="32"/>
        <v>0.41402055355195183</v>
      </c>
      <c r="O43" s="26">
        <f t="shared" si="33"/>
        <v>-0.28304059244413227</v>
      </c>
      <c r="P43" s="26">
        <f t="shared" si="34"/>
        <v>1106348</v>
      </c>
      <c r="Q43" s="26">
        <f t="shared" si="35"/>
        <v>-0.14702947604003369</v>
      </c>
      <c r="R43" s="26">
        <f t="shared" si="36"/>
        <v>0.41402055355195183</v>
      </c>
      <c r="S43" s="26">
        <f t="shared" si="37"/>
        <v>-0.28304059244413227</v>
      </c>
      <c r="T43" s="26">
        <f t="shared" si="38"/>
        <v>1106348</v>
      </c>
      <c r="U43" s="26">
        <f t="shared" si="39"/>
        <v>3.9662898420678334E-2</v>
      </c>
      <c r="V43" s="26">
        <f t="shared" si="40"/>
        <v>-0.28304059244413227</v>
      </c>
      <c r="W43" s="26">
        <f t="shared" si="41"/>
        <v>-0.48291432726648731</v>
      </c>
      <c r="X43" s="26">
        <f t="shared" si="42"/>
        <v>1106348</v>
      </c>
      <c r="Y43" s="26">
        <f t="shared" si="43"/>
        <v>1.5307776757765392</v>
      </c>
      <c r="Z43" s="105">
        <f t="shared" si="44"/>
        <v>-0.28304059244413227</v>
      </c>
      <c r="AA43" s="105">
        <f t="shared" si="45"/>
        <v>-0.48291432726648731</v>
      </c>
      <c r="AB43" s="105">
        <f t="shared" si="46"/>
        <v>1106348</v>
      </c>
      <c r="AC43" s="159">
        <f t="shared" si="47"/>
        <v>0.8586447486963571</v>
      </c>
      <c r="AD43" s="105">
        <f t="shared" si="48"/>
        <v>-0.28304059244413227</v>
      </c>
      <c r="AE43" s="105">
        <f t="shared" si="49"/>
        <v>-0.48291432726648731</v>
      </c>
      <c r="AF43" s="105">
        <f t="shared" si="50"/>
        <v>1106348</v>
      </c>
      <c r="AG43" s="105">
        <f>covariates!X51</f>
        <v>0.8586447486963571</v>
      </c>
      <c r="AH43" s="105">
        <f t="shared" si="51"/>
        <v>-0.28304059244413227</v>
      </c>
      <c r="AI43" s="159">
        <f t="shared" si="52"/>
        <v>0.41402055355195183</v>
      </c>
      <c r="AJ43" s="105">
        <f t="shared" si="53"/>
        <v>-0.48291432726648731</v>
      </c>
      <c r="AK43" s="105"/>
      <c r="AL43" s="105"/>
      <c r="AM43" s="105"/>
      <c r="AN43" s="105"/>
      <c r="AO43" s="105"/>
      <c r="AP43" s="105">
        <f t="shared" si="54"/>
        <v>1106348</v>
      </c>
      <c r="AQ43" s="105">
        <f>covariates!T51</f>
        <v>1.5307776757765392</v>
      </c>
      <c r="AR43" s="105">
        <f t="shared" si="55"/>
        <v>-0.28304059244413227</v>
      </c>
      <c r="AS43" s="105">
        <f t="shared" si="56"/>
        <v>0.41402055355195183</v>
      </c>
      <c r="AT43" s="26">
        <f t="shared" si="57"/>
        <v>-0.48291432726648731</v>
      </c>
      <c r="AU43" s="26">
        <f t="shared" si="58"/>
        <v>1106348</v>
      </c>
      <c r="AV43" s="26">
        <f t="shared" si="59"/>
        <v>0.8586447486963571</v>
      </c>
      <c r="AW43" s="26">
        <f t="shared" si="60"/>
        <v>-0.28304059244413227</v>
      </c>
      <c r="AX43" s="26">
        <f t="shared" si="61"/>
        <v>0.41402055355195183</v>
      </c>
      <c r="AY43" s="26">
        <f t="shared" si="62"/>
        <v>-0.48291432726648731</v>
      </c>
      <c r="AZ43" s="26">
        <f t="shared" si="63"/>
        <v>-0.14702947604003369</v>
      </c>
      <c r="BA43" s="61">
        <v>1991</v>
      </c>
      <c r="BB43" s="164">
        <f t="shared" si="4"/>
        <v>1106348</v>
      </c>
      <c r="BC43" s="105">
        <f t="shared" si="5"/>
        <v>0.8586447486963571</v>
      </c>
      <c r="BD43" s="105">
        <f t="shared" si="6"/>
        <v>-0.28304059244413227</v>
      </c>
      <c r="BE43" s="105">
        <f t="shared" si="7"/>
        <v>0.41402055355195183</v>
      </c>
      <c r="BF43" s="105">
        <f t="shared" si="8"/>
        <v>-0.48291432726648731</v>
      </c>
      <c r="BG43">
        <v>264</v>
      </c>
      <c r="BH43" s="61">
        <f t="shared" si="78"/>
        <v>1991</v>
      </c>
      <c r="BI43" s="61">
        <f t="shared" si="79"/>
        <v>1106348</v>
      </c>
      <c r="BJ43" s="26">
        <f t="shared" si="80"/>
        <v>0.8586447486963571</v>
      </c>
      <c r="BK43" s="26">
        <f t="shared" si="81"/>
        <v>-0.28304059244413227</v>
      </c>
      <c r="BL43" s="26">
        <f t="shared" si="82"/>
        <v>0.41402055355195183</v>
      </c>
      <c r="BM43" s="26">
        <f t="shared" si="83"/>
        <v>-0.48291432726648731</v>
      </c>
      <c r="BN43" s="61">
        <f t="shared" si="84"/>
        <v>264</v>
      </c>
      <c r="BO43" s="26">
        <f t="shared" si="85"/>
        <v>0.49406585647799239</v>
      </c>
      <c r="BR43" s="26">
        <f>covariates!V51</f>
        <v>-0.48291432726648731</v>
      </c>
      <c r="BS43" s="26">
        <f>covariates!W51</f>
        <v>3.9662898420678334E-2</v>
      </c>
      <c r="BT43" s="26">
        <f>covariates!Y51</f>
        <v>0.41402055355195183</v>
      </c>
      <c r="BU43" s="26">
        <f>covariates!U51</f>
        <v>-0.28304059244413227</v>
      </c>
      <c r="BV43" s="26">
        <f>covariates!AA51</f>
        <v>-0.14702947604003369</v>
      </c>
      <c r="BW43" s="26">
        <f t="shared" si="90"/>
        <v>0.49406585647799239</v>
      </c>
      <c r="BX43" s="26">
        <f t="shared" si="76"/>
        <v>-0.76945436806962253</v>
      </c>
      <c r="BY43" s="26">
        <f t="shared" si="112"/>
        <v>-0.76057812645171086</v>
      </c>
      <c r="BZ43" s="26">
        <f t="shared" si="93"/>
        <v>1991</v>
      </c>
      <c r="CA43" s="26">
        <f t="shared" si="94"/>
        <v>1.0896989510620023</v>
      </c>
      <c r="CB43" s="26">
        <f t="shared" si="70"/>
        <v>1.061907898112763</v>
      </c>
      <c r="CC43" s="26">
        <f t="shared" si="110"/>
        <v>1863346.4856871795</v>
      </c>
      <c r="CD43" s="26">
        <f t="shared" si="95"/>
        <v>0.96218268232637993</v>
      </c>
      <c r="CE43" s="26">
        <f t="shared" si="70"/>
        <v>0.96355634374783894</v>
      </c>
      <c r="CF43" s="26">
        <f t="shared" si="96"/>
        <v>1738935.9441646289</v>
      </c>
      <c r="CG43" s="26">
        <f t="shared" si="97"/>
        <v>0.98717280789183692</v>
      </c>
      <c r="CH43" s="26">
        <f t="shared" si="71"/>
        <v>0.99437876553368398</v>
      </c>
      <c r="CI43" s="26">
        <f t="shared" si="98"/>
        <v>1727109.77519939</v>
      </c>
      <c r="CJ43" s="26">
        <f t="shared" si="99"/>
        <v>1.1361550626665291</v>
      </c>
      <c r="CK43" s="26">
        <f t="shared" si="72"/>
        <v>1.0912169771642115</v>
      </c>
      <c r="CL43" s="26">
        <f t="shared" si="100"/>
        <v>1933096.3918519246</v>
      </c>
      <c r="CM43" s="26">
        <f t="shared" si="101"/>
        <v>1.1525689423123353</v>
      </c>
      <c r="CN43" s="26">
        <f t="shared" si="73"/>
        <v>1.0586803587103646</v>
      </c>
      <c r="CO43" s="26">
        <f t="shared" si="102"/>
        <v>2025547.493405551</v>
      </c>
      <c r="CP43" s="26">
        <f t="shared" si="67"/>
        <v>-0.11070967366478435</v>
      </c>
      <c r="CQ43" s="26">
        <f t="shared" si="103"/>
        <v>1.1941026291993955</v>
      </c>
      <c r="CR43" s="26">
        <f t="shared" si="74"/>
        <v>1.0771957085159778</v>
      </c>
      <c r="CS43" s="26">
        <f t="shared" si="104"/>
        <v>2115870.8535835682</v>
      </c>
      <c r="CT43" s="26">
        <f t="shared" si="105"/>
        <v>1738937.3683638875</v>
      </c>
      <c r="CU43" s="26">
        <f t="shared" si="106"/>
        <v>1.2168244819410008</v>
      </c>
      <c r="CV43" s="26">
        <f t="shared" si="75"/>
        <v>1.141952796444901</v>
      </c>
      <c r="CW43" s="26">
        <f t="shared" si="107"/>
        <v>2095500.6209522607</v>
      </c>
      <c r="CX43" s="26">
        <f t="shared" si="108"/>
        <v>1.1027778851235017</v>
      </c>
      <c r="CY43" s="26">
        <f t="shared" si="113"/>
        <v>1.0930267770671871</v>
      </c>
      <c r="CZ43" s="26">
        <f t="shared" si="68"/>
        <v>2001443.3647008673</v>
      </c>
      <c r="DA43" s="50">
        <v>1962</v>
      </c>
      <c r="DB43" s="50">
        <v>1.0586910949110728</v>
      </c>
      <c r="DC43" s="50">
        <v>1.4584013414649988E-2</v>
      </c>
      <c r="DD43" s="50">
        <v>2.9606396202745092E-2</v>
      </c>
      <c r="DE43" s="26">
        <f t="shared" si="86"/>
        <v>-0.37542147869385772</v>
      </c>
      <c r="DN43" s="50">
        <v>9</v>
      </c>
      <c r="DO43" s="50">
        <v>1.1071823337599593</v>
      </c>
      <c r="DP43" s="50">
        <v>-0.32166064324363197</v>
      </c>
      <c r="DQ43" s="50">
        <v>-0.76096517639862082</v>
      </c>
      <c r="DR43" s="26">
        <f t="shared" si="111"/>
        <v>-0.82910158363280106</v>
      </c>
      <c r="DZ43" s="50">
        <v>10</v>
      </c>
      <c r="EA43" s="50">
        <v>1.1966538282237267</v>
      </c>
      <c r="EB43" s="50">
        <v>-0.33791017367174492</v>
      </c>
      <c r="EC43" s="50">
        <v>-0.76464111023918568</v>
      </c>
      <c r="ED43" s="26">
        <f t="shared" si="109"/>
        <v>-1.0565990906696516</v>
      </c>
      <c r="EJ43" s="50">
        <v>12</v>
      </c>
      <c r="EK43" s="50">
        <v>1.0980752938581571</v>
      </c>
      <c r="EL43" s="50">
        <v>-2.4800185532434238E-2</v>
      </c>
      <c r="EM43" s="50">
        <v>-5.6852269611535541E-2</v>
      </c>
      <c r="EN43" s="26">
        <f t="shared" si="87"/>
        <v>-0.86269070408206172</v>
      </c>
      <c r="EU43" s="50">
        <v>12</v>
      </c>
      <c r="EV43" s="50">
        <v>1.0509707829448534</v>
      </c>
      <c r="EW43" s="50">
        <v>2.2304325380869461E-2</v>
      </c>
      <c r="EX43" s="50">
        <v>5.161925667352011E-2</v>
      </c>
      <c r="EY43" s="26">
        <f t="shared" si="88"/>
        <v>-0.80275695065613462</v>
      </c>
      <c r="FF43" s="50">
        <v>11</v>
      </c>
      <c r="FG43" s="50">
        <v>1.285365486296508</v>
      </c>
      <c r="FH43" s="50">
        <v>-0.51218842584765756</v>
      </c>
      <c r="FI43" s="50">
        <v>-1.2127116920458252</v>
      </c>
      <c r="FJ43" s="26">
        <f t="shared" si="91"/>
        <v>-8.1182730345182363E-2</v>
      </c>
      <c r="FP43" s="50">
        <v>11</v>
      </c>
      <c r="FQ43" s="50">
        <v>1.2343326509532986</v>
      </c>
      <c r="FR43" s="50">
        <v>-0.4611555905044481</v>
      </c>
      <c r="FS43" s="50">
        <v>-1.1160368067001489</v>
      </c>
      <c r="FT43" s="26">
        <f t="shared" si="92"/>
        <v>3.8364638045085511E-2</v>
      </c>
      <c r="FZ43" s="50">
        <v>12</v>
      </c>
      <c r="GA43" s="50">
        <v>1.0592740844324671</v>
      </c>
      <c r="GB43" s="50">
        <v>1.4001023893255748E-2</v>
      </c>
      <c r="GC43" s="50">
        <v>3.2839067937878295E-2</v>
      </c>
      <c r="GD43" s="26">
        <f t="shared" si="89"/>
        <v>-0.73936014499656211</v>
      </c>
      <c r="GJ43" s="50">
        <v>10</v>
      </c>
      <c r="GK43" s="50">
        <v>1.1375306125469087</v>
      </c>
      <c r="GL43" s="50">
        <v>-0.27878695799492692</v>
      </c>
      <c r="GM43" s="50">
        <v>-0.68100802953866069</v>
      </c>
      <c r="GT43" s="46">
        <v>11</v>
      </c>
      <c r="GU43" s="46">
        <v>1.2201429162147031</v>
      </c>
      <c r="GV43" s="46">
        <v>-0.44696585576585257</v>
      </c>
      <c r="GW43" s="46">
        <v>-1.103406561115438</v>
      </c>
      <c r="GX43"/>
      <c r="GY43"/>
      <c r="GZ43"/>
      <c r="HA43"/>
      <c r="HB43"/>
      <c r="HD43" s="46">
        <v>11</v>
      </c>
      <c r="HE43" s="46">
        <v>-0.16189945741283029</v>
      </c>
      <c r="HF43" s="46">
        <v>-1.9071387029821363E-2</v>
      </c>
      <c r="HG43" s="46">
        <v>-5.704354882464404E-2</v>
      </c>
      <c r="HH43"/>
      <c r="HI43"/>
      <c r="HJ43"/>
      <c r="HK43"/>
      <c r="HL43"/>
    </row>
    <row r="44" spans="1:220" s="26" customFormat="1" ht="12.75" customHeight="1" x14ac:dyDescent="0.35">
      <c r="A44" s="26" t="s">
        <v>55</v>
      </c>
      <c r="B44" s="26">
        <v>1992</v>
      </c>
      <c r="C44" s="26">
        <f>'Orig data'!G46</f>
        <v>1035859</v>
      </c>
      <c r="D44" s="26">
        <f>'Orig data'!Q46</f>
        <v>1555718</v>
      </c>
      <c r="E44" s="26">
        <f>'Orig data'!W46</f>
        <v>1301468.2344712224</v>
      </c>
      <c r="F44" s="26">
        <f t="shared" si="25"/>
        <v>1035.8589999999999</v>
      </c>
      <c r="G44" s="26">
        <f t="shared" si="26"/>
        <v>1301.4682344712223</v>
      </c>
      <c r="H44" s="26">
        <f t="shared" si="27"/>
        <v>0.22826200410556305</v>
      </c>
      <c r="I44" s="26">
        <f t="shared" si="28"/>
        <v>519859</v>
      </c>
      <c r="J44" s="26">
        <f t="shared" si="29"/>
        <v>0.3341601755588095</v>
      </c>
      <c r="K44" s="26">
        <f t="shared" si="30"/>
        <v>1992</v>
      </c>
      <c r="L44" s="26">
        <f>covariates!R52</f>
        <v>1035859</v>
      </c>
      <c r="M44" s="26">
        <f t="shared" si="31"/>
        <v>-0.40087219707546795</v>
      </c>
      <c r="N44" s="26">
        <f t="shared" si="32"/>
        <v>0.60105242579308005</v>
      </c>
      <c r="O44" s="26">
        <f t="shared" si="33"/>
        <v>-2.1362825667807126</v>
      </c>
      <c r="P44" s="26">
        <f t="shared" si="34"/>
        <v>1035859</v>
      </c>
      <c r="Q44" s="26">
        <f t="shared" si="35"/>
        <v>2.9252789160445686E-2</v>
      </c>
      <c r="R44" s="26">
        <f t="shared" si="36"/>
        <v>0.60105242579308005</v>
      </c>
      <c r="S44" s="26">
        <f t="shared" si="37"/>
        <v>-2.1362825667807126</v>
      </c>
      <c r="T44" s="26">
        <f t="shared" si="38"/>
        <v>1035859</v>
      </c>
      <c r="U44" s="26">
        <f t="shared" si="39"/>
        <v>0.29967111829042281</v>
      </c>
      <c r="V44" s="26">
        <f t="shared" si="40"/>
        <v>-2.1362825667807126</v>
      </c>
      <c r="W44" s="26">
        <f t="shared" si="41"/>
        <v>-0.40087219707546795</v>
      </c>
      <c r="X44" s="26">
        <f t="shared" si="42"/>
        <v>1035859</v>
      </c>
      <c r="Y44" s="26">
        <f t="shared" si="43"/>
        <v>1.3127079387168843</v>
      </c>
      <c r="Z44" s="105">
        <f t="shared" si="44"/>
        <v>-2.1362825667807126</v>
      </c>
      <c r="AA44" s="105">
        <f t="shared" si="45"/>
        <v>-0.40087219707546795</v>
      </c>
      <c r="AB44" s="105">
        <f t="shared" si="46"/>
        <v>1035859</v>
      </c>
      <c r="AC44" s="159">
        <f t="shared" si="47"/>
        <v>0.8675858108945117</v>
      </c>
      <c r="AD44" s="105">
        <f t="shared" si="48"/>
        <v>-2.1362825667807126</v>
      </c>
      <c r="AE44" s="105">
        <f t="shared" si="49"/>
        <v>-0.40087219707546795</v>
      </c>
      <c r="AF44" s="105">
        <f t="shared" si="50"/>
        <v>1035859</v>
      </c>
      <c r="AG44" s="105">
        <f>covariates!X52</f>
        <v>0.8675858108945117</v>
      </c>
      <c r="AH44" s="105">
        <f t="shared" si="51"/>
        <v>-2.1362825667807126</v>
      </c>
      <c r="AI44" s="159">
        <f t="shared" si="52"/>
        <v>0.60105242579308005</v>
      </c>
      <c r="AJ44" s="105">
        <f t="shared" si="53"/>
        <v>-0.40087219707546795</v>
      </c>
      <c r="AK44" s="105"/>
      <c r="AL44" s="105"/>
      <c r="AM44" s="105"/>
      <c r="AN44" s="105"/>
      <c r="AO44" s="105"/>
      <c r="AP44" s="105">
        <f t="shared" si="54"/>
        <v>1035859</v>
      </c>
      <c r="AQ44" s="105">
        <f>covariates!T52</f>
        <v>1.3127079387168843</v>
      </c>
      <c r="AR44" s="105">
        <f t="shared" si="55"/>
        <v>-2.1362825667807126</v>
      </c>
      <c r="AS44" s="105">
        <f t="shared" si="56"/>
        <v>0.60105242579308005</v>
      </c>
      <c r="AT44" s="26">
        <f t="shared" si="57"/>
        <v>-0.40087219707546795</v>
      </c>
      <c r="AU44" s="26">
        <f t="shared" si="58"/>
        <v>1035859</v>
      </c>
      <c r="AV44" s="26">
        <f t="shared" si="59"/>
        <v>0.8675858108945117</v>
      </c>
      <c r="AW44" s="26">
        <f t="shared" si="60"/>
        <v>-2.1362825667807126</v>
      </c>
      <c r="AX44" s="26">
        <f t="shared" si="61"/>
        <v>0.60105242579308005</v>
      </c>
      <c r="AY44" s="26">
        <f t="shared" si="62"/>
        <v>-0.40087219707546795</v>
      </c>
      <c r="AZ44" s="26">
        <f t="shared" si="63"/>
        <v>2.9252789160445686E-2</v>
      </c>
      <c r="BA44" s="61">
        <v>1992</v>
      </c>
      <c r="BB44" s="164">
        <f t="shared" si="4"/>
        <v>1035859</v>
      </c>
      <c r="BC44" s="105">
        <f t="shared" si="5"/>
        <v>0.8675858108945117</v>
      </c>
      <c r="BD44" s="105">
        <f t="shared" si="6"/>
        <v>-2.1362825667807126</v>
      </c>
      <c r="BE44" s="105">
        <f t="shared" si="7"/>
        <v>0.60105242579308005</v>
      </c>
      <c r="BF44" s="105">
        <f t="shared" si="8"/>
        <v>-0.40087219707546795</v>
      </c>
      <c r="BG44">
        <v>267</v>
      </c>
      <c r="BH44" s="61">
        <f t="shared" si="78"/>
        <v>1992</v>
      </c>
      <c r="BI44" s="61">
        <f t="shared" si="79"/>
        <v>1035859</v>
      </c>
      <c r="BJ44" s="26">
        <f t="shared" si="80"/>
        <v>0.8675858108945117</v>
      </c>
      <c r="BK44" s="26">
        <f t="shared" si="81"/>
        <v>-2.1362825667807126</v>
      </c>
      <c r="BL44" s="26">
        <f t="shared" si="82"/>
        <v>0.60105242579308005</v>
      </c>
      <c r="BM44" s="26">
        <f t="shared" si="83"/>
        <v>-0.40087219707546795</v>
      </c>
      <c r="BN44" s="61">
        <f t="shared" si="84"/>
        <v>267</v>
      </c>
      <c r="BO44" s="26">
        <f t="shared" si="85"/>
        <v>0.22826200410556305</v>
      </c>
      <c r="BR44" s="26">
        <f>covariates!V52</f>
        <v>-0.40087219707546795</v>
      </c>
      <c r="BS44" s="26">
        <f>covariates!W52</f>
        <v>0.29967111829042281</v>
      </c>
      <c r="BT44" s="26">
        <f>covariates!Y52</f>
        <v>0.60105242579308005</v>
      </c>
      <c r="BU44" s="26">
        <f>covariates!U52</f>
        <v>-2.1362825667807126</v>
      </c>
      <c r="BV44" s="26">
        <f>covariates!AA52</f>
        <v>2.9252789160445686E-2</v>
      </c>
      <c r="BW44" s="26">
        <f t="shared" si="90"/>
        <v>0.22826200410556305</v>
      </c>
      <c r="BX44" s="26">
        <f t="shared" si="76"/>
        <v>-0.76945436806962253</v>
      </c>
      <c r="BY44" s="26">
        <f t="shared" si="112"/>
        <v>-0.76057812645171086</v>
      </c>
      <c r="BZ44" s="26">
        <f t="shared" si="93"/>
        <v>1992</v>
      </c>
      <c r="CA44" s="26">
        <f t="shared" si="94"/>
        <v>0.83790981625621097</v>
      </c>
      <c r="CB44" s="26">
        <f t="shared" si="70"/>
        <v>1.0489110812816367</v>
      </c>
      <c r="CC44" s="26">
        <f t="shared" si="110"/>
        <v>1406304.5499314687</v>
      </c>
      <c r="CD44" s="26">
        <f t="shared" si="95"/>
        <v>0.67142338398841384</v>
      </c>
      <c r="CE44" s="26">
        <f t="shared" si="70"/>
        <v>0.93505869887549442</v>
      </c>
      <c r="CF44" s="26">
        <f t="shared" si="96"/>
        <v>1257559.2127257152</v>
      </c>
      <c r="CG44" s="26">
        <f t="shared" si="97"/>
        <v>0.80521327665002396</v>
      </c>
      <c r="CH44" s="26">
        <f t="shared" si="71"/>
        <v>0.96669460525721962</v>
      </c>
      <c r="CI44" s="26">
        <f t="shared" si="98"/>
        <v>1395392.0581797424</v>
      </c>
      <c r="CJ44" s="26">
        <f t="shared" si="99"/>
        <v>0.86081092007864046</v>
      </c>
      <c r="CK44" s="26">
        <f t="shared" si="72"/>
        <v>1.0804254752390923</v>
      </c>
      <c r="CL44" s="26">
        <f t="shared" si="100"/>
        <v>1425863.8617365581</v>
      </c>
      <c r="CM44" s="26">
        <f t="shared" si="101"/>
        <v>0.92501089346488052</v>
      </c>
      <c r="CN44" s="26">
        <f t="shared" si="73"/>
        <v>1.0566401209140162</v>
      </c>
      <c r="CO44" s="26">
        <f t="shared" si="102"/>
        <v>1564161.9742768079</v>
      </c>
      <c r="CP44" s="26">
        <f t="shared" si="67"/>
        <v>-0.18385716258207552</v>
      </c>
      <c r="CQ44" s="26">
        <f t="shared" si="103"/>
        <v>0.9782354062592018</v>
      </c>
      <c r="CR44" s="26">
        <f t="shared" si="74"/>
        <v>1.0619264634405923</v>
      </c>
      <c r="CS44" s="26">
        <f t="shared" si="104"/>
        <v>1652904.6562656262</v>
      </c>
      <c r="CT44" s="26">
        <f t="shared" si="105"/>
        <v>1701044.8123510806</v>
      </c>
      <c r="CU44" s="26">
        <f t="shared" si="106"/>
        <v>1.0076640759951572</v>
      </c>
      <c r="CV44" s="26">
        <f t="shared" si="75"/>
        <v>1.1497041348065964</v>
      </c>
      <c r="CW44" s="26">
        <f t="shared" si="107"/>
        <v>1651412.5370174162</v>
      </c>
      <c r="CX44" s="26">
        <f t="shared" si="108"/>
        <v>0.85241382000586419</v>
      </c>
      <c r="CY44" s="26">
        <f t="shared" si="113"/>
        <v>1.0890214371172855</v>
      </c>
      <c r="CZ44" s="26">
        <f t="shared" si="68"/>
        <v>1507063.6357912635</v>
      </c>
      <c r="DA44" s="50">
        <v>1963</v>
      </c>
      <c r="DB44" s="50">
        <v>1.0202338555882837</v>
      </c>
      <c r="DC44" s="50">
        <v>-0.184931385904756</v>
      </c>
      <c r="DD44" s="50">
        <v>-0.37542147869385772</v>
      </c>
      <c r="DE44" s="26">
        <f t="shared" si="86"/>
        <v>0.8133867650295975</v>
      </c>
      <c r="DN44" s="50">
        <v>10</v>
      </c>
      <c r="DO44" s="50">
        <v>1.2092056165142717</v>
      </c>
      <c r="DP44" s="50">
        <v>-0.35046196196228996</v>
      </c>
      <c r="DQ44" s="50">
        <v>-0.82910158363280106</v>
      </c>
      <c r="DR44" s="26">
        <f t="shared" si="111"/>
        <v>-1.1812480848807687</v>
      </c>
      <c r="DZ44" s="50">
        <v>11</v>
      </c>
      <c r="EA44" s="50">
        <v>1.2401092949946837</v>
      </c>
      <c r="EB44" s="50">
        <v>-0.46693223454583321</v>
      </c>
      <c r="EC44" s="50">
        <v>-1.0565990906696516</v>
      </c>
      <c r="ED44" s="26">
        <f t="shared" si="109"/>
        <v>4.7472643808918642E-2</v>
      </c>
      <c r="EJ44" s="50">
        <v>13</v>
      </c>
      <c r="EK44" s="50">
        <v>1.2116267512738681</v>
      </c>
      <c r="EL44" s="50">
        <v>-0.37632428159034037</v>
      </c>
      <c r="EM44" s="50">
        <v>-0.86269070408206172</v>
      </c>
      <c r="EN44" s="26">
        <f t="shared" si="87"/>
        <v>0.83306425998520217</v>
      </c>
      <c r="EU44" s="50">
        <v>13</v>
      </c>
      <c r="EV44" s="50">
        <v>1.1821682206267017</v>
      </c>
      <c r="EW44" s="50">
        <v>-0.34686575094317396</v>
      </c>
      <c r="EX44" s="50">
        <v>-0.80275695065613462</v>
      </c>
      <c r="EY44" s="26">
        <f t="shared" si="88"/>
        <v>0.80420199475503074</v>
      </c>
      <c r="FF44" s="50">
        <v>12</v>
      </c>
      <c r="FG44" s="50">
        <v>1.1075626105690364</v>
      </c>
      <c r="FH44" s="50">
        <v>-3.4287502243313561E-2</v>
      </c>
      <c r="FI44" s="50">
        <v>-8.1182730345182363E-2</v>
      </c>
      <c r="FJ44" s="26">
        <f t="shared" si="91"/>
        <v>-0.78358817852835871</v>
      </c>
      <c r="FP44" s="50">
        <v>12</v>
      </c>
      <c r="FQ44" s="50">
        <v>1.0574225242478894</v>
      </c>
      <c r="FR44" s="50">
        <v>1.5852584077833409E-2</v>
      </c>
      <c r="FS44" s="50">
        <v>3.8364638045085511E-2</v>
      </c>
      <c r="FT44" s="26">
        <f t="shared" si="92"/>
        <v>-0.72315038418501798</v>
      </c>
      <c r="FZ44" s="50">
        <v>13</v>
      </c>
      <c r="GA44" s="50">
        <v>1.1505306325351778</v>
      </c>
      <c r="GB44" s="50">
        <v>-0.31522816285165012</v>
      </c>
      <c r="GC44" s="50">
        <v>-0.73936014499656211</v>
      </c>
      <c r="GD44" s="26">
        <f t="shared" si="89"/>
        <v>0.97020516225668862</v>
      </c>
      <c r="GJ44" s="50">
        <v>11</v>
      </c>
      <c r="GK44" s="50">
        <v>1.2392247867050838</v>
      </c>
      <c r="GL44" s="50">
        <v>-0.46604772625623336</v>
      </c>
      <c r="GM44" s="50">
        <v>-1.1384400691172434</v>
      </c>
      <c r="GT44" s="46">
        <v>12</v>
      </c>
      <c r="GU44" s="46">
        <v>1.0203584133001655</v>
      </c>
      <c r="GV44" s="46">
        <v>5.2916695025557292E-2</v>
      </c>
      <c r="GW44" s="46">
        <v>0.13063330840719078</v>
      </c>
      <c r="GX44"/>
      <c r="GY44"/>
      <c r="GZ44"/>
      <c r="HA44"/>
      <c r="HB44"/>
      <c r="HD44" s="46">
        <v>12</v>
      </c>
      <c r="HE44" s="46">
        <v>0.44872452836494015</v>
      </c>
      <c r="HF44" s="46">
        <v>-2.5664500298685944E-2</v>
      </c>
      <c r="HG44" s="46">
        <v>-7.6763906765615883E-2</v>
      </c>
      <c r="HH44"/>
      <c r="HI44"/>
      <c r="HJ44"/>
      <c r="HK44"/>
      <c r="HL44"/>
    </row>
    <row r="45" spans="1:220" s="26" customFormat="1" ht="12.75" customHeight="1" x14ac:dyDescent="0.35">
      <c r="A45" s="26" t="s">
        <v>55</v>
      </c>
      <c r="B45" s="26">
        <v>1993</v>
      </c>
      <c r="C45" s="26">
        <f>'Orig data'!G47</f>
        <v>985479</v>
      </c>
      <c r="D45" s="26">
        <f>'Orig data'!Q47</f>
        <v>1476663</v>
      </c>
      <c r="E45" s="26">
        <f>'Orig data'!W47</f>
        <v>1536216.2121439504</v>
      </c>
      <c r="F45" s="26">
        <f t="shared" si="25"/>
        <v>985.47900000000004</v>
      </c>
      <c r="G45" s="26">
        <f t="shared" si="26"/>
        <v>1536.2162121439503</v>
      </c>
      <c r="H45" s="26">
        <f t="shared" si="27"/>
        <v>0.44394984953044858</v>
      </c>
      <c r="I45" s="26">
        <f t="shared" si="28"/>
        <v>491184</v>
      </c>
      <c r="J45" s="26">
        <f t="shared" si="29"/>
        <v>0.3326310742532318</v>
      </c>
      <c r="K45" s="26">
        <f t="shared" si="30"/>
        <v>1993</v>
      </c>
      <c r="L45" s="26">
        <f>covariates!R53</f>
        <v>985479</v>
      </c>
      <c r="M45" s="26">
        <f t="shared" si="31"/>
        <v>-0.31450681719552676</v>
      </c>
      <c r="N45" s="26">
        <f t="shared" si="32"/>
        <v>0.93978792774090103</v>
      </c>
      <c r="O45" s="26">
        <f t="shared" si="33"/>
        <v>-1.9633133158426319</v>
      </c>
      <c r="P45" s="26">
        <f t="shared" si="34"/>
        <v>985479</v>
      </c>
      <c r="Q45" s="26">
        <f t="shared" si="35"/>
        <v>-2.855175414413845E-2</v>
      </c>
      <c r="R45" s="26">
        <f t="shared" si="36"/>
        <v>0.93978792774090103</v>
      </c>
      <c r="S45" s="26">
        <f t="shared" si="37"/>
        <v>-1.9633133158426319</v>
      </c>
      <c r="T45" s="26">
        <f t="shared" si="38"/>
        <v>985479</v>
      </c>
      <c r="U45" s="26">
        <f t="shared" si="39"/>
        <v>1.2101671168896873</v>
      </c>
      <c r="V45" s="26">
        <f t="shared" si="40"/>
        <v>-1.9633133158426319</v>
      </c>
      <c r="W45" s="26">
        <f t="shared" si="41"/>
        <v>-0.31450681719552676</v>
      </c>
      <c r="X45" s="26">
        <f t="shared" si="42"/>
        <v>985479</v>
      </c>
      <c r="Y45" s="26">
        <f t="shared" si="43"/>
        <v>0.88804581917966219</v>
      </c>
      <c r="Z45" s="105">
        <f t="shared" si="44"/>
        <v>-1.9633133158426319</v>
      </c>
      <c r="AA45" s="105">
        <f t="shared" si="45"/>
        <v>-0.31450681719552676</v>
      </c>
      <c r="AB45" s="105">
        <f t="shared" si="46"/>
        <v>985479</v>
      </c>
      <c r="AC45" s="159">
        <f t="shared" si="47"/>
        <v>1.3503136121773469</v>
      </c>
      <c r="AD45" s="105">
        <f t="shared" si="48"/>
        <v>-1.9633133158426319</v>
      </c>
      <c r="AE45" s="105">
        <f t="shared" si="49"/>
        <v>-0.31450681719552676</v>
      </c>
      <c r="AF45" s="105">
        <f t="shared" si="50"/>
        <v>985479</v>
      </c>
      <c r="AG45" s="105">
        <f>covariates!X53</f>
        <v>1.3503136121773469</v>
      </c>
      <c r="AH45" s="105">
        <f t="shared" si="51"/>
        <v>-1.9633133158426319</v>
      </c>
      <c r="AI45" s="159">
        <f t="shared" si="52"/>
        <v>0.93978792774090103</v>
      </c>
      <c r="AJ45" s="105">
        <f t="shared" si="53"/>
        <v>-0.31450681719552676</v>
      </c>
      <c r="AK45" s="105"/>
      <c r="AL45" s="105"/>
      <c r="AM45" s="105"/>
      <c r="AN45" s="105"/>
      <c r="AO45" s="105"/>
      <c r="AP45" s="105">
        <f t="shared" si="54"/>
        <v>985479</v>
      </c>
      <c r="AQ45" s="105">
        <f>covariates!T53</f>
        <v>0.88804581917966219</v>
      </c>
      <c r="AR45" s="105">
        <f t="shared" si="55"/>
        <v>-1.9633133158426319</v>
      </c>
      <c r="AS45" s="105">
        <f t="shared" si="56"/>
        <v>0.93978792774090103</v>
      </c>
      <c r="AT45" s="26">
        <f t="shared" si="57"/>
        <v>-0.31450681719552676</v>
      </c>
      <c r="AU45" s="26">
        <f t="shared" si="58"/>
        <v>985479</v>
      </c>
      <c r="AV45" s="26">
        <f t="shared" si="59"/>
        <v>1.3503136121773469</v>
      </c>
      <c r="AW45" s="26">
        <f t="shared" si="60"/>
        <v>-1.9633133158426319</v>
      </c>
      <c r="AX45" s="26">
        <f t="shared" si="61"/>
        <v>0.93978792774090103</v>
      </c>
      <c r="AY45" s="26">
        <f t="shared" si="62"/>
        <v>-0.31450681719552676</v>
      </c>
      <c r="AZ45" s="26">
        <f t="shared" si="63"/>
        <v>-2.855175414413845E-2</v>
      </c>
      <c r="BA45" s="61">
        <v>1993</v>
      </c>
      <c r="BB45" s="164">
        <f t="shared" si="4"/>
        <v>985479</v>
      </c>
      <c r="BC45" s="105">
        <f t="shared" si="5"/>
        <v>1.3503136121773469</v>
      </c>
      <c r="BD45" s="105">
        <f t="shared" si="6"/>
        <v>-1.9633133158426319</v>
      </c>
      <c r="BE45" s="105">
        <f t="shared" si="7"/>
        <v>0.93978792774090103</v>
      </c>
      <c r="BF45" s="105">
        <f t="shared" si="8"/>
        <v>-0.31450681719552676</v>
      </c>
      <c r="BG45">
        <v>271</v>
      </c>
      <c r="BH45" s="61">
        <f t="shared" si="78"/>
        <v>1993</v>
      </c>
      <c r="BI45" s="61">
        <f t="shared" si="79"/>
        <v>985479</v>
      </c>
      <c r="BJ45" s="26">
        <f t="shared" si="80"/>
        <v>1.3503136121773469</v>
      </c>
      <c r="BK45" s="26">
        <f t="shared" si="81"/>
        <v>-1.9633133158426319</v>
      </c>
      <c r="BL45" s="26">
        <f t="shared" si="82"/>
        <v>0.93978792774090103</v>
      </c>
      <c r="BM45" s="26">
        <f t="shared" si="83"/>
        <v>-0.31450681719552676</v>
      </c>
      <c r="BN45" s="61">
        <f t="shared" si="84"/>
        <v>271</v>
      </c>
      <c r="BO45" s="26">
        <f t="shared" si="85"/>
        <v>0.44394984953044858</v>
      </c>
      <c r="BR45" s="26">
        <f>covariates!V53</f>
        <v>-0.31450681719552676</v>
      </c>
      <c r="BS45" s="26">
        <f>covariates!W53</f>
        <v>1.2101671168896873</v>
      </c>
      <c r="BT45" s="26">
        <f>covariates!Y53</f>
        <v>0.93978792774090103</v>
      </c>
      <c r="BU45" s="26">
        <f>covariates!U53</f>
        <v>-1.9633133158426319</v>
      </c>
      <c r="BV45" s="26">
        <f>covariates!AA53</f>
        <v>-2.855175414413845E-2</v>
      </c>
      <c r="BW45" s="26">
        <f t="shared" si="90"/>
        <v>0.44394984953044858</v>
      </c>
      <c r="BX45" s="26">
        <f t="shared" si="76"/>
        <v>-0.76945436806962253</v>
      </c>
      <c r="BY45" s="26">
        <f t="shared" si="112"/>
        <v>-0.76057812645171086</v>
      </c>
      <c r="BZ45" s="26">
        <f t="shared" si="93"/>
        <v>1993</v>
      </c>
      <c r="CA45" s="26">
        <f t="shared" si="94"/>
        <v>0.79918104917135158</v>
      </c>
      <c r="CB45" s="26">
        <f t="shared" si="70"/>
        <v>1.0297573904020954</v>
      </c>
      <c r="CC45" s="26">
        <f t="shared" si="110"/>
        <v>1320830.8640362935</v>
      </c>
      <c r="CD45" s="26">
        <f t="shared" si="95"/>
        <v>0.66834768671816536</v>
      </c>
      <c r="CE45" s="26">
        <f t="shared" si="70"/>
        <v>0.90232792172632126</v>
      </c>
      <c r="CF45" s="26">
        <f t="shared" si="96"/>
        <v>1220744.9647077401</v>
      </c>
      <c r="CG45" s="26">
        <f t="shared" si="97"/>
        <v>0.83692660243835515</v>
      </c>
      <c r="CH45" s="26">
        <f t="shared" si="71"/>
        <v>0.95178170815052199</v>
      </c>
      <c r="CI45" s="26">
        <f t="shared" si="98"/>
        <v>1404528.6443298887</v>
      </c>
      <c r="CJ45" s="26">
        <f t="shared" si="99"/>
        <v>0.80466824088830669</v>
      </c>
      <c r="CK45" s="26">
        <f t="shared" si="72"/>
        <v>1.0614620969028525</v>
      </c>
      <c r="CL45" s="26">
        <f t="shared" si="100"/>
        <v>1316664.4080507648</v>
      </c>
      <c r="CM45" s="26">
        <f t="shared" si="101"/>
        <v>0.93237277448570421</v>
      </c>
      <c r="CN45" s="26">
        <f t="shared" si="73"/>
        <v>1.0308978631060715</v>
      </c>
      <c r="CO45" s="26">
        <f t="shared" si="102"/>
        <v>1536947.9036582084</v>
      </c>
      <c r="CP45" s="26">
        <f t="shared" si="67"/>
        <v>-4.7618122593817702E-4</v>
      </c>
      <c r="CQ45" s="26">
        <f t="shared" si="103"/>
        <v>1.0265245881478897</v>
      </c>
      <c r="CR45" s="26">
        <f t="shared" si="74"/>
        <v>1.0433462273959475</v>
      </c>
      <c r="CS45" s="26">
        <f t="shared" si="104"/>
        <v>1691836.3025961441</v>
      </c>
      <c r="CT45" s="26">
        <f t="shared" si="105"/>
        <v>1669777.3987738776</v>
      </c>
      <c r="CU45" s="26">
        <f t="shared" si="106"/>
        <v>1.0343930725990802</v>
      </c>
      <c r="CV45" s="26">
        <f t="shared" si="75"/>
        <v>1.1348019163744236</v>
      </c>
      <c r="CW45" s="26">
        <f t="shared" si="107"/>
        <v>1656697.9035922484</v>
      </c>
      <c r="CX45" s="26">
        <f t="shared" si="108"/>
        <v>0.83609216174613255</v>
      </c>
      <c r="CY45" s="26">
        <f t="shared" si="113"/>
        <v>1.0814495039093959</v>
      </c>
      <c r="CZ45" s="26">
        <f t="shared" si="68"/>
        <v>1443694.9637659048</v>
      </c>
      <c r="DA45" s="50">
        <v>1964</v>
      </c>
      <c r="DB45" s="50">
        <v>0.98637000938005726</v>
      </c>
      <c r="DC45" s="50">
        <v>0.40067164579086889</v>
      </c>
      <c r="DD45" s="50">
        <v>0.8133867650295975</v>
      </c>
      <c r="DE45" s="26">
        <f t="shared" si="86"/>
        <v>1.1598980609090619</v>
      </c>
      <c r="DN45" s="50">
        <v>11</v>
      </c>
      <c r="DO45" s="50">
        <v>1.2724916553837693</v>
      </c>
      <c r="DP45" s="50">
        <v>-0.49931459493491881</v>
      </c>
      <c r="DQ45" s="50">
        <v>-1.1812480848807687</v>
      </c>
      <c r="DR45" s="26">
        <f t="shared" si="111"/>
        <v>-4.3230023397072014E-2</v>
      </c>
      <c r="DZ45" s="50">
        <v>12</v>
      </c>
      <c r="EA45" s="50">
        <v>1.0522959991733118</v>
      </c>
      <c r="EB45" s="50">
        <v>2.0979109152410969E-2</v>
      </c>
      <c r="EC45" s="50">
        <v>4.7472643808918642E-2</v>
      </c>
      <c r="ED45" s="26">
        <f t="shared" si="109"/>
        <v>-0.68198996469234163</v>
      </c>
      <c r="EJ45" s="50">
        <v>14</v>
      </c>
      <c r="EK45" s="50">
        <v>1.023641067133874</v>
      </c>
      <c r="EL45" s="50">
        <v>0.36340058803705211</v>
      </c>
      <c r="EM45" s="50">
        <v>0.83306425998520217</v>
      </c>
      <c r="EN45" s="26">
        <f t="shared" si="87"/>
        <v>1.3100672951746279</v>
      </c>
      <c r="EU45" s="50">
        <v>14</v>
      </c>
      <c r="EV45" s="50">
        <v>1.0395515106225646</v>
      </c>
      <c r="EW45" s="50">
        <v>0.34749014454836158</v>
      </c>
      <c r="EX45" s="50">
        <v>0.80420199475503074</v>
      </c>
      <c r="EY45" s="26">
        <f t="shared" si="88"/>
        <v>1.2185056279091446</v>
      </c>
      <c r="FF45" s="50">
        <v>13</v>
      </c>
      <c r="FG45" s="50">
        <v>1.1662507060250205</v>
      </c>
      <c r="FH45" s="50">
        <v>-0.33094823634149273</v>
      </c>
      <c r="FI45" s="50">
        <v>-0.78358817852835871</v>
      </c>
      <c r="FJ45" s="26">
        <f t="shared" si="91"/>
        <v>0.78452605660212515</v>
      </c>
      <c r="FP45" s="50">
        <v>13</v>
      </c>
      <c r="FQ45" s="50">
        <v>1.1341141580080325</v>
      </c>
      <c r="FR45" s="50">
        <v>-0.29881168832450478</v>
      </c>
      <c r="FS45" s="50">
        <v>-0.72315038418501798</v>
      </c>
      <c r="FT45" s="26">
        <f t="shared" si="92"/>
        <v>0.87258517109648648</v>
      </c>
      <c r="FZ45" s="50">
        <v>14</v>
      </c>
      <c r="GA45" s="50">
        <v>0.9733921056827195</v>
      </c>
      <c r="GB45" s="50">
        <v>0.41364954948820665</v>
      </c>
      <c r="GC45" s="50">
        <v>0.97020516225668862</v>
      </c>
      <c r="GD45" s="26">
        <f t="shared" si="89"/>
        <v>1.1442349929812172</v>
      </c>
      <c r="GJ45" s="50">
        <v>12</v>
      </c>
      <c r="GK45" s="50">
        <v>1.0719307563754956</v>
      </c>
      <c r="GL45" s="50">
        <v>1.3443519502271961E-3</v>
      </c>
      <c r="GM45" s="50">
        <v>3.283921454630378E-3</v>
      </c>
      <c r="GT45" s="46">
        <v>13</v>
      </c>
      <c r="GU45" s="46">
        <v>1.1114081046990802</v>
      </c>
      <c r="GV45" s="46">
        <v>-0.27610563501555252</v>
      </c>
      <c r="GW45" s="46">
        <v>-0.68161083292389679</v>
      </c>
      <c r="GX45"/>
      <c r="GY45"/>
      <c r="GZ45"/>
      <c r="HA45"/>
      <c r="HB45"/>
      <c r="HD45" s="46">
        <v>13</v>
      </c>
      <c r="HE45" s="46">
        <v>1.2209077928324616</v>
      </c>
      <c r="HF45" s="46">
        <v>0.18446558236776767</v>
      </c>
      <c r="HG45" s="46">
        <v>0.55174652151982018</v>
      </c>
      <c r="HH45"/>
      <c r="HI45"/>
      <c r="HJ45"/>
      <c r="HK45"/>
      <c r="HL45"/>
    </row>
    <row r="46" spans="1:220" s="26" customFormat="1" ht="12.75" customHeight="1" x14ac:dyDescent="0.35">
      <c r="A46" s="26" t="s">
        <v>55</v>
      </c>
      <c r="B46" s="26">
        <v>1994</v>
      </c>
      <c r="C46" s="26">
        <f>'Orig data'!G48</f>
        <v>1666079</v>
      </c>
      <c r="D46" s="26">
        <f>'Orig data'!Q48</f>
        <v>2295288</v>
      </c>
      <c r="E46" s="26">
        <f>'Orig data'!W48</f>
        <v>3619664.876538008</v>
      </c>
      <c r="F46" s="26">
        <f t="shared" si="25"/>
        <v>1666.079</v>
      </c>
      <c r="G46" s="26">
        <f t="shared" si="26"/>
        <v>3619.6648765380078</v>
      </c>
      <c r="H46" s="26">
        <f t="shared" si="27"/>
        <v>0.77590848442231863</v>
      </c>
      <c r="I46" s="26">
        <f t="shared" si="28"/>
        <v>629209</v>
      </c>
      <c r="J46" s="26">
        <f t="shared" si="29"/>
        <v>0.2741307408917748</v>
      </c>
      <c r="K46" s="26">
        <f t="shared" si="30"/>
        <v>1994</v>
      </c>
      <c r="L46" s="26">
        <f>covariates!R54</f>
        <v>1666079</v>
      </c>
      <c r="M46" s="26">
        <f t="shared" si="31"/>
        <v>-0.22091940822865835</v>
      </c>
      <c r="N46" s="26">
        <f t="shared" si="32"/>
        <v>-0.67699870118796246</v>
      </c>
      <c r="O46" s="26">
        <f t="shared" si="33"/>
        <v>-1.3208560980726174</v>
      </c>
      <c r="P46" s="26">
        <f t="shared" si="34"/>
        <v>1666079</v>
      </c>
      <c r="Q46" s="26">
        <f t="shared" si="35"/>
        <v>8.3355867578930529E-2</v>
      </c>
      <c r="R46" s="26">
        <f t="shared" si="36"/>
        <v>-0.67699870118796246</v>
      </c>
      <c r="S46" s="26">
        <f t="shared" si="37"/>
        <v>-1.3208560980726174</v>
      </c>
      <c r="T46" s="26">
        <f t="shared" si="38"/>
        <v>1666079</v>
      </c>
      <c r="U46" s="26">
        <f t="shared" si="39"/>
        <v>-6.2764293466875412E-2</v>
      </c>
      <c r="V46" s="26">
        <f t="shared" si="40"/>
        <v>-1.3208560980726174</v>
      </c>
      <c r="W46" s="26">
        <f t="shared" si="41"/>
        <v>-0.22091940822865835</v>
      </c>
      <c r="X46" s="26">
        <f t="shared" si="42"/>
        <v>1666079</v>
      </c>
      <c r="Y46" s="26">
        <f t="shared" si="43"/>
        <v>1.0028193650005346</v>
      </c>
      <c r="Z46" s="105">
        <f t="shared" si="44"/>
        <v>-1.3208560980726174</v>
      </c>
      <c r="AA46" s="105">
        <f t="shared" si="45"/>
        <v>-0.22091940822865835</v>
      </c>
      <c r="AB46" s="105">
        <f t="shared" si="46"/>
        <v>1666079</v>
      </c>
      <c r="AC46" s="159">
        <f t="shared" si="47"/>
        <v>-0.73534476773523816</v>
      </c>
      <c r="AD46" s="105">
        <f t="shared" si="48"/>
        <v>-1.3208560980726174</v>
      </c>
      <c r="AE46" s="105">
        <f t="shared" si="49"/>
        <v>-0.22091940822865835</v>
      </c>
      <c r="AF46" s="105">
        <f t="shared" si="50"/>
        <v>1666079</v>
      </c>
      <c r="AG46" s="105">
        <f>covariates!X54</f>
        <v>-0.73534476773523816</v>
      </c>
      <c r="AH46" s="105">
        <f t="shared" si="51"/>
        <v>-1.3208560980726174</v>
      </c>
      <c r="AI46" s="159">
        <f t="shared" si="52"/>
        <v>-0.67699870118796246</v>
      </c>
      <c r="AJ46" s="105">
        <f t="shared" si="53"/>
        <v>-0.22091940822865835</v>
      </c>
      <c r="AK46" s="105"/>
      <c r="AL46" s="105"/>
      <c r="AM46" s="105"/>
      <c r="AN46" s="105"/>
      <c r="AO46" s="105"/>
      <c r="AP46" s="105">
        <f t="shared" si="54"/>
        <v>1666079</v>
      </c>
      <c r="AQ46" s="105">
        <f>covariates!T54</f>
        <v>1.0028193650005346</v>
      </c>
      <c r="AR46" s="105">
        <f t="shared" si="55"/>
        <v>-1.3208560980726174</v>
      </c>
      <c r="AS46" s="105">
        <f t="shared" si="56"/>
        <v>-0.67699870118796246</v>
      </c>
      <c r="AT46" s="26">
        <f t="shared" si="57"/>
        <v>-0.22091940822865835</v>
      </c>
      <c r="AU46" s="26">
        <f t="shared" si="58"/>
        <v>1666079</v>
      </c>
      <c r="AV46" s="26">
        <f t="shared" si="59"/>
        <v>-0.73534476773523816</v>
      </c>
      <c r="AW46" s="26">
        <f t="shared" si="60"/>
        <v>-1.3208560980726174</v>
      </c>
      <c r="AX46" s="26">
        <f t="shared" si="61"/>
        <v>-0.67699870118796246</v>
      </c>
      <c r="AY46" s="26">
        <f t="shared" si="62"/>
        <v>-0.22091940822865835</v>
      </c>
      <c r="AZ46" s="26">
        <f t="shared" si="63"/>
        <v>8.3355867578930529E-2</v>
      </c>
      <c r="BA46" s="61">
        <v>1994</v>
      </c>
      <c r="BB46" s="164">
        <f t="shared" si="4"/>
        <v>1666079</v>
      </c>
      <c r="BC46" s="105">
        <f t="shared" si="5"/>
        <v>-0.73534476773523816</v>
      </c>
      <c r="BD46" s="105">
        <f t="shared" si="6"/>
        <v>-1.3208560980726174</v>
      </c>
      <c r="BE46" s="105">
        <f t="shared" si="7"/>
        <v>-0.67699870118796246</v>
      </c>
      <c r="BF46" s="105">
        <f t="shared" si="8"/>
        <v>-0.22091940822865835</v>
      </c>
      <c r="BG46">
        <v>276</v>
      </c>
      <c r="BH46" s="61">
        <f t="shared" si="78"/>
        <v>1994</v>
      </c>
      <c r="BI46" s="61">
        <f t="shared" si="79"/>
        <v>1666079</v>
      </c>
      <c r="BJ46" s="26">
        <f t="shared" si="80"/>
        <v>-0.73534476773523816</v>
      </c>
      <c r="BK46" s="26">
        <f t="shared" si="81"/>
        <v>-1.3208560980726174</v>
      </c>
      <c r="BL46" s="26">
        <f t="shared" si="82"/>
        <v>-0.67699870118796246</v>
      </c>
      <c r="BM46" s="26">
        <f t="shared" si="83"/>
        <v>-0.22091940822865835</v>
      </c>
      <c r="BN46" s="61">
        <f t="shared" si="84"/>
        <v>276</v>
      </c>
      <c r="BO46" s="26">
        <f t="shared" si="85"/>
        <v>0.77590848442231863</v>
      </c>
      <c r="BR46" s="26">
        <f>covariates!V54</f>
        <v>-0.22091940822865835</v>
      </c>
      <c r="BS46" s="26">
        <f>covariates!W54</f>
        <v>-6.2764293466875412E-2</v>
      </c>
      <c r="BT46" s="26">
        <f>covariates!Y54</f>
        <v>-0.67699870118796246</v>
      </c>
      <c r="BU46" s="26">
        <f>covariates!U54</f>
        <v>-1.3208560980726174</v>
      </c>
      <c r="BV46" s="26">
        <f>covariates!AA54</f>
        <v>8.3355867578930529E-2</v>
      </c>
      <c r="BW46" s="26">
        <f t="shared" si="90"/>
        <v>0.77590848442231863</v>
      </c>
      <c r="BX46" s="26">
        <f t="shared" si="76"/>
        <v>-0.76945436806962253</v>
      </c>
      <c r="BY46" s="26">
        <f t="shared" si="112"/>
        <v>-0.76057812645171086</v>
      </c>
      <c r="BZ46" s="26">
        <f t="shared" si="93"/>
        <v>1994</v>
      </c>
      <c r="CA46" s="26">
        <f t="shared" si="94"/>
        <v>1.0302600045196983</v>
      </c>
      <c r="CB46" s="26">
        <f t="shared" si="70"/>
        <v>1.0251270708171254</v>
      </c>
      <c r="CC46" s="26">
        <f t="shared" si="110"/>
        <v>1983335.8431159467</v>
      </c>
      <c r="CD46" s="26">
        <f t="shared" si="95"/>
        <v>0.90242404307208401</v>
      </c>
      <c r="CE46" s="26">
        <f t="shared" si="70"/>
        <v>0.88543849621460191</v>
      </c>
      <c r="CF46" s="26">
        <f t="shared" si="96"/>
        <v>1905822.8630769972</v>
      </c>
      <c r="CG46" s="26">
        <f t="shared" si="97"/>
        <v>0.8720488797072824</v>
      </c>
      <c r="CH46" s="26">
        <f t="shared" si="71"/>
        <v>0.95361196014027916</v>
      </c>
      <c r="CI46" s="26">
        <f t="shared" si="98"/>
        <v>1762316.0855479774</v>
      </c>
      <c r="CJ46" s="26">
        <f t="shared" si="99"/>
        <v>1.0700186068480706</v>
      </c>
      <c r="CK46" s="26">
        <f t="shared" si="72"/>
        <v>1.0541715702228598</v>
      </c>
      <c r="CL46" s="26">
        <f t="shared" si="100"/>
        <v>2033829.79213127</v>
      </c>
      <c r="CM46" s="26">
        <f t="shared" si="101"/>
        <v>0.95475556384029281</v>
      </c>
      <c r="CN46" s="26">
        <f t="shared" si="73"/>
        <v>1.0314528950950455</v>
      </c>
      <c r="CO46" s="26">
        <f t="shared" si="102"/>
        <v>1897034.3462291346</v>
      </c>
      <c r="CP46" s="26">
        <f t="shared" si="67"/>
        <v>0.64608964967092497</v>
      </c>
      <c r="CQ46" s="26">
        <f t="shared" si="103"/>
        <v>0.8676799069426685</v>
      </c>
      <c r="CR46" s="26">
        <f t="shared" si="74"/>
        <v>1.0431085783660614</v>
      </c>
      <c r="CS46" s="26">
        <f t="shared" si="104"/>
        <v>1744325.0393220996</v>
      </c>
      <c r="CT46" s="26">
        <f t="shared" si="105"/>
        <v>1849407.8547280994</v>
      </c>
      <c r="CU46" s="26">
        <f t="shared" si="106"/>
        <v>1.0777624907290386</v>
      </c>
      <c r="CV46" s="26">
        <f t="shared" si="75"/>
        <v>1.1483471371577783</v>
      </c>
      <c r="CW46" s="26">
        <f t="shared" si="107"/>
        <v>2049640.6736787469</v>
      </c>
      <c r="CX46" s="26">
        <f t="shared" si="108"/>
        <v>1.0958122462056246</v>
      </c>
      <c r="CY46" s="26">
        <f t="shared" si="113"/>
        <v>1.0913000970846103</v>
      </c>
      <c r="CZ46" s="26">
        <f t="shared" si="68"/>
        <v>2312437.2792978361</v>
      </c>
      <c r="DA46" s="50">
        <v>1965</v>
      </c>
      <c r="DB46" s="50">
        <v>1.0592491126352175</v>
      </c>
      <c r="DC46" s="50">
        <v>0.5713619707067159</v>
      </c>
      <c r="DD46" s="50">
        <v>1.1598980609090619</v>
      </c>
      <c r="DE46" s="26">
        <f t="shared" si="86"/>
        <v>-0.58663134225831826</v>
      </c>
      <c r="DN46" s="50">
        <v>12</v>
      </c>
      <c r="DO46" s="50">
        <v>1.0915484768905614</v>
      </c>
      <c r="DP46" s="50">
        <v>-1.8273368564838632E-2</v>
      </c>
      <c r="DQ46" s="50">
        <v>-4.3230023397072014E-2</v>
      </c>
      <c r="DR46" s="26">
        <f t="shared" si="111"/>
        <v>-0.78561905350715755</v>
      </c>
      <c r="DZ46" s="50">
        <v>13</v>
      </c>
      <c r="EA46" s="50">
        <v>1.1366874519002037</v>
      </c>
      <c r="EB46" s="50">
        <v>-0.30138498221667598</v>
      </c>
      <c r="EC46" s="50">
        <v>-0.68198996469234163</v>
      </c>
      <c r="ED46" s="26">
        <f t="shared" si="109"/>
        <v>0.84262294218836353</v>
      </c>
      <c r="EJ46" s="50">
        <v>15</v>
      </c>
      <c r="EK46" s="50">
        <v>1.0591314889070134</v>
      </c>
      <c r="EL46" s="50">
        <v>0.57147959443492002</v>
      </c>
      <c r="EM46" s="50">
        <v>1.3100672951746279</v>
      </c>
      <c r="EN46" s="26">
        <f t="shared" si="87"/>
        <v>-0.71058108797687103</v>
      </c>
      <c r="EU46" s="50">
        <v>15</v>
      </c>
      <c r="EV46" s="50">
        <v>1.1041031916223674</v>
      </c>
      <c r="EW46" s="50">
        <v>0.52650789171956602</v>
      </c>
      <c r="EX46" s="50">
        <v>1.2185056279091446</v>
      </c>
      <c r="EY46" s="26">
        <f t="shared" si="88"/>
        <v>-0.78441808569402116</v>
      </c>
      <c r="FF46" s="50">
        <v>14</v>
      </c>
      <c r="FG46" s="50">
        <v>1.0556973063012949</v>
      </c>
      <c r="FH46" s="50">
        <v>0.33134434886963127</v>
      </c>
      <c r="FI46" s="50">
        <v>0.78452605660212515</v>
      </c>
      <c r="FJ46" s="26">
        <f t="shared" si="91"/>
        <v>1.3307725403704198</v>
      </c>
      <c r="FP46" s="50">
        <v>14</v>
      </c>
      <c r="FQ46" s="50">
        <v>1.0264822834489331</v>
      </c>
      <c r="FR46" s="50">
        <v>0.36055937172199304</v>
      </c>
      <c r="FS46" s="50">
        <v>0.87258517109648648</v>
      </c>
      <c r="FT46" s="26">
        <f t="shared" si="92"/>
        <v>1.156966684535474</v>
      </c>
      <c r="FZ46" s="50">
        <v>15</v>
      </c>
      <c r="GA46" s="50">
        <v>1.1427634529970261</v>
      </c>
      <c r="GB46" s="50">
        <v>0.4878476303449073</v>
      </c>
      <c r="GC46" s="50">
        <v>1.1442349929812172</v>
      </c>
      <c r="GD46" s="26">
        <f t="shared" si="89"/>
        <v>-0.52013586004117374</v>
      </c>
      <c r="GJ46" s="50">
        <v>13</v>
      </c>
      <c r="GK46" s="50">
        <v>1.1355490502376142</v>
      </c>
      <c r="GL46" s="50">
        <v>-0.30024658055408648</v>
      </c>
      <c r="GM46" s="50">
        <v>-0.73342861398336989</v>
      </c>
      <c r="GT46" s="46">
        <v>14</v>
      </c>
      <c r="GU46" s="46">
        <v>0.98574493978517563</v>
      </c>
      <c r="GV46" s="46">
        <v>0.40129671538575051</v>
      </c>
      <c r="GW46" s="46">
        <v>0.99066499822902199</v>
      </c>
      <c r="GX46"/>
      <c r="GY46"/>
      <c r="GZ46"/>
      <c r="HA46"/>
      <c r="HB46"/>
      <c r="HD46" s="46">
        <v>14</v>
      </c>
      <c r="HE46" s="46">
        <v>1.243473450557933</v>
      </c>
      <c r="HF46" s="46">
        <v>-0.17687011740542125</v>
      </c>
      <c r="HG46" s="46">
        <v>-0.52902807551754527</v>
      </c>
      <c r="HH46"/>
      <c r="HI46"/>
      <c r="HJ46"/>
      <c r="HK46"/>
      <c r="HL46"/>
    </row>
    <row r="47" spans="1:220" s="26" customFormat="1" ht="12.75" customHeight="1" x14ac:dyDescent="0.35">
      <c r="A47" s="26" t="s">
        <v>55</v>
      </c>
      <c r="B47" s="26">
        <v>1995</v>
      </c>
      <c r="C47" s="26">
        <f>'Orig data'!G49</f>
        <v>1628542</v>
      </c>
      <c r="D47" s="26">
        <f>'Orig data'!Q49</f>
        <v>1844441</v>
      </c>
      <c r="E47" s="26">
        <f>'Orig data'!W49</f>
        <v>2891781.1987866559</v>
      </c>
      <c r="F47" s="26">
        <f t="shared" si="25"/>
        <v>1628.5419999999999</v>
      </c>
      <c r="G47" s="26">
        <f t="shared" si="26"/>
        <v>2891.7811987866558</v>
      </c>
      <c r="H47" s="26">
        <f t="shared" si="27"/>
        <v>0.57418750802358465</v>
      </c>
      <c r="I47" s="26">
        <f t="shared" si="28"/>
        <v>215899</v>
      </c>
      <c r="J47" s="26">
        <f t="shared" si="29"/>
        <v>0.11705389329341519</v>
      </c>
      <c r="K47" s="26">
        <f t="shared" si="30"/>
        <v>1995</v>
      </c>
      <c r="L47" s="26">
        <f>covariates!R55</f>
        <v>1628542</v>
      </c>
      <c r="M47" s="26">
        <f t="shared" si="31"/>
        <v>-0.14591972996097652</v>
      </c>
      <c r="N47" s="26">
        <f t="shared" si="32"/>
        <v>0.96264737879259443</v>
      </c>
      <c r="O47" s="26">
        <f t="shared" si="33"/>
        <v>-0.67839888030260287</v>
      </c>
      <c r="P47" s="26">
        <f t="shared" si="34"/>
        <v>1628542</v>
      </c>
      <c r="Q47" s="26">
        <f t="shared" si="35"/>
        <v>9.7853271716152809E-2</v>
      </c>
      <c r="R47" s="26">
        <f t="shared" si="36"/>
        <v>0.96264737879259443</v>
      </c>
      <c r="S47" s="26">
        <f t="shared" si="37"/>
        <v>-0.67839888030260287</v>
      </c>
      <c r="T47" s="26">
        <f t="shared" si="38"/>
        <v>1628542</v>
      </c>
      <c r="U47" s="26">
        <f t="shared" si="39"/>
        <v>-1.1852272672490451</v>
      </c>
      <c r="V47" s="26">
        <f t="shared" si="40"/>
        <v>-0.67839888030260287</v>
      </c>
      <c r="W47" s="26">
        <f t="shared" si="41"/>
        <v>-0.14591972996097652</v>
      </c>
      <c r="X47" s="26">
        <f t="shared" si="42"/>
        <v>1628542</v>
      </c>
      <c r="Y47" s="26">
        <f t="shared" si="43"/>
        <v>1.3930494207914943</v>
      </c>
      <c r="Z47" s="105">
        <f t="shared" si="44"/>
        <v>-0.67839888030260287</v>
      </c>
      <c r="AA47" s="105">
        <f t="shared" si="45"/>
        <v>-0.14591972996097652</v>
      </c>
      <c r="AB47" s="105">
        <f t="shared" si="46"/>
        <v>1628542</v>
      </c>
      <c r="AC47" s="159">
        <f t="shared" si="47"/>
        <v>-1.3879316172562517</v>
      </c>
      <c r="AD47" s="105">
        <f t="shared" si="48"/>
        <v>-0.67839888030260287</v>
      </c>
      <c r="AE47" s="105">
        <f t="shared" si="49"/>
        <v>-0.14591972996097652</v>
      </c>
      <c r="AF47" s="105">
        <f t="shared" si="50"/>
        <v>1628542</v>
      </c>
      <c r="AG47" s="105">
        <f>covariates!X55</f>
        <v>-1.3879316172562517</v>
      </c>
      <c r="AH47" s="105">
        <f t="shared" si="51"/>
        <v>-0.67839888030260287</v>
      </c>
      <c r="AI47" s="159">
        <f t="shared" si="52"/>
        <v>0.96264737879259443</v>
      </c>
      <c r="AJ47" s="105">
        <f t="shared" si="53"/>
        <v>-0.14591972996097652</v>
      </c>
      <c r="AK47" s="105"/>
      <c r="AL47" s="105"/>
      <c r="AM47" s="105"/>
      <c r="AN47" s="105"/>
      <c r="AO47" s="105"/>
      <c r="AP47" s="105">
        <f t="shared" si="54"/>
        <v>1628542</v>
      </c>
      <c r="AQ47" s="105">
        <f>covariates!T55</f>
        <v>1.3930494207914943</v>
      </c>
      <c r="AR47" s="105">
        <f t="shared" si="55"/>
        <v>-0.67839888030260287</v>
      </c>
      <c r="AS47" s="105">
        <f t="shared" si="56"/>
        <v>0.96264737879259443</v>
      </c>
      <c r="AT47" s="26">
        <f t="shared" si="57"/>
        <v>-0.14591972996097652</v>
      </c>
      <c r="AU47" s="26">
        <f t="shared" si="58"/>
        <v>1628542</v>
      </c>
      <c r="AV47" s="26">
        <f t="shared" si="59"/>
        <v>-1.3879316172562517</v>
      </c>
      <c r="AW47" s="26">
        <f t="shared" si="60"/>
        <v>-0.67839888030260287</v>
      </c>
      <c r="AX47" s="26">
        <f t="shared" si="61"/>
        <v>0.96264737879259443</v>
      </c>
      <c r="AY47" s="26">
        <f t="shared" si="62"/>
        <v>-0.14591972996097652</v>
      </c>
      <c r="AZ47" s="26">
        <f t="shared" si="63"/>
        <v>9.7853271716152809E-2</v>
      </c>
      <c r="BA47" s="61">
        <v>1995</v>
      </c>
      <c r="BB47" s="164">
        <f t="shared" si="4"/>
        <v>1628542</v>
      </c>
      <c r="BC47" s="105">
        <f t="shared" si="5"/>
        <v>-1.3879316172562517</v>
      </c>
      <c r="BD47" s="105">
        <f t="shared" si="6"/>
        <v>-0.67839888030260287</v>
      </c>
      <c r="BE47" s="105">
        <f t="shared" si="7"/>
        <v>0.96264737879259443</v>
      </c>
      <c r="BF47" s="105">
        <f t="shared" si="8"/>
        <v>-0.14591972996097652</v>
      </c>
      <c r="BG47">
        <v>277</v>
      </c>
      <c r="BH47" s="61">
        <f t="shared" si="78"/>
        <v>1995</v>
      </c>
      <c r="BI47" s="61">
        <f t="shared" si="79"/>
        <v>1628542</v>
      </c>
      <c r="BJ47" s="26">
        <f t="shared" si="80"/>
        <v>-1.3879316172562517</v>
      </c>
      <c r="BK47" s="26">
        <f t="shared" si="81"/>
        <v>-0.67839888030260287</v>
      </c>
      <c r="BL47" s="26">
        <f t="shared" si="82"/>
        <v>0.96264737879259443</v>
      </c>
      <c r="BM47" s="26">
        <f t="shared" si="83"/>
        <v>-0.14591972996097652</v>
      </c>
      <c r="BN47" s="61">
        <f t="shared" si="84"/>
        <v>277</v>
      </c>
      <c r="BO47" s="26">
        <f t="shared" si="85"/>
        <v>0.57418750802358465</v>
      </c>
      <c r="BR47" s="26">
        <f>covariates!V55</f>
        <v>-0.14591972996097652</v>
      </c>
      <c r="BS47" s="26">
        <f>covariates!W55</f>
        <v>-1.1852272672490451</v>
      </c>
      <c r="BT47" s="26">
        <f>covariates!Y55</f>
        <v>0.96264737879259443</v>
      </c>
      <c r="BU47" s="26">
        <f>covariates!U55</f>
        <v>-0.67839888030260287</v>
      </c>
      <c r="BV47" s="26">
        <f>covariates!AA55</f>
        <v>9.7853271716152809E-2</v>
      </c>
      <c r="BW47" s="26">
        <f t="shared" si="90"/>
        <v>0.57418750802358465</v>
      </c>
      <c r="BX47" s="26">
        <f t="shared" si="76"/>
        <v>-0.76945436806962253</v>
      </c>
      <c r="BY47" s="26">
        <f t="shared" si="112"/>
        <v>-0.76057812645171086</v>
      </c>
      <c r="BZ47" s="26">
        <f t="shared" si="93"/>
        <v>1995</v>
      </c>
      <c r="CA47" s="26">
        <f t="shared" si="94"/>
        <v>0.90274793388162389</v>
      </c>
      <c r="CB47" s="26">
        <f t="shared" si="70"/>
        <v>1.0362094520439826</v>
      </c>
      <c r="CC47" s="26">
        <f t="shared" si="110"/>
        <v>1739791.0840436181</v>
      </c>
      <c r="CD47" s="26">
        <f t="shared" si="95"/>
        <v>0.79597129061727756</v>
      </c>
      <c r="CE47" s="26">
        <f t="shared" si="70"/>
        <v>0.88961253463799961</v>
      </c>
      <c r="CF47" s="26">
        <f t="shared" si="96"/>
        <v>1703995.9595336835</v>
      </c>
      <c r="CG47" s="26">
        <f t="shared" si="97"/>
        <v>0.88994904163412336</v>
      </c>
      <c r="CH47" s="26">
        <f t="shared" si="71"/>
        <v>0.96243187221652593</v>
      </c>
      <c r="CI47" s="26">
        <f t="shared" si="98"/>
        <v>1786258.883475458</v>
      </c>
      <c r="CJ47" s="26">
        <f t="shared" si="99"/>
        <v>0.92956537571519404</v>
      </c>
      <c r="CK47" s="26">
        <f t="shared" si="72"/>
        <v>1.0642053910389211</v>
      </c>
      <c r="CL47" s="26">
        <f t="shared" si="100"/>
        <v>1761725.3567067776</v>
      </c>
      <c r="CM47" s="26">
        <f t="shared" si="101"/>
        <v>0.76948621763916047</v>
      </c>
      <c r="CN47" s="26">
        <f t="shared" si="73"/>
        <v>1.0348411221846434</v>
      </c>
      <c r="CO47" s="26">
        <f t="shared" si="102"/>
        <v>1569599.6203628709</v>
      </c>
      <c r="CP47" s="26">
        <f t="shared" si="67"/>
        <v>0.61105207606979484</v>
      </c>
      <c r="CQ47" s="26">
        <f t="shared" si="103"/>
        <v>0.85568005748475573</v>
      </c>
      <c r="CR47" s="26">
        <f t="shared" si="74"/>
        <v>1.0377496404231352</v>
      </c>
      <c r="CS47" s="26">
        <f t="shared" si="104"/>
        <v>1716169.8004690837</v>
      </c>
      <c r="CT47" s="26">
        <f t="shared" si="105"/>
        <v>1850402.5267631859</v>
      </c>
      <c r="CU47" s="26">
        <f t="shared" si="106"/>
        <v>0.90931154374903689</v>
      </c>
      <c r="CV47" s="26">
        <f t="shared" si="75"/>
        <v>1.1673438591423086</v>
      </c>
      <c r="CW47" s="26">
        <f t="shared" si="107"/>
        <v>1726402.5855908331</v>
      </c>
      <c r="CX47" s="26">
        <f t="shared" si="108"/>
        <v>0.99268158642160631</v>
      </c>
      <c r="CY47" s="26">
        <f t="shared" si="113"/>
        <v>1.1205552283442308</v>
      </c>
      <c r="CZ47" s="26">
        <f t="shared" si="68"/>
        <v>2074429.8670126677</v>
      </c>
      <c r="DA47" s="50">
        <v>1966</v>
      </c>
      <c r="DB47" s="50">
        <v>0.91548746620026089</v>
      </c>
      <c r="DC47" s="50">
        <v>-0.28897267017443296</v>
      </c>
      <c r="DD47" s="50">
        <v>-0.58663134225831826</v>
      </c>
      <c r="DE47" s="26">
        <f t="shared" si="86"/>
        <v>-0.14371098155862766</v>
      </c>
      <c r="DN47" s="50">
        <v>13</v>
      </c>
      <c r="DO47" s="50">
        <v>1.1673843282667526</v>
      </c>
      <c r="DP47" s="50">
        <v>-0.33208185858322492</v>
      </c>
      <c r="DQ47" s="50">
        <v>-0.78561905350715755</v>
      </c>
      <c r="DR47" s="26">
        <f t="shared" si="111"/>
        <v>0.77404268082389915</v>
      </c>
      <c r="DZ47" s="50">
        <v>14</v>
      </c>
      <c r="EA47" s="50">
        <v>1.0146697529518569</v>
      </c>
      <c r="EB47" s="50">
        <v>0.37237190221906924</v>
      </c>
      <c r="EC47" s="50">
        <v>0.84262294218836353</v>
      </c>
      <c r="ED47" s="26">
        <f t="shared" si="109"/>
        <v>1.3717586772317563</v>
      </c>
      <c r="EJ47" s="50">
        <v>16</v>
      </c>
      <c r="EK47" s="50">
        <v>0.93648558414172922</v>
      </c>
      <c r="EL47" s="50">
        <v>-0.30997078811590129</v>
      </c>
      <c r="EM47" s="50">
        <v>-0.71058108797687103</v>
      </c>
      <c r="EN47" s="26">
        <f t="shared" si="87"/>
        <v>-0.19050560588855628</v>
      </c>
      <c r="EU47" s="50">
        <v>16</v>
      </c>
      <c r="EV47" s="50">
        <v>0.96545644969232347</v>
      </c>
      <c r="EW47" s="50">
        <v>-0.33894165366649553</v>
      </c>
      <c r="EX47" s="50">
        <v>-0.78441808569402116</v>
      </c>
      <c r="EY47" s="26">
        <f t="shared" si="88"/>
        <v>-0.25336457823950148</v>
      </c>
      <c r="FF47" s="50">
        <v>15</v>
      </c>
      <c r="FG47" s="50">
        <v>1.0685596929873515</v>
      </c>
      <c r="FH47" s="50">
        <v>0.56205139035458185</v>
      </c>
      <c r="FI47" s="50">
        <v>1.3307725403704198</v>
      </c>
      <c r="FJ47" s="26">
        <f t="shared" si="91"/>
        <v>-0.8751403164790692</v>
      </c>
      <c r="FP47" s="50">
        <v>15</v>
      </c>
      <c r="FQ47" s="50">
        <v>1.152542930573313</v>
      </c>
      <c r="FR47" s="50">
        <v>0.47806815276862036</v>
      </c>
      <c r="FS47" s="50">
        <v>1.156966684535474</v>
      </c>
      <c r="FT47" s="26">
        <f t="shared" si="92"/>
        <v>-0.63449079257419516</v>
      </c>
      <c r="FZ47" s="50">
        <v>16</v>
      </c>
      <c r="GA47" s="50">
        <v>0.84827610234401551</v>
      </c>
      <c r="GB47" s="50">
        <v>-0.22176130631818758</v>
      </c>
      <c r="GC47" s="50">
        <v>-0.52013586004117374</v>
      </c>
      <c r="GD47" s="26">
        <f t="shared" si="89"/>
        <v>0.11642650185203743</v>
      </c>
      <c r="GJ47" s="50">
        <v>14</v>
      </c>
      <c r="GK47" s="50">
        <v>1.039678906625098</v>
      </c>
      <c r="GL47" s="50">
        <v>0.34736274854582816</v>
      </c>
      <c r="GM47" s="50">
        <v>0.84852183410470849</v>
      </c>
      <c r="GT47" s="46">
        <v>15</v>
      </c>
      <c r="GU47" s="46">
        <v>1.0949696916788088</v>
      </c>
      <c r="GV47" s="46">
        <v>0.53564139166312463</v>
      </c>
      <c r="GW47" s="46">
        <v>1.3223162761580445</v>
      </c>
      <c r="GX47"/>
      <c r="GY47"/>
      <c r="GZ47"/>
      <c r="HA47"/>
      <c r="HB47"/>
      <c r="HD47" s="46">
        <v>15</v>
      </c>
      <c r="HE47" s="46">
        <v>1.0051097831120841</v>
      </c>
      <c r="HF47" s="46">
        <v>-0.23752506403455709</v>
      </c>
      <c r="HG47" s="46">
        <v>-0.71045029740864485</v>
      </c>
      <c r="HH47"/>
      <c r="HI47"/>
      <c r="HJ47"/>
      <c r="HK47"/>
      <c r="HL47"/>
    </row>
    <row r="48" spans="1:220" s="26" customFormat="1" ht="12.75" customHeight="1" x14ac:dyDescent="0.35">
      <c r="A48" s="26" t="s">
        <v>96</v>
      </c>
      <c r="B48" s="26">
        <v>1996</v>
      </c>
      <c r="C48" s="26">
        <f>'Orig data'!G50</f>
        <v>1186180</v>
      </c>
      <c r="D48" s="26">
        <f>'Orig data'!R50</f>
        <v>1248442.946191224</v>
      </c>
      <c r="E48" s="26">
        <f>'Orig data'!W50</f>
        <v>1406508.3752676437</v>
      </c>
      <c r="F48" s="26">
        <f t="shared" si="25"/>
        <v>1186.18</v>
      </c>
      <c r="G48" s="26">
        <f t="shared" si="26"/>
        <v>1406.5083752676437</v>
      </c>
      <c r="H48" s="26">
        <f t="shared" si="27"/>
        <v>0.17037224390010886</v>
      </c>
      <c r="I48" s="26">
        <f t="shared" si="28"/>
        <v>62262.946191224037</v>
      </c>
      <c r="J48" s="26">
        <f t="shared" si="29"/>
        <v>4.9872480261254341E-2</v>
      </c>
      <c r="K48" s="26">
        <f t="shared" si="30"/>
        <v>1996</v>
      </c>
      <c r="L48" s="26">
        <f>covariates!R56</f>
        <v>1186180</v>
      </c>
      <c r="M48" s="26">
        <f t="shared" si="31"/>
        <v>-6.2940749098387677E-2</v>
      </c>
      <c r="N48" s="26">
        <f t="shared" si="32"/>
        <v>0.56988044708622532</v>
      </c>
      <c r="O48" s="26">
        <f t="shared" si="33"/>
        <v>-1.1973066331168454</v>
      </c>
      <c r="P48" s="26">
        <f t="shared" si="34"/>
        <v>1186180</v>
      </c>
      <c r="Q48" s="26">
        <f t="shared" si="35"/>
        <v>0.37074377044382401</v>
      </c>
      <c r="R48" s="26">
        <f t="shared" si="36"/>
        <v>0.56988044708622532</v>
      </c>
      <c r="S48" s="26">
        <f t="shared" si="37"/>
        <v>-1.1973066331168454</v>
      </c>
      <c r="T48" s="26">
        <f t="shared" si="38"/>
        <v>1186180</v>
      </c>
      <c r="U48" s="26">
        <f t="shared" si="39"/>
        <v>-0.12962243812786722</v>
      </c>
      <c r="V48" s="26">
        <f t="shared" si="40"/>
        <v>-1.1973066331168454</v>
      </c>
      <c r="W48" s="26">
        <f t="shared" si="41"/>
        <v>-6.2940749098387677E-2</v>
      </c>
      <c r="X48" s="26">
        <f t="shared" si="42"/>
        <v>1186180</v>
      </c>
      <c r="Y48" s="26">
        <f t="shared" si="43"/>
        <v>1.4313072693984519</v>
      </c>
      <c r="Z48" s="105">
        <f t="shared" si="44"/>
        <v>-1.1973066331168454</v>
      </c>
      <c r="AA48" s="105">
        <f t="shared" si="45"/>
        <v>-6.2940749098387677E-2</v>
      </c>
      <c r="AB48" s="105">
        <f t="shared" si="46"/>
        <v>1186180</v>
      </c>
      <c r="AC48" s="159">
        <f t="shared" si="47"/>
        <v>-0.26913195325044026</v>
      </c>
      <c r="AD48" s="105">
        <f t="shared" si="48"/>
        <v>-1.1973066331168454</v>
      </c>
      <c r="AE48" s="105">
        <f t="shared" si="49"/>
        <v>-6.2940749098387677E-2</v>
      </c>
      <c r="AF48" s="105">
        <f t="shared" si="50"/>
        <v>1186180</v>
      </c>
      <c r="AG48" s="105">
        <f>covariates!X56</f>
        <v>-0.26913195325044026</v>
      </c>
      <c r="AH48" s="105">
        <f t="shared" si="51"/>
        <v>-1.1973066331168454</v>
      </c>
      <c r="AI48" s="159">
        <f t="shared" si="52"/>
        <v>0.56988044708622532</v>
      </c>
      <c r="AJ48" s="105">
        <f t="shared" si="53"/>
        <v>-6.2940749098387677E-2</v>
      </c>
      <c r="AK48" s="105"/>
      <c r="AL48" s="105"/>
      <c r="AM48" s="105"/>
      <c r="AN48" s="105"/>
      <c r="AO48" s="105"/>
      <c r="AP48" s="105">
        <f t="shared" si="54"/>
        <v>1186180</v>
      </c>
      <c r="AQ48" s="105">
        <f>covariates!T56</f>
        <v>1.4313072693984519</v>
      </c>
      <c r="AR48" s="105">
        <f t="shared" si="55"/>
        <v>-1.1973066331168454</v>
      </c>
      <c r="AS48" s="105">
        <f t="shared" si="56"/>
        <v>0.56988044708622532</v>
      </c>
      <c r="AT48" s="26">
        <f t="shared" si="57"/>
        <v>-6.2940749098387677E-2</v>
      </c>
      <c r="AU48" s="26">
        <f t="shared" si="58"/>
        <v>1186180</v>
      </c>
      <c r="AV48" s="26">
        <f t="shared" si="59"/>
        <v>-0.26913195325044026</v>
      </c>
      <c r="AW48" s="26">
        <f t="shared" si="60"/>
        <v>-1.1973066331168454</v>
      </c>
      <c r="AX48" s="26">
        <f t="shared" si="61"/>
        <v>0.56988044708622532</v>
      </c>
      <c r="AY48" s="26">
        <f t="shared" si="62"/>
        <v>-6.2940749098387677E-2</v>
      </c>
      <c r="AZ48" s="26">
        <f t="shared" si="63"/>
        <v>0.37074377044382401</v>
      </c>
      <c r="BA48" s="61">
        <v>1996</v>
      </c>
      <c r="BB48" s="164">
        <f t="shared" si="4"/>
        <v>1186180</v>
      </c>
      <c r="BC48" s="105">
        <f t="shared" si="5"/>
        <v>-0.26913195325044026</v>
      </c>
      <c r="BD48" s="105">
        <f t="shared" si="6"/>
        <v>-1.1973066331168454</v>
      </c>
      <c r="BE48" s="105">
        <f t="shared" si="7"/>
        <v>0.56988044708622532</v>
      </c>
      <c r="BF48" s="105">
        <f t="shared" si="8"/>
        <v>-6.2940749098387677E-2</v>
      </c>
      <c r="BG48">
        <v>279</v>
      </c>
      <c r="BH48" s="61">
        <f t="shared" si="78"/>
        <v>1996</v>
      </c>
      <c r="BI48" s="61">
        <f t="shared" si="79"/>
        <v>1186180</v>
      </c>
      <c r="BJ48" s="26">
        <f t="shared" si="80"/>
        <v>-0.26913195325044026</v>
      </c>
      <c r="BK48" s="26">
        <f t="shared" si="81"/>
        <v>-1.1973066331168454</v>
      </c>
      <c r="BL48" s="26">
        <f t="shared" si="82"/>
        <v>0.56988044708622532</v>
      </c>
      <c r="BM48" s="26">
        <f t="shared" si="83"/>
        <v>-6.2940749098387677E-2</v>
      </c>
      <c r="BN48" s="61">
        <f t="shared" si="84"/>
        <v>279</v>
      </c>
      <c r="BO48" s="26">
        <f t="shared" si="85"/>
        <v>0.17037224390010886</v>
      </c>
      <c r="BR48" s="26">
        <f>covariates!V56</f>
        <v>-6.2940749098387677E-2</v>
      </c>
      <c r="BS48" s="26">
        <f>covariates!W56</f>
        <v>-0.12962243812786722</v>
      </c>
      <c r="BT48" s="26">
        <f>covariates!Y56</f>
        <v>0.56988044708622532</v>
      </c>
      <c r="BU48" s="26">
        <f>covariates!U56</f>
        <v>-1.1973066331168454</v>
      </c>
      <c r="BV48" s="26">
        <f>covariates!AA56</f>
        <v>0.37074377044382401</v>
      </c>
      <c r="BW48" s="26">
        <f t="shared" si="90"/>
        <v>0.17037224390010886</v>
      </c>
      <c r="BX48" s="26">
        <f t="shared" si="76"/>
        <v>-0.76945436806962253</v>
      </c>
      <c r="BY48" s="26">
        <f t="shared" si="112"/>
        <v>-0.76057812645171086</v>
      </c>
      <c r="BZ48" s="26">
        <f t="shared" si="93"/>
        <v>1996</v>
      </c>
      <c r="CA48" s="26">
        <f t="shared" si="94"/>
        <v>0.86750073222842927</v>
      </c>
      <c r="CB48" s="26">
        <f t="shared" si="70"/>
        <v>1.0371314547109918</v>
      </c>
      <c r="CC48" s="26">
        <f t="shared" si="110"/>
        <v>1535468.4021360893</v>
      </c>
      <c r="CD48" s="26">
        <f t="shared" si="95"/>
        <v>0.71293589494399368</v>
      </c>
      <c r="CE48" s="26">
        <f t="shared" si="70"/>
        <v>0.88452264704232009</v>
      </c>
      <c r="CF48" s="26">
        <f t="shared" si="96"/>
        <v>1400600.982750623</v>
      </c>
      <c r="CG48" s="26">
        <f t="shared" si="97"/>
        <v>0.8191423163986753</v>
      </c>
      <c r="CH48" s="26">
        <f t="shared" si="71"/>
        <v>0.98281123109799373</v>
      </c>
      <c r="CI48" s="26">
        <f t="shared" si="98"/>
        <v>1505308.7470440832</v>
      </c>
      <c r="CJ48" s="26">
        <f t="shared" si="99"/>
        <v>0.89743123538130365</v>
      </c>
      <c r="CK48" s="26">
        <f t="shared" si="72"/>
        <v>1.0621727782624948</v>
      </c>
      <c r="CL48" s="26">
        <f t="shared" si="100"/>
        <v>1565739.8127211686</v>
      </c>
      <c r="CM48" s="26">
        <f t="shared" si="101"/>
        <v>0.84323355308114556</v>
      </c>
      <c r="CN48" s="26">
        <f t="shared" si="73"/>
        <v>1.0368138423775961</v>
      </c>
      <c r="CO48" s="26">
        <f t="shared" si="102"/>
        <v>1532117.0223869774</v>
      </c>
      <c r="CP48" s="26">
        <f t="shared" si="67"/>
        <v>-8.5540150153960326E-2</v>
      </c>
      <c r="CQ48" s="26">
        <f t="shared" si="103"/>
        <v>0.89372311863165432</v>
      </c>
      <c r="CR48" s="26">
        <f t="shared" si="74"/>
        <v>1.0582348539419864</v>
      </c>
      <c r="CS48" s="26">
        <f t="shared" si="104"/>
        <v>1615078.8675259659</v>
      </c>
      <c r="CT48" s="26">
        <f t="shared" si="105"/>
        <v>1774183.161256178</v>
      </c>
      <c r="CU48" s="26">
        <f t="shared" si="106"/>
        <v>1.00166660737525</v>
      </c>
      <c r="CV48" s="26">
        <f t="shared" si="75"/>
        <v>1.1894086354269604</v>
      </c>
      <c r="CW48" s="26">
        <f t="shared" si="107"/>
        <v>1737754.5791031164</v>
      </c>
      <c r="CX48" s="26">
        <f t="shared" si="108"/>
        <v>0.97217928406420073</v>
      </c>
      <c r="CY48" s="26">
        <f t="shared" si="113"/>
        <v>1.1463007221875159</v>
      </c>
      <c r="CZ48" s="26">
        <f t="shared" si="68"/>
        <v>1815107.7040367068</v>
      </c>
      <c r="DA48" s="50">
        <v>1967</v>
      </c>
      <c r="DB48" s="50">
        <v>1.0067942037644522</v>
      </c>
      <c r="DC48" s="50">
        <v>-7.079155695042727E-2</v>
      </c>
      <c r="DD48" s="50">
        <v>-0.14371098155862766</v>
      </c>
      <c r="DE48" s="26">
        <f t="shared" si="86"/>
        <v>-0.17873884336010298</v>
      </c>
      <c r="DN48" s="50">
        <v>14</v>
      </c>
      <c r="DO48" s="50">
        <v>1.0598531394097048</v>
      </c>
      <c r="DP48" s="50">
        <v>0.32718851576122132</v>
      </c>
      <c r="DQ48" s="50">
        <v>0.77404268082389915</v>
      </c>
      <c r="DR48" s="26">
        <f t="shared" si="111"/>
        <v>1.3009890129034247</v>
      </c>
      <c r="DZ48" s="50">
        <v>15</v>
      </c>
      <c r="EA48" s="50">
        <v>1.0244035349221137</v>
      </c>
      <c r="EB48" s="50">
        <v>0.60620754841981972</v>
      </c>
      <c r="EC48" s="50">
        <v>1.3717586772317563</v>
      </c>
      <c r="ED48" s="26">
        <f t="shared" si="109"/>
        <v>-0.72331461841971978</v>
      </c>
      <c r="EJ48" s="50">
        <v>17</v>
      </c>
      <c r="EK48" s="50">
        <v>1.0191052987096734</v>
      </c>
      <c r="EL48" s="50">
        <v>-8.3102651895648472E-2</v>
      </c>
      <c r="EM48" s="50">
        <v>-0.19050560588855628</v>
      </c>
      <c r="EN48" s="26">
        <f t="shared" si="87"/>
        <v>-0.24325156108992729</v>
      </c>
      <c r="EU48" s="50">
        <v>17</v>
      </c>
      <c r="EV48" s="50">
        <v>1.0454797365129849</v>
      </c>
      <c r="EW48" s="50">
        <v>-0.10947708969895997</v>
      </c>
      <c r="EX48" s="50">
        <v>-0.25336457823950148</v>
      </c>
      <c r="EY48" s="26">
        <f t="shared" si="88"/>
        <v>-0.37428458741105258</v>
      </c>
      <c r="FF48" s="50">
        <v>16</v>
      </c>
      <c r="FG48" s="50">
        <v>0.99613005085780459</v>
      </c>
      <c r="FH48" s="50">
        <v>-0.36961525483197666</v>
      </c>
      <c r="FI48" s="50">
        <v>-0.8751403164790692</v>
      </c>
      <c r="FJ48" s="26">
        <f t="shared" si="91"/>
        <v>-0.31295303472859437</v>
      </c>
      <c r="FP48" s="50">
        <v>16</v>
      </c>
      <c r="FQ48" s="50">
        <v>0.88869161166718003</v>
      </c>
      <c r="FR48" s="50">
        <v>-0.26217681564135209</v>
      </c>
      <c r="FS48" s="50">
        <v>-0.63449079257419516</v>
      </c>
      <c r="FT48" s="26">
        <f t="shared" si="92"/>
        <v>7.5006780819276891E-2</v>
      </c>
      <c r="FZ48" s="50">
        <v>17</v>
      </c>
      <c r="GA48" s="50">
        <v>0.88636389831719775</v>
      </c>
      <c r="GB48" s="50">
        <v>4.9638748496827145E-2</v>
      </c>
      <c r="GC48" s="50">
        <v>0.11642650185203743</v>
      </c>
      <c r="GD48" s="26">
        <f t="shared" si="89"/>
        <v>-0.14306158868415284</v>
      </c>
      <c r="GJ48" s="50">
        <v>15</v>
      </c>
      <c r="GK48" s="50">
        <v>1.1787313114962203</v>
      </c>
      <c r="GL48" s="50">
        <v>0.45187977184571304</v>
      </c>
      <c r="GM48" s="50">
        <v>1.103831238112037</v>
      </c>
      <c r="GT48" s="46">
        <v>16</v>
      </c>
      <c r="GU48" s="46">
        <v>0.85754866251353135</v>
      </c>
      <c r="GV48" s="46">
        <v>-0.23103386648770341</v>
      </c>
      <c r="GW48" s="46">
        <v>-0.57034397780922363</v>
      </c>
      <c r="GX48"/>
      <c r="GY48"/>
      <c r="GZ48"/>
      <c r="HA48"/>
      <c r="HB48"/>
      <c r="HD48" s="46">
        <v>16</v>
      </c>
      <c r="HE48" s="46">
        <v>0.73990573717501062</v>
      </c>
      <c r="HF48" s="46">
        <v>0.17242024800378175</v>
      </c>
      <c r="HG48" s="46">
        <v>0.51571827575946816</v>
      </c>
      <c r="HH48"/>
      <c r="HI48"/>
      <c r="HJ48"/>
      <c r="HK48"/>
      <c r="HL48"/>
    </row>
    <row r="49" spans="1:220" s="26" customFormat="1" ht="12.75" customHeight="1" x14ac:dyDescent="0.35">
      <c r="A49" s="26" t="s">
        <v>96</v>
      </c>
      <c r="B49" s="26">
        <v>1997</v>
      </c>
      <c r="C49" s="26">
        <f>'Orig data'!G51</f>
        <v>1045815</v>
      </c>
      <c r="D49" s="26">
        <f>'Orig data'!R51</f>
        <v>1134098.414512618</v>
      </c>
      <c r="E49" s="26">
        <f>'Orig data'!W51</f>
        <v>3026044.5640955563</v>
      </c>
      <c r="F49" s="26">
        <f t="shared" si="25"/>
        <v>1045.8150000000001</v>
      </c>
      <c r="G49" s="26">
        <f t="shared" si="26"/>
        <v>3026.0445640955563</v>
      </c>
      <c r="H49" s="26">
        <f t="shared" si="27"/>
        <v>1.0624598565660222</v>
      </c>
      <c r="I49" s="26">
        <f t="shared" si="28"/>
        <v>88283.414512617979</v>
      </c>
      <c r="J49" s="26">
        <f t="shared" si="29"/>
        <v>7.784457978504275E-2</v>
      </c>
      <c r="K49" s="26">
        <f t="shared" si="30"/>
        <v>1997</v>
      </c>
      <c r="L49" s="26">
        <f>covariates!R57</f>
        <v>1045815</v>
      </c>
      <c r="M49" s="26">
        <f t="shared" si="31"/>
        <v>2.7720142388261978E-2</v>
      </c>
      <c r="N49" s="26">
        <f t="shared" si="32"/>
        <v>1.5798525571883175</v>
      </c>
      <c r="O49" s="26">
        <f t="shared" si="33"/>
        <v>0.85361448514897043</v>
      </c>
      <c r="P49" s="26">
        <f t="shared" si="34"/>
        <v>1045815</v>
      </c>
      <c r="Q49" s="26">
        <f t="shared" si="35"/>
        <v>0.54295442426959428</v>
      </c>
      <c r="R49" s="26">
        <f t="shared" si="36"/>
        <v>1.5798525571883175</v>
      </c>
      <c r="S49" s="26">
        <f t="shared" si="37"/>
        <v>0.85361448514897043</v>
      </c>
      <c r="T49" s="26">
        <f t="shared" si="38"/>
        <v>1045815</v>
      </c>
      <c r="U49" s="26">
        <f t="shared" si="39"/>
        <v>-0.61621392372743711</v>
      </c>
      <c r="V49" s="26">
        <f t="shared" si="40"/>
        <v>0.85361448514897043</v>
      </c>
      <c r="W49" s="26">
        <f t="shared" si="41"/>
        <v>2.7720142388261978E-2</v>
      </c>
      <c r="X49" s="26">
        <f t="shared" si="42"/>
        <v>1045815</v>
      </c>
      <c r="Y49" s="26">
        <f t="shared" si="43"/>
        <v>1.3547915721845367</v>
      </c>
      <c r="Z49" s="105">
        <f t="shared" si="44"/>
        <v>0.85361448514897043</v>
      </c>
      <c r="AA49" s="105">
        <f t="shared" si="45"/>
        <v>2.7720142388261978E-2</v>
      </c>
      <c r="AB49" s="105">
        <f t="shared" si="46"/>
        <v>1045815</v>
      </c>
      <c r="AC49" s="159">
        <f t="shared" si="47"/>
        <v>-0.54897412018810221</v>
      </c>
      <c r="AD49" s="105">
        <f t="shared" si="48"/>
        <v>0.85361448514897043</v>
      </c>
      <c r="AE49" s="105">
        <f t="shared" si="49"/>
        <v>2.7720142388261978E-2</v>
      </c>
      <c r="AF49" s="105">
        <f t="shared" si="50"/>
        <v>1045815</v>
      </c>
      <c r="AG49" s="105">
        <f>covariates!X57</f>
        <v>-0.54897412018810221</v>
      </c>
      <c r="AH49" s="105">
        <f t="shared" si="51"/>
        <v>0.85361448514897043</v>
      </c>
      <c r="AI49" s="159">
        <f t="shared" si="52"/>
        <v>1.5798525571883175</v>
      </c>
      <c r="AJ49" s="105">
        <f t="shared" si="53"/>
        <v>2.7720142388261978E-2</v>
      </c>
      <c r="AK49" s="105"/>
      <c r="AL49" s="105"/>
      <c r="AM49" s="105"/>
      <c r="AN49" s="105"/>
      <c r="AO49" s="105"/>
      <c r="AP49" s="105">
        <f t="shared" si="54"/>
        <v>1045815</v>
      </c>
      <c r="AQ49" s="105">
        <f>covariates!T57</f>
        <v>1.3547915721845367</v>
      </c>
      <c r="AR49" s="105">
        <f t="shared" si="55"/>
        <v>0.85361448514897043</v>
      </c>
      <c r="AS49" s="105">
        <f t="shared" si="56"/>
        <v>1.5798525571883175</v>
      </c>
      <c r="AT49" s="26">
        <f t="shared" si="57"/>
        <v>2.7720142388261978E-2</v>
      </c>
      <c r="AU49" s="26">
        <f t="shared" si="58"/>
        <v>1045815</v>
      </c>
      <c r="AV49" s="26">
        <f t="shared" si="59"/>
        <v>-0.54897412018810221</v>
      </c>
      <c r="AW49" s="26">
        <f t="shared" si="60"/>
        <v>0.85361448514897043</v>
      </c>
      <c r="AX49" s="26">
        <f t="shared" si="61"/>
        <v>1.5798525571883175</v>
      </c>
      <c r="AY49" s="26">
        <f t="shared" si="62"/>
        <v>2.7720142388261978E-2</v>
      </c>
      <c r="AZ49" s="26">
        <f t="shared" si="63"/>
        <v>0.54295442426959428</v>
      </c>
      <c r="BA49" s="61">
        <v>1997</v>
      </c>
      <c r="BB49" s="164">
        <f t="shared" si="4"/>
        <v>1045815</v>
      </c>
      <c r="BC49" s="105">
        <f t="shared" si="5"/>
        <v>-0.54897412018810221</v>
      </c>
      <c r="BD49" s="105">
        <f t="shared" si="6"/>
        <v>0.85361448514897043</v>
      </c>
      <c r="BE49" s="105">
        <f t="shared" si="7"/>
        <v>1.5798525571883175</v>
      </c>
      <c r="BF49" s="105">
        <f t="shared" si="8"/>
        <v>2.7720142388261978E-2</v>
      </c>
      <c r="BG49">
        <v>276</v>
      </c>
      <c r="BH49" s="61">
        <f t="shared" si="78"/>
        <v>1997</v>
      </c>
      <c r="BI49" s="61">
        <f t="shared" si="79"/>
        <v>1045815</v>
      </c>
      <c r="BJ49" s="26">
        <f t="shared" si="80"/>
        <v>-0.54897412018810221</v>
      </c>
      <c r="BK49" s="26">
        <f t="shared" si="81"/>
        <v>0.85361448514897043</v>
      </c>
      <c r="BL49" s="26">
        <f t="shared" si="82"/>
        <v>1.5798525571883175</v>
      </c>
      <c r="BM49" s="26">
        <f t="shared" si="83"/>
        <v>2.7720142388261978E-2</v>
      </c>
      <c r="BN49" s="61">
        <f t="shared" si="84"/>
        <v>276</v>
      </c>
      <c r="BO49" s="26">
        <f t="shared" si="85"/>
        <v>1.0624598565660222</v>
      </c>
      <c r="BR49" s="26">
        <f>covariates!V57</f>
        <v>2.7720142388261978E-2</v>
      </c>
      <c r="BS49" s="26">
        <f>covariates!W57</f>
        <v>-0.61621392372743711</v>
      </c>
      <c r="BT49" s="26">
        <f>covariates!Y57</f>
        <v>1.5798525571883175</v>
      </c>
      <c r="BU49" s="26">
        <f>covariates!U57</f>
        <v>0.85361448514897043</v>
      </c>
      <c r="BV49" s="26">
        <f>covariates!AA57</f>
        <v>0.54295442426959428</v>
      </c>
      <c r="BW49" s="26">
        <f t="shared" si="90"/>
        <v>1.0624598565660222</v>
      </c>
      <c r="BX49" s="26">
        <f t="shared" si="76"/>
        <v>-0.76945436806962253</v>
      </c>
      <c r="BY49" s="26">
        <f t="shared" si="112"/>
        <v>-0.76057812645171086</v>
      </c>
      <c r="BZ49" s="26">
        <f t="shared" si="93"/>
        <v>1997</v>
      </c>
      <c r="CA49" s="26">
        <f t="shared" si="94"/>
        <v>0.9670158598152534</v>
      </c>
      <c r="CB49" s="26">
        <f t="shared" si="70"/>
        <v>1.0528839357116662</v>
      </c>
      <c r="CC49" s="26">
        <f t="shared" si="110"/>
        <v>1607245.6690771233</v>
      </c>
      <c r="CD49" s="26">
        <f t="shared" si="95"/>
        <v>0.81494311541060505</v>
      </c>
      <c r="CE49" s="26">
        <f t="shared" si="70"/>
        <v>0.88110438599303309</v>
      </c>
      <c r="CF49" s="26">
        <f t="shared" si="96"/>
        <v>1458879.4634689426</v>
      </c>
      <c r="CG49" s="26">
        <f t="shared" si="97"/>
        <v>1.0076464111439183</v>
      </c>
      <c r="CH49" s="26">
        <f t="shared" si="71"/>
        <v>0.99717740125291887</v>
      </c>
      <c r="CI49" s="26">
        <f t="shared" si="98"/>
        <v>1716519.1151261749</v>
      </c>
      <c r="CJ49" s="26">
        <f t="shared" si="99"/>
        <v>0.99147038256795272</v>
      </c>
      <c r="CK49" s="26">
        <f t="shared" si="72"/>
        <v>1.0757789387068415</v>
      </c>
      <c r="CL49" s="26">
        <f t="shared" si="100"/>
        <v>1631990.5823059781</v>
      </c>
      <c r="CM49" s="26">
        <f t="shared" si="101"/>
        <v>0.90034576495095775</v>
      </c>
      <c r="CN49" s="26">
        <f t="shared" si="73"/>
        <v>1.0411316449408758</v>
      </c>
      <c r="CO49" s="26">
        <f t="shared" si="102"/>
        <v>1533144.635906117</v>
      </c>
      <c r="CP49" s="26">
        <f t="shared" si="67"/>
        <v>0.67993539860717433</v>
      </c>
      <c r="CQ49" s="26">
        <f t="shared" si="103"/>
        <v>1.06697018569364</v>
      </c>
      <c r="CR49" s="26">
        <f t="shared" si="74"/>
        <v>1.0501751959910524</v>
      </c>
      <c r="CS49" s="26">
        <f t="shared" si="104"/>
        <v>1814706.2728102775</v>
      </c>
      <c r="CT49" s="26">
        <f t="shared" si="105"/>
        <v>1706802.0017370405</v>
      </c>
      <c r="CU49" s="26">
        <f t="shared" si="106"/>
        <v>1.0791091873477627</v>
      </c>
      <c r="CV49" s="26">
        <f t="shared" si="75"/>
        <v>1.2163608685926151</v>
      </c>
      <c r="CW49" s="26">
        <f t="shared" si="107"/>
        <v>1781470.756196863</v>
      </c>
      <c r="CX49" s="26">
        <f t="shared" si="108"/>
        <v>1.1136487244904085</v>
      </c>
      <c r="CY49" s="26">
        <f t="shared" si="113"/>
        <v>1.1884085604643553</v>
      </c>
      <c r="CZ49" s="26">
        <f t="shared" si="68"/>
        <v>1966733.9221328888</v>
      </c>
      <c r="DA49" s="50">
        <v>1968</v>
      </c>
      <c r="DB49" s="50">
        <v>0.72315280034078799</v>
      </c>
      <c r="DC49" s="50">
        <v>-8.8046166491586364E-2</v>
      </c>
      <c r="DD49" s="50">
        <v>-0.17873884336010298</v>
      </c>
      <c r="DE49" s="26">
        <f t="shared" si="86"/>
        <v>1.119673731111509</v>
      </c>
      <c r="DN49" s="50">
        <v>15</v>
      </c>
      <c r="DO49" s="50">
        <v>1.0806818937778104</v>
      </c>
      <c r="DP49" s="50">
        <v>0.54992918956412296</v>
      </c>
      <c r="DQ49" s="50">
        <v>1.3009890129034247</v>
      </c>
      <c r="DR49" s="26">
        <f t="shared" si="111"/>
        <v>-0.86786118740539819</v>
      </c>
      <c r="DZ49" s="50">
        <v>16</v>
      </c>
      <c r="EA49" s="50">
        <v>0.94616196782524165</v>
      </c>
      <c r="EB49" s="50">
        <v>-0.31964717179941371</v>
      </c>
      <c r="EC49" s="50">
        <v>-0.72331461841971978</v>
      </c>
      <c r="ED49" s="26">
        <f t="shared" si="109"/>
        <v>-0.1655198067406452</v>
      </c>
      <c r="EJ49" s="50">
        <v>18</v>
      </c>
      <c r="EK49" s="50">
        <v>0.74121820841438668</v>
      </c>
      <c r="EL49" s="50">
        <v>-0.10611157456518505</v>
      </c>
      <c r="EM49" s="50">
        <v>-0.24325156108992729</v>
      </c>
      <c r="EN49" s="26">
        <f t="shared" si="87"/>
        <v>1.0301339469702169</v>
      </c>
      <c r="EU49" s="50">
        <v>18</v>
      </c>
      <c r="EV49" s="50">
        <v>0.79683242690857892</v>
      </c>
      <c r="EW49" s="50">
        <v>-0.16172579305937729</v>
      </c>
      <c r="EX49" s="50">
        <v>-0.37428458741105258</v>
      </c>
      <c r="EY49" s="26">
        <f t="shared" si="88"/>
        <v>0.90584507085085952</v>
      </c>
      <c r="FF49" s="50">
        <v>17</v>
      </c>
      <c r="FG49" s="50">
        <v>1.068178268829739</v>
      </c>
      <c r="FH49" s="50">
        <v>-0.13217562201571409</v>
      </c>
      <c r="FI49" s="50">
        <v>-0.31295303472859437</v>
      </c>
      <c r="FJ49" s="26">
        <f t="shared" si="91"/>
        <v>-0.38831435169494904</v>
      </c>
      <c r="FP49" s="50">
        <v>17</v>
      </c>
      <c r="FQ49" s="50">
        <v>0.90500922787578664</v>
      </c>
      <c r="FR49" s="50">
        <v>3.099341893823826E-2</v>
      </c>
      <c r="FS49" s="50">
        <v>7.5006780819276891E-2</v>
      </c>
      <c r="FT49" s="26">
        <f t="shared" si="92"/>
        <v>-0.30532057723034473</v>
      </c>
      <c r="FZ49" s="50">
        <v>18</v>
      </c>
      <c r="GA49" s="50">
        <v>0.69610132240622902</v>
      </c>
      <c r="GB49" s="50">
        <v>-6.0994688557027388E-2</v>
      </c>
      <c r="GC49" s="50">
        <v>-0.14306158868415284</v>
      </c>
      <c r="GD49" s="26">
        <f t="shared" si="89"/>
        <v>1.2392835417348214</v>
      </c>
      <c r="GJ49" s="50">
        <v>16</v>
      </c>
      <c r="GK49" s="50">
        <v>0.89867270117262488</v>
      </c>
      <c r="GL49" s="50">
        <v>-0.27215790514679694</v>
      </c>
      <c r="GM49" s="50">
        <v>-0.66481488244784592</v>
      </c>
      <c r="GT49" s="46">
        <v>17</v>
      </c>
      <c r="GU49" s="46">
        <v>0.89820293328907397</v>
      </c>
      <c r="GV49" s="46">
        <v>3.7799713524950929E-2</v>
      </c>
      <c r="GW49" s="46">
        <v>9.3314626550722909E-2</v>
      </c>
      <c r="GX49"/>
      <c r="GY49"/>
      <c r="GZ49"/>
      <c r="HA49"/>
      <c r="HB49"/>
      <c r="HD49" s="46">
        <v>17</v>
      </c>
      <c r="HE49" s="46">
        <v>0.92158316774537941</v>
      </c>
      <c r="HF49" s="46">
        <v>-0.42751731126738701</v>
      </c>
      <c r="HG49" s="46">
        <v>-1.2787273720851211</v>
      </c>
      <c r="HH49"/>
      <c r="HI49"/>
      <c r="HJ49"/>
      <c r="HK49"/>
      <c r="HL49"/>
    </row>
    <row r="50" spans="1:220" s="26" customFormat="1" ht="12.75" customHeight="1" x14ac:dyDescent="0.35">
      <c r="A50" s="26" t="s">
        <v>96</v>
      </c>
      <c r="B50" s="26">
        <v>1998</v>
      </c>
      <c r="C50" s="26">
        <f>'Orig data'!G52</f>
        <v>3561043</v>
      </c>
      <c r="D50" s="26">
        <f>'Orig data'!R52</f>
        <v>4069680.1971950848</v>
      </c>
      <c r="E50" s="26">
        <f>'Orig data'!W52</f>
        <v>2543320.0171653759</v>
      </c>
      <c r="F50" s="26">
        <f t="shared" si="25"/>
        <v>3561.0430000000001</v>
      </c>
      <c r="G50" s="26">
        <f t="shared" si="26"/>
        <v>2543.3200171653757</v>
      </c>
      <c r="H50" s="26">
        <f t="shared" si="27"/>
        <v>-0.33658315858273746</v>
      </c>
      <c r="I50" s="26">
        <f t="shared" si="28"/>
        <v>508637.19719508477</v>
      </c>
      <c r="J50" s="26">
        <f t="shared" si="29"/>
        <v>0.12498210487046353</v>
      </c>
      <c r="K50" s="26">
        <f t="shared" si="30"/>
        <v>1998</v>
      </c>
      <c r="L50" s="26">
        <f>covariates!R58</f>
        <v>3561043</v>
      </c>
      <c r="M50" s="26">
        <f t="shared" si="31"/>
        <v>0.14210077735627383</v>
      </c>
      <c r="N50" s="26">
        <f t="shared" si="32"/>
        <v>-0.79129595644642958</v>
      </c>
      <c r="O50" s="26">
        <f t="shared" si="33"/>
        <v>1.4960717029189849</v>
      </c>
      <c r="P50" s="26">
        <f t="shared" si="34"/>
        <v>3561043</v>
      </c>
      <c r="Q50" s="26">
        <f t="shared" si="35"/>
        <v>0.77552980127950055</v>
      </c>
      <c r="R50" s="26">
        <f t="shared" si="36"/>
        <v>-0.79129595644642958</v>
      </c>
      <c r="S50" s="26">
        <f t="shared" si="37"/>
        <v>1.4960717029189849</v>
      </c>
      <c r="T50" s="26">
        <f t="shared" si="38"/>
        <v>3561043</v>
      </c>
      <c r="U50" s="26">
        <f t="shared" si="39"/>
        <v>0.32229877253872885</v>
      </c>
      <c r="V50" s="26">
        <f t="shared" si="40"/>
        <v>1.4960717029189849</v>
      </c>
      <c r="W50" s="26">
        <f t="shared" si="41"/>
        <v>0.14210077735627383</v>
      </c>
      <c r="X50" s="26">
        <f t="shared" si="42"/>
        <v>3561043</v>
      </c>
      <c r="Y50" s="26">
        <f t="shared" si="43"/>
        <v>-0.76086745578018145</v>
      </c>
      <c r="Z50" s="105">
        <f t="shared" si="44"/>
        <v>1.4960717029189849</v>
      </c>
      <c r="AA50" s="105">
        <f t="shared" si="45"/>
        <v>0.14210077735627383</v>
      </c>
      <c r="AB50" s="105">
        <f t="shared" si="46"/>
        <v>3561043</v>
      </c>
      <c r="AC50" s="159">
        <f t="shared" si="47"/>
        <v>1.2775355841188252</v>
      </c>
      <c r="AD50" s="105">
        <f t="shared" si="48"/>
        <v>1.4960717029189849</v>
      </c>
      <c r="AE50" s="105">
        <f t="shared" si="49"/>
        <v>0.14210077735627383</v>
      </c>
      <c r="AF50" s="105">
        <f t="shared" si="50"/>
        <v>3561043</v>
      </c>
      <c r="AG50" s="105">
        <f>covariates!X58</f>
        <v>1.2775355841188252</v>
      </c>
      <c r="AH50" s="105">
        <f t="shared" si="51"/>
        <v>1.4960717029189849</v>
      </c>
      <c r="AI50" s="159">
        <f t="shared" si="52"/>
        <v>-0.79129595644642958</v>
      </c>
      <c r="AJ50" s="105">
        <f t="shared" si="53"/>
        <v>0.14210077735627383</v>
      </c>
      <c r="AK50" s="105"/>
      <c r="AL50" s="105"/>
      <c r="AM50" s="105"/>
      <c r="AN50" s="105"/>
      <c r="AO50" s="105"/>
      <c r="AP50" s="105">
        <f t="shared" si="54"/>
        <v>3561043</v>
      </c>
      <c r="AQ50" s="105">
        <f>covariates!T58</f>
        <v>-0.76086745578018145</v>
      </c>
      <c r="AR50" s="105">
        <f t="shared" si="55"/>
        <v>1.4960717029189849</v>
      </c>
      <c r="AS50" s="105">
        <f t="shared" si="56"/>
        <v>-0.79129595644642958</v>
      </c>
      <c r="AT50" s="26">
        <f t="shared" si="57"/>
        <v>0.14210077735627383</v>
      </c>
      <c r="AU50" s="26">
        <f t="shared" si="58"/>
        <v>3561043</v>
      </c>
      <c r="AV50" s="26">
        <f t="shared" si="59"/>
        <v>1.2775355841188252</v>
      </c>
      <c r="AW50" s="26">
        <f t="shared" si="60"/>
        <v>1.4960717029189849</v>
      </c>
      <c r="AX50" s="26">
        <f t="shared" si="61"/>
        <v>-0.79129595644642958</v>
      </c>
      <c r="AY50" s="26">
        <f t="shared" si="62"/>
        <v>0.14210077735627383</v>
      </c>
      <c r="AZ50" s="26">
        <f t="shared" si="63"/>
        <v>0.77552980127950055</v>
      </c>
      <c r="BA50" s="61">
        <v>1998</v>
      </c>
      <c r="BB50" s="164">
        <f t="shared" si="4"/>
        <v>3561043</v>
      </c>
      <c r="BC50" s="105">
        <f t="shared" si="5"/>
        <v>1.2775355841188252</v>
      </c>
      <c r="BD50" s="105">
        <f t="shared" si="6"/>
        <v>1.4960717029189849</v>
      </c>
      <c r="BE50" s="105">
        <f t="shared" si="7"/>
        <v>-0.79129595644642958</v>
      </c>
      <c r="BF50" s="105">
        <f t="shared" si="8"/>
        <v>0.14210077735627383</v>
      </c>
      <c r="BG50">
        <v>275</v>
      </c>
      <c r="BH50" s="61">
        <f t="shared" si="78"/>
        <v>1998</v>
      </c>
      <c r="BI50" s="61">
        <f t="shared" si="79"/>
        <v>3561043</v>
      </c>
      <c r="BJ50" s="26">
        <f t="shared" si="80"/>
        <v>1.2775355841188252</v>
      </c>
      <c r="BK50" s="26">
        <f t="shared" si="81"/>
        <v>1.4960717029189849</v>
      </c>
      <c r="BL50" s="26">
        <f t="shared" si="82"/>
        <v>-0.79129595644642958</v>
      </c>
      <c r="BM50" s="26">
        <f t="shared" si="83"/>
        <v>0.14210077735627383</v>
      </c>
      <c r="BN50" s="61">
        <f t="shared" si="84"/>
        <v>275</v>
      </c>
      <c r="BO50" s="26">
        <f t="shared" si="85"/>
        <v>-0.33658315858273746</v>
      </c>
      <c r="BR50" s="26">
        <f>covariates!V58</f>
        <v>0.14210077735627383</v>
      </c>
      <c r="BS50" s="26">
        <f>covariates!W58</f>
        <v>0.32229877253872885</v>
      </c>
      <c r="BT50" s="26">
        <f>covariates!Y58</f>
        <v>-0.79129595644642958</v>
      </c>
      <c r="BU50" s="26">
        <f>covariates!U58</f>
        <v>1.4960717029189849</v>
      </c>
      <c r="BV50" s="26">
        <f>covariates!AA58</f>
        <v>0.77552980127950055</v>
      </c>
      <c r="BW50" s="26">
        <f t="shared" si="90"/>
        <v>-0.33658315858273746</v>
      </c>
      <c r="BX50" s="26">
        <f t="shared" si="76"/>
        <v>-0.76945436806962253</v>
      </c>
      <c r="BY50" s="26">
        <f t="shared" si="112"/>
        <v>-0.76057812645171086</v>
      </c>
      <c r="BZ50" s="26">
        <f t="shared" si="93"/>
        <v>1998</v>
      </c>
      <c r="CA50" s="26">
        <f t="shared" si="94"/>
        <v>1.2772146125071449</v>
      </c>
      <c r="CB50" s="26">
        <f t="shared" si="70"/>
        <v>1.0608797501625493</v>
      </c>
      <c r="CC50" s="26">
        <f t="shared" si="110"/>
        <v>2049861.5212392421</v>
      </c>
      <c r="CD50" s="26">
        <f t="shared" si="95"/>
        <v>1.1054237568272076</v>
      </c>
      <c r="CE50" s="26">
        <f t="shared" si="70"/>
        <v>0.88968440892703704</v>
      </c>
      <c r="CF50" s="26">
        <f t="shared" si="96"/>
        <v>2083409.766106043</v>
      </c>
      <c r="CG50" s="26">
        <f t="shared" si="97"/>
        <v>1.208759529495641</v>
      </c>
      <c r="CH50" s="26">
        <f t="shared" si="71"/>
        <v>1.0190567035508464</v>
      </c>
      <c r="CI50" s="26">
        <f t="shared" si="98"/>
        <v>2085357.3146762736</v>
      </c>
      <c r="CJ50" s="26">
        <f t="shared" si="99"/>
        <v>1.2855003733225858</v>
      </c>
      <c r="CK50" s="26">
        <f t="shared" si="72"/>
        <v>1.081762207425385</v>
      </c>
      <c r="CL50" s="26">
        <f t="shared" si="100"/>
        <v>2003335.1989183044</v>
      </c>
      <c r="CM50" s="26">
        <f t="shared" si="101"/>
        <v>1.3616191661229819</v>
      </c>
      <c r="CN50" s="26">
        <f t="shared" si="73"/>
        <v>1.0327961415270726</v>
      </c>
      <c r="CO50" s="26">
        <f t="shared" si="102"/>
        <v>2383261.2946447632</v>
      </c>
      <c r="CP50" s="26">
        <f t="shared" si="67"/>
        <v>6.5000479341941642E-2</v>
      </c>
      <c r="CQ50" s="26">
        <f t="shared" si="103"/>
        <v>1.2937301471814726</v>
      </c>
      <c r="CR50" s="26">
        <f t="shared" si="74"/>
        <v>1.0542235886137981</v>
      </c>
      <c r="CS50" s="26">
        <f t="shared" si="104"/>
        <v>2241884.6391784227</v>
      </c>
      <c r="CT50" s="26">
        <f t="shared" si="105"/>
        <v>1217639.6742494828</v>
      </c>
      <c r="CU50" s="26">
        <f t="shared" si="106"/>
        <v>1.5660320209772509</v>
      </c>
      <c r="CV50" s="26">
        <f t="shared" si="75"/>
        <v>1.2314481811984959</v>
      </c>
      <c r="CW50" s="26">
        <f t="shared" si="107"/>
        <v>2652082.1242970489</v>
      </c>
      <c r="CX50" s="26">
        <f t="shared" si="108"/>
        <v>1.457424214285187</v>
      </c>
      <c r="CY50" s="26">
        <f t="shared" si="113"/>
        <v>1.2252200096460082</v>
      </c>
      <c r="CZ50" s="26">
        <f t="shared" si="68"/>
        <v>2962419.4600068205</v>
      </c>
      <c r="DA50" s="50">
        <v>1969</v>
      </c>
      <c r="DB50" s="50">
        <v>0.94754552231231315</v>
      </c>
      <c r="DC50" s="50">
        <v>0.55154759811825393</v>
      </c>
      <c r="DD50" s="50">
        <v>1.119673731111509</v>
      </c>
      <c r="DE50" s="26">
        <f t="shared" si="86"/>
        <v>7.4506587631281318E-2</v>
      </c>
      <c r="DN50" s="50">
        <v>16</v>
      </c>
      <c r="DO50" s="50">
        <v>0.99336047628172741</v>
      </c>
      <c r="DP50" s="50">
        <v>-0.36684568025589948</v>
      </c>
      <c r="DQ50" s="50">
        <v>-0.86786118740539819</v>
      </c>
      <c r="DR50" s="26">
        <f t="shared" si="111"/>
        <v>-0.30103191462273354</v>
      </c>
      <c r="DZ50" s="50">
        <v>17</v>
      </c>
      <c r="EA50" s="50">
        <v>1.0091491542315367</v>
      </c>
      <c r="EB50" s="50">
        <v>-7.314650741751183E-2</v>
      </c>
      <c r="EC50" s="50">
        <v>-0.1655198067406452</v>
      </c>
      <c r="ED50" s="26">
        <f t="shared" si="109"/>
        <v>-0.30487703454120357</v>
      </c>
      <c r="EJ50" s="50">
        <v>19</v>
      </c>
      <c r="EK50" s="50">
        <v>1.0497264868259086</v>
      </c>
      <c r="EL50" s="50">
        <v>0.44936663360465845</v>
      </c>
      <c r="EM50" s="50">
        <v>1.0301339469702169</v>
      </c>
      <c r="EN50" s="26">
        <f t="shared" si="87"/>
        <v>-0.16786130067700106</v>
      </c>
      <c r="EU50" s="50">
        <v>19</v>
      </c>
      <c r="EV50" s="50">
        <v>1.1076837025712278</v>
      </c>
      <c r="EW50" s="50">
        <v>0.39140941785933925</v>
      </c>
      <c r="EX50" s="50">
        <v>0.90584507085085952</v>
      </c>
      <c r="EY50" s="26">
        <f t="shared" si="88"/>
        <v>-0.3593181339201153</v>
      </c>
      <c r="FF50" s="50">
        <v>18</v>
      </c>
      <c r="FG50" s="50">
        <v>0.79911108588278035</v>
      </c>
      <c r="FH50" s="50">
        <v>-0.16400445203357872</v>
      </c>
      <c r="FI50" s="50">
        <v>-0.38831435169494904</v>
      </c>
      <c r="FJ50" s="26">
        <f t="shared" si="91"/>
        <v>1.3858901268824224</v>
      </c>
      <c r="FP50" s="50">
        <v>18</v>
      </c>
      <c r="FQ50" s="50">
        <v>0.76126760832649598</v>
      </c>
      <c r="FR50" s="50">
        <v>-0.12616097447729435</v>
      </c>
      <c r="FS50" s="50">
        <v>-0.30532057723034473</v>
      </c>
      <c r="FT50" s="26">
        <f t="shared" si="92"/>
        <v>1.5742814102091562</v>
      </c>
      <c r="FZ50" s="50">
        <v>19</v>
      </c>
      <c r="GA50" s="50">
        <v>0.97072128870954499</v>
      </c>
      <c r="GB50" s="50">
        <v>0.52837183172102209</v>
      </c>
      <c r="GC50" s="50">
        <v>1.2392835417348214</v>
      </c>
      <c r="GD50" s="26">
        <f t="shared" si="89"/>
        <v>-6.3459666437741563E-2</v>
      </c>
      <c r="GJ50" s="50">
        <v>17</v>
      </c>
      <c r="GK50" s="50">
        <v>0.9245033939509345</v>
      </c>
      <c r="GL50" s="50">
        <v>1.1499252863090392E-2</v>
      </c>
      <c r="GM50" s="50">
        <v>2.8089848929025198E-2</v>
      </c>
      <c r="GT50" s="46">
        <v>18</v>
      </c>
      <c r="GU50" s="46">
        <v>0.68853252205447091</v>
      </c>
      <c r="GV50" s="46">
        <v>-5.3425888205269279E-2</v>
      </c>
      <c r="GW50" s="46">
        <v>-0.13189033305039702</v>
      </c>
      <c r="GX50"/>
      <c r="GY50"/>
      <c r="GZ50"/>
      <c r="HA50"/>
      <c r="HB50"/>
      <c r="HD50" s="46">
        <v>18</v>
      </c>
      <c r="HE50" s="46">
        <v>0.46395977549440781</v>
      </c>
      <c r="HF50" s="46">
        <v>-0.23569777138884476</v>
      </c>
      <c r="HG50" s="46">
        <v>-0.70498476639668362</v>
      </c>
      <c r="HH50"/>
      <c r="HI50"/>
      <c r="HJ50"/>
      <c r="HK50"/>
      <c r="HL50"/>
    </row>
    <row r="51" spans="1:220" s="26" customFormat="1" ht="12.75" customHeight="1" x14ac:dyDescent="0.35">
      <c r="A51" s="26" t="s">
        <v>96</v>
      </c>
      <c r="B51" s="26">
        <v>1999</v>
      </c>
      <c r="C51" s="26">
        <f>'Orig data'!G53</f>
        <v>2987256</v>
      </c>
      <c r="D51" s="26">
        <f>'Orig data'!R53</f>
        <v>3083677.2941336296</v>
      </c>
      <c r="E51" s="26">
        <f>'Orig data'!W53</f>
        <v>3078021.5509376186</v>
      </c>
      <c r="F51" s="26">
        <f t="shared" si="25"/>
        <v>2987.2559999999999</v>
      </c>
      <c r="G51" s="26">
        <f t="shared" si="26"/>
        <v>3078.0215509376185</v>
      </c>
      <c r="H51" s="26">
        <f t="shared" si="27"/>
        <v>2.9931796714352529E-2</v>
      </c>
      <c r="I51" s="26">
        <f t="shared" si="28"/>
        <v>96421.29413362965</v>
      </c>
      <c r="J51" s="26">
        <f t="shared" si="29"/>
        <v>3.1268282941623295E-2</v>
      </c>
      <c r="K51" s="26">
        <f t="shared" si="30"/>
        <v>1999</v>
      </c>
      <c r="L51" s="26">
        <f>covariates!R59</f>
        <v>2987256</v>
      </c>
      <c r="M51" s="26">
        <f t="shared" si="31"/>
        <v>0.20688339859684265</v>
      </c>
      <c r="N51" s="26">
        <f t="shared" si="32"/>
        <v>-1.4479856412041683</v>
      </c>
      <c r="O51" s="26">
        <f t="shared" si="33"/>
        <v>1.619621167874757</v>
      </c>
      <c r="P51" s="26">
        <f t="shared" si="34"/>
        <v>2987256</v>
      </c>
      <c r="Q51" s="26">
        <f t="shared" si="35"/>
        <v>0.75393792277725458</v>
      </c>
      <c r="R51" s="26">
        <f t="shared" si="36"/>
        <v>-1.4479856412041683</v>
      </c>
      <c r="S51" s="26">
        <f t="shared" si="37"/>
        <v>1.619621167874757</v>
      </c>
      <c r="T51" s="26">
        <f t="shared" si="38"/>
        <v>2987256</v>
      </c>
      <c r="U51" s="26">
        <f t="shared" si="39"/>
        <v>0.29296043280968836</v>
      </c>
      <c r="V51" s="26">
        <f t="shared" si="40"/>
        <v>1.619621167874757</v>
      </c>
      <c r="W51" s="26">
        <f t="shared" si="41"/>
        <v>0.20688339859684265</v>
      </c>
      <c r="X51" s="26">
        <f t="shared" si="42"/>
        <v>2987256</v>
      </c>
      <c r="Y51" s="26">
        <f t="shared" si="43"/>
        <v>-0.23290914500417703</v>
      </c>
      <c r="Z51" s="105">
        <f t="shared" si="44"/>
        <v>1.619621167874757</v>
      </c>
      <c r="AA51" s="105">
        <f t="shared" si="45"/>
        <v>0.20688339859684265</v>
      </c>
      <c r="AB51" s="105">
        <f t="shared" si="46"/>
        <v>2987256</v>
      </c>
      <c r="AC51" s="159">
        <f t="shared" si="47"/>
        <v>0.1060355855913865</v>
      </c>
      <c r="AD51" s="105">
        <f t="shared" si="48"/>
        <v>1.619621167874757</v>
      </c>
      <c r="AE51" s="105">
        <f t="shared" si="49"/>
        <v>0.20688339859684265</v>
      </c>
      <c r="AF51" s="105">
        <f t="shared" si="50"/>
        <v>2987256</v>
      </c>
      <c r="AG51" s="105">
        <f>covariates!X59</f>
        <v>0.1060355855913865</v>
      </c>
      <c r="AH51" s="105">
        <f t="shared" si="51"/>
        <v>1.619621167874757</v>
      </c>
      <c r="AI51" s="159">
        <f t="shared" si="52"/>
        <v>-1.4479856412041683</v>
      </c>
      <c r="AJ51" s="105">
        <f t="shared" si="53"/>
        <v>0.20688339859684265</v>
      </c>
      <c r="AK51" s="105"/>
      <c r="AL51" s="105"/>
      <c r="AM51" s="105"/>
      <c r="AN51" s="105"/>
      <c r="AO51" s="105"/>
      <c r="AP51" s="105">
        <f t="shared" si="54"/>
        <v>2987256</v>
      </c>
      <c r="AQ51" s="105">
        <f>covariates!T59</f>
        <v>-0.23290914500417703</v>
      </c>
      <c r="AR51" s="105">
        <f t="shared" si="55"/>
        <v>1.619621167874757</v>
      </c>
      <c r="AS51" s="105">
        <f t="shared" si="56"/>
        <v>-1.4479856412041683</v>
      </c>
      <c r="AT51" s="26">
        <f t="shared" si="57"/>
        <v>0.20688339859684265</v>
      </c>
      <c r="AU51" s="26">
        <f t="shared" si="58"/>
        <v>2987256</v>
      </c>
      <c r="AV51" s="26">
        <f t="shared" si="59"/>
        <v>0.1060355855913865</v>
      </c>
      <c r="AW51" s="26">
        <f t="shared" si="60"/>
        <v>1.619621167874757</v>
      </c>
      <c r="AX51" s="26">
        <f t="shared" si="61"/>
        <v>-1.4479856412041683</v>
      </c>
      <c r="AY51" s="26">
        <f t="shared" si="62"/>
        <v>0.20688339859684265</v>
      </c>
      <c r="AZ51" s="26">
        <f t="shared" si="63"/>
        <v>0.75393792277725458</v>
      </c>
      <c r="BA51" s="61">
        <v>1999</v>
      </c>
      <c r="BB51" s="164">
        <f t="shared" si="4"/>
        <v>2987256</v>
      </c>
      <c r="BC51" s="105">
        <f t="shared" si="5"/>
        <v>0.1060355855913865</v>
      </c>
      <c r="BD51" s="105">
        <f t="shared" si="6"/>
        <v>1.619621167874757</v>
      </c>
      <c r="BE51" s="105">
        <f t="shared" si="7"/>
        <v>-1.4479856412041683</v>
      </c>
      <c r="BF51" s="105">
        <f t="shared" si="8"/>
        <v>0.20688339859684265</v>
      </c>
      <c r="BG51">
        <v>269</v>
      </c>
      <c r="BH51" s="61">
        <f t="shared" si="78"/>
        <v>1999</v>
      </c>
      <c r="BI51" s="61">
        <f t="shared" si="79"/>
        <v>2987256</v>
      </c>
      <c r="BJ51" s="26">
        <f t="shared" si="80"/>
        <v>0.1060355855913865</v>
      </c>
      <c r="BK51" s="26">
        <f t="shared" si="81"/>
        <v>1.619621167874757</v>
      </c>
      <c r="BL51" s="26">
        <f t="shared" si="82"/>
        <v>-1.4479856412041683</v>
      </c>
      <c r="BM51" s="26">
        <f t="shared" si="83"/>
        <v>0.20688339859684265</v>
      </c>
      <c r="BN51" s="61">
        <f t="shared" si="84"/>
        <v>269</v>
      </c>
      <c r="BO51" s="26">
        <f t="shared" si="85"/>
        <v>2.9931796714352529E-2</v>
      </c>
      <c r="BR51" s="26">
        <f>covariates!V59</f>
        <v>0.20688339859684265</v>
      </c>
      <c r="BS51" s="26">
        <f>covariates!W59</f>
        <v>0.29296043280968836</v>
      </c>
      <c r="BT51" s="26">
        <f>covariates!Y59</f>
        <v>-1.4479856412041683</v>
      </c>
      <c r="BU51" s="26">
        <f>covariates!U59</f>
        <v>1.619621167874757</v>
      </c>
      <c r="BV51" s="26">
        <f>covariates!AA59</f>
        <v>0.75393792277725458</v>
      </c>
      <c r="BW51" s="26">
        <f t="shared" si="90"/>
        <v>2.9931796714352529E-2</v>
      </c>
      <c r="BX51" s="26">
        <f t="shared" si="76"/>
        <v>-0.76945436806962253</v>
      </c>
      <c r="BY51" s="26">
        <f t="shared" si="112"/>
        <v>-0.76057812645171086</v>
      </c>
      <c r="BZ51" s="26">
        <f t="shared" si="93"/>
        <v>1999</v>
      </c>
      <c r="CA51" s="26">
        <f t="shared" si="94"/>
        <v>1.3489955473217623</v>
      </c>
      <c r="CB51" s="26">
        <f t="shared" si="70"/>
        <v>1.0767687371781591</v>
      </c>
      <c r="CC51" s="26">
        <f t="shared" si="110"/>
        <v>2480945.2086798567</v>
      </c>
      <c r="CD51" s="26">
        <f t="shared" si="95"/>
        <v>1.1988453451376615</v>
      </c>
      <c r="CE51" s="26">
        <f t="shared" si="70"/>
        <v>0.90736712458941982</v>
      </c>
      <c r="CF51" s="26">
        <f t="shared" si="96"/>
        <v>2499817.464833641</v>
      </c>
      <c r="CG51" s="26">
        <f t="shared" si="97"/>
        <v>1.1673282558202758</v>
      </c>
      <c r="CH51" s="26">
        <f t="shared" si="71"/>
        <v>1.0251688265505752</v>
      </c>
      <c r="CI51" s="26">
        <f t="shared" si="98"/>
        <v>2222869.7370025874</v>
      </c>
      <c r="CJ51" s="26">
        <f t="shared" si="99"/>
        <v>1.3835220396073002</v>
      </c>
      <c r="CK51" s="26">
        <f t="shared" si="72"/>
        <v>1.0992609311265127</v>
      </c>
      <c r="CL51" s="26">
        <f t="shared" si="100"/>
        <v>2501663.504963805</v>
      </c>
      <c r="CM51" s="26">
        <f t="shared" si="101"/>
        <v>1.3204584401432213</v>
      </c>
      <c r="CN51" s="26">
        <f t="shared" si="73"/>
        <v>1.0224149321633895</v>
      </c>
      <c r="CO51" s="26">
        <f t="shared" si="102"/>
        <v>2549032.3935874631</v>
      </c>
      <c r="CP51" s="26">
        <f t="shared" si="67"/>
        <v>0.18857320333181349</v>
      </c>
      <c r="CQ51" s="26">
        <f t="shared" si="103"/>
        <v>1.176386565737733</v>
      </c>
      <c r="CR51" s="26">
        <f t="shared" si="74"/>
        <v>1.0332135375160036</v>
      </c>
      <c r="CS51" s="26">
        <f t="shared" si="104"/>
        <v>2219523.7230586819</v>
      </c>
      <c r="CT51" s="26">
        <f t="shared" si="105"/>
        <v>1459023.8687605157</v>
      </c>
      <c r="CU51" s="26">
        <f t="shared" si="106"/>
        <v>1.5393985571375559</v>
      </c>
      <c r="CV51" s="26">
        <f t="shared" si="75"/>
        <v>1.241808728088085</v>
      </c>
      <c r="CW51" s="26">
        <f t="shared" si="107"/>
        <v>2923648.8142483896</v>
      </c>
      <c r="CX51" s="26">
        <f t="shared" si="108"/>
        <v>1.5458980050008502</v>
      </c>
      <c r="CY51" s="26">
        <f t="shared" si="113"/>
        <v>1.2655417266174704</v>
      </c>
      <c r="CZ51" s="26">
        <f t="shared" si="68"/>
        <v>3536969.8110620612</v>
      </c>
      <c r="DA51" s="50">
        <v>1970</v>
      </c>
      <c r="DB51" s="50">
        <v>0.96306189488680327</v>
      </c>
      <c r="DC51" s="50">
        <v>3.6701700066881227E-2</v>
      </c>
      <c r="DD51" s="50">
        <v>7.4506587631281318E-2</v>
      </c>
      <c r="DE51" s="26">
        <f t="shared" si="86"/>
        <v>-0.54262359523303572</v>
      </c>
      <c r="DN51" s="50">
        <v>17</v>
      </c>
      <c r="DO51" s="50">
        <v>1.0632490994738868</v>
      </c>
      <c r="DP51" s="50">
        <v>-0.1272464526598619</v>
      </c>
      <c r="DQ51" s="50">
        <v>-0.30103191462273354</v>
      </c>
      <c r="DR51" s="26">
        <f t="shared" si="111"/>
        <v>-0.41107605926733037</v>
      </c>
      <c r="DZ51" s="50">
        <v>18</v>
      </c>
      <c r="EA51" s="50">
        <v>0.76983788268058984</v>
      </c>
      <c r="EB51" s="50">
        <v>-0.13473124883138821</v>
      </c>
      <c r="EC51" s="50">
        <v>-0.30487703454120357</v>
      </c>
      <c r="ED51" s="26">
        <f t="shared" si="109"/>
        <v>1.3594557829345335</v>
      </c>
      <c r="EJ51" s="50">
        <v>20</v>
      </c>
      <c r="EK51" s="50">
        <v>1.0729883127873006</v>
      </c>
      <c r="EL51" s="50">
        <v>-7.322471783361606E-2</v>
      </c>
      <c r="EM51" s="50">
        <v>-0.16786130067700106</v>
      </c>
      <c r="EN51" s="26">
        <f t="shared" si="87"/>
        <v>-0.67060481390517035</v>
      </c>
      <c r="EU51" s="50">
        <v>20</v>
      </c>
      <c r="EV51" s="50">
        <v>1.1550224865121195</v>
      </c>
      <c r="EW51" s="50">
        <v>-0.15525889155843497</v>
      </c>
      <c r="EX51" s="50">
        <v>-0.3593181339201153</v>
      </c>
      <c r="EY51" s="26">
        <f t="shared" si="88"/>
        <v>-0.96662074959812894</v>
      </c>
      <c r="FF51" s="50">
        <v>19</v>
      </c>
      <c r="FG51" s="50">
        <v>0.91376283365132871</v>
      </c>
      <c r="FH51" s="50">
        <v>0.58533028677923837</v>
      </c>
      <c r="FI51" s="50">
        <v>1.3858901268824224</v>
      </c>
      <c r="FJ51" s="26">
        <f t="shared" si="91"/>
        <v>-0.48273066401118858</v>
      </c>
      <c r="FP51" s="50">
        <v>19</v>
      </c>
      <c r="FQ51" s="50">
        <v>0.84858708963777296</v>
      </c>
      <c r="FR51" s="50">
        <v>0.65050603079279412</v>
      </c>
      <c r="FS51" s="50">
        <v>1.5742814102091562</v>
      </c>
      <c r="FT51" s="26">
        <f t="shared" si="92"/>
        <v>-0.35493049626750078</v>
      </c>
      <c r="FZ51" s="50">
        <v>20</v>
      </c>
      <c r="GA51" s="50">
        <v>1.0268197923991673</v>
      </c>
      <c r="GB51" s="50">
        <v>-2.7056197445482821E-2</v>
      </c>
      <c r="GC51" s="50">
        <v>-6.3459666437741563E-2</v>
      </c>
      <c r="GD51" s="26">
        <f t="shared" si="89"/>
        <v>-0.55065860694680757</v>
      </c>
      <c r="GJ51" s="50">
        <v>18</v>
      </c>
      <c r="GK51" s="50">
        <v>0.75637009080306561</v>
      </c>
      <c r="GL51" s="50">
        <v>-0.12126345695386398</v>
      </c>
      <c r="GM51" s="50">
        <v>-0.29621682617125816</v>
      </c>
      <c r="GT51" s="46">
        <v>19</v>
      </c>
      <c r="GU51" s="46">
        <v>0.81599539670204213</v>
      </c>
      <c r="GV51" s="46">
        <v>0.68309772372852495</v>
      </c>
      <c r="GW51" s="46">
        <v>1.6863357693253562</v>
      </c>
      <c r="GX51"/>
      <c r="GY51"/>
      <c r="GZ51"/>
      <c r="HA51"/>
      <c r="HB51"/>
      <c r="HD51" s="46">
        <v>19</v>
      </c>
      <c r="HE51" s="46">
        <v>0.58034752019420388</v>
      </c>
      <c r="HF51" s="46">
        <v>-0.1363976706637553</v>
      </c>
      <c r="HG51" s="46">
        <v>-0.40797280102959149</v>
      </c>
      <c r="HH51"/>
      <c r="HI51"/>
      <c r="HJ51"/>
      <c r="HK51"/>
      <c r="HL51"/>
    </row>
    <row r="52" spans="1:220" s="26" customFormat="1" ht="12.75" customHeight="1" x14ac:dyDescent="0.35">
      <c r="A52" s="26" t="s">
        <v>96</v>
      </c>
      <c r="B52" s="26">
        <v>2000</v>
      </c>
      <c r="C52" s="26">
        <f>'Orig data'!G54</f>
        <v>699976</v>
      </c>
      <c r="D52" s="26">
        <f>'Orig data'!R54</f>
        <v>821323.89458584297</v>
      </c>
      <c r="E52" s="26">
        <f>'Orig data'!W54</f>
        <v>2282485.9433021657</v>
      </c>
      <c r="F52" s="26">
        <f t="shared" si="25"/>
        <v>699.976</v>
      </c>
      <c r="G52" s="26">
        <f t="shared" si="26"/>
        <v>2282.4859433021657</v>
      </c>
      <c r="H52" s="26">
        <f t="shared" si="27"/>
        <v>1.1819744052431649</v>
      </c>
      <c r="I52" s="26">
        <f t="shared" si="28"/>
        <v>121347.89458584297</v>
      </c>
      <c r="J52" s="26">
        <f t="shared" si="29"/>
        <v>0.14774669942731095</v>
      </c>
      <c r="K52" s="26">
        <f t="shared" si="30"/>
        <v>2000</v>
      </c>
      <c r="L52" s="26">
        <f>covariates!R60</f>
        <v>699976</v>
      </c>
      <c r="M52" s="26">
        <f t="shared" si="31"/>
        <v>0.36161100847655714</v>
      </c>
      <c r="N52" s="26">
        <f t="shared" si="32"/>
        <v>6.0738128207598663E-2</v>
      </c>
      <c r="O52" s="26">
        <f t="shared" si="33"/>
        <v>2.5585971015386249</v>
      </c>
      <c r="P52" s="26">
        <f t="shared" si="34"/>
        <v>699976</v>
      </c>
      <c r="Q52" s="26">
        <f t="shared" si="35"/>
        <v>1.3400031964096442</v>
      </c>
      <c r="R52" s="26">
        <f t="shared" si="36"/>
        <v>6.0738128207598663E-2</v>
      </c>
      <c r="S52" s="26">
        <f t="shared" si="37"/>
        <v>2.5585971015386249</v>
      </c>
      <c r="T52" s="26">
        <f t="shared" si="38"/>
        <v>699976</v>
      </c>
      <c r="U52" s="26">
        <f t="shared" si="39"/>
        <v>1.1534536524638548</v>
      </c>
      <c r="V52" s="26">
        <f t="shared" si="40"/>
        <v>2.5585971015386249</v>
      </c>
      <c r="W52" s="26">
        <f t="shared" si="41"/>
        <v>0.36161100847655714</v>
      </c>
      <c r="X52" s="26">
        <f t="shared" si="42"/>
        <v>699976</v>
      </c>
      <c r="Y52" s="26">
        <f t="shared" si="43"/>
        <v>-0.31325062707878698</v>
      </c>
      <c r="Z52" s="105">
        <f t="shared" si="44"/>
        <v>2.5585971015386249</v>
      </c>
      <c r="AA52" s="105">
        <f t="shared" si="45"/>
        <v>0.36161100847655714</v>
      </c>
      <c r="AB52" s="105">
        <f t="shared" si="46"/>
        <v>699976</v>
      </c>
      <c r="AC52" s="159">
        <f t="shared" si="47"/>
        <v>-4.4363575410768567E-2</v>
      </c>
      <c r="AD52" s="105">
        <f t="shared" si="48"/>
        <v>2.5585971015386249</v>
      </c>
      <c r="AE52" s="105">
        <f t="shared" si="49"/>
        <v>0.36161100847655714</v>
      </c>
      <c r="AF52" s="105">
        <f t="shared" si="50"/>
        <v>699976</v>
      </c>
      <c r="AG52" s="105">
        <f>covariates!X60</f>
        <v>-4.4363575410768567E-2</v>
      </c>
      <c r="AH52" s="105">
        <f t="shared" si="51"/>
        <v>2.5585971015386249</v>
      </c>
      <c r="AI52" s="159">
        <f t="shared" si="52"/>
        <v>6.0738128207598663E-2</v>
      </c>
      <c r="AJ52" s="105">
        <f t="shared" si="53"/>
        <v>0.36161100847655714</v>
      </c>
      <c r="AK52" s="105"/>
      <c r="AL52" s="105"/>
      <c r="AM52" s="105"/>
      <c r="AN52" s="105"/>
      <c r="AO52" s="105"/>
      <c r="AP52" s="105">
        <f t="shared" si="54"/>
        <v>699976</v>
      </c>
      <c r="AQ52" s="105">
        <f>covariates!T60</f>
        <v>-0.31325062707878698</v>
      </c>
      <c r="AR52" s="105">
        <f t="shared" si="55"/>
        <v>2.5585971015386249</v>
      </c>
      <c r="AS52" s="105">
        <f t="shared" si="56"/>
        <v>6.0738128207598663E-2</v>
      </c>
      <c r="AT52" s="26">
        <f t="shared" si="57"/>
        <v>0.36161100847655714</v>
      </c>
      <c r="AU52" s="26">
        <f t="shared" si="58"/>
        <v>699976</v>
      </c>
      <c r="AV52" s="26">
        <f t="shared" si="59"/>
        <v>-4.4363575410768567E-2</v>
      </c>
      <c r="AW52" s="26">
        <f t="shared" si="60"/>
        <v>2.5585971015386249</v>
      </c>
      <c r="AX52" s="26">
        <f t="shared" si="61"/>
        <v>6.0738128207598663E-2</v>
      </c>
      <c r="AY52" s="26">
        <f t="shared" si="62"/>
        <v>0.36161100847655714</v>
      </c>
      <c r="AZ52" s="26">
        <f t="shared" si="63"/>
        <v>1.3400031964096442</v>
      </c>
      <c r="BA52" s="61">
        <v>2000</v>
      </c>
      <c r="BB52" s="164">
        <f t="shared" si="4"/>
        <v>699976</v>
      </c>
      <c r="BC52" s="105">
        <f t="shared" si="5"/>
        <v>-4.4363575410768567E-2</v>
      </c>
      <c r="BD52" s="105">
        <f t="shared" si="6"/>
        <v>2.5585971015386249</v>
      </c>
      <c r="BE52" s="105">
        <f t="shared" si="7"/>
        <v>6.0738128207598663E-2</v>
      </c>
      <c r="BF52" s="105">
        <f t="shared" si="8"/>
        <v>0.36161100847655714</v>
      </c>
      <c r="BG52">
        <v>264</v>
      </c>
      <c r="BH52" s="61">
        <f t="shared" si="78"/>
        <v>2000</v>
      </c>
      <c r="BI52" s="61">
        <f t="shared" si="79"/>
        <v>699976</v>
      </c>
      <c r="BJ52" s="26">
        <f t="shared" si="80"/>
        <v>-4.4363575410768567E-2</v>
      </c>
      <c r="BK52" s="26">
        <f t="shared" si="81"/>
        <v>2.5585971015386249</v>
      </c>
      <c r="BL52" s="26">
        <f t="shared" si="82"/>
        <v>6.0738128207598663E-2</v>
      </c>
      <c r="BM52" s="26">
        <f t="shared" si="83"/>
        <v>0.36161100847655714</v>
      </c>
      <c r="BN52" s="61">
        <f t="shared" si="84"/>
        <v>264</v>
      </c>
      <c r="BO52" s="26">
        <f t="shared" si="85"/>
        <v>1.1819744052431649</v>
      </c>
      <c r="BR52" s="26">
        <f>covariates!V60</f>
        <v>0.36161100847655714</v>
      </c>
      <c r="BS52" s="26">
        <f>covariates!W60</f>
        <v>1.1534536524638548</v>
      </c>
      <c r="BT52" s="26">
        <f>covariates!Y60</f>
        <v>6.0738128207598663E-2</v>
      </c>
      <c r="BU52" s="26">
        <f>covariates!U60</f>
        <v>2.5585971015386249</v>
      </c>
      <c r="BV52" s="26">
        <f>covariates!AA60</f>
        <v>1.3400031964096442</v>
      </c>
      <c r="BW52" s="26">
        <f t="shared" si="90"/>
        <v>1.1819744052431649</v>
      </c>
      <c r="BX52" s="26">
        <f t="shared" si="76"/>
        <v>-0.76945436806962253</v>
      </c>
      <c r="BY52" s="26">
        <f t="shared" si="112"/>
        <v>-0.76057812645171086</v>
      </c>
      <c r="BZ52" s="26">
        <f t="shared" si="93"/>
        <v>2000</v>
      </c>
      <c r="CA52" s="26">
        <f t="shared" si="94"/>
        <v>1.2507900403464403</v>
      </c>
      <c r="CB52" s="26">
        <f t="shared" si="70"/>
        <v>1.0477591844947851</v>
      </c>
      <c r="CC52" s="26">
        <f t="shared" si="110"/>
        <v>1706537.0024936094</v>
      </c>
      <c r="CD52" s="26">
        <f t="shared" si="95"/>
        <v>1.012729271381414</v>
      </c>
      <c r="CE52" s="26">
        <f t="shared" si="70"/>
        <v>0.87221815092633626</v>
      </c>
      <c r="CF52" s="26">
        <f t="shared" si="96"/>
        <v>1395655.8006914679</v>
      </c>
      <c r="CG52" s="26">
        <f t="shared" si="97"/>
        <v>1.2339251897998056</v>
      </c>
      <c r="CH52" s="26">
        <f t="shared" si="71"/>
        <v>1.0059689078678804</v>
      </c>
      <c r="CI52" s="26">
        <f t="shared" si="98"/>
        <v>1706478.3595044161</v>
      </c>
      <c r="CJ52" s="26">
        <f t="shared" si="99"/>
        <v>1.262585545549064</v>
      </c>
      <c r="CK52" s="26">
        <f t="shared" si="72"/>
        <v>1.0684024029885315</v>
      </c>
      <c r="CL52" s="26">
        <f t="shared" si="100"/>
        <v>1716212.9403922537</v>
      </c>
      <c r="CM52" s="26">
        <f t="shared" si="101"/>
        <v>1.2082871077352815</v>
      </c>
      <c r="CN52" s="26">
        <f t="shared" si="73"/>
        <v>0.98815576169314612</v>
      </c>
      <c r="CO52" s="26">
        <f t="shared" si="102"/>
        <v>1656975.7855916503</v>
      </c>
      <c r="CP52" s="26">
        <f t="shared" si="67"/>
        <v>0.32027105006747547</v>
      </c>
      <c r="CQ52" s="26">
        <f t="shared" si="103"/>
        <v>1.2293159341414512</v>
      </c>
      <c r="CR52" s="26">
        <f t="shared" si="74"/>
        <v>1.006307423943658</v>
      </c>
      <c r="CS52" s="26">
        <f t="shared" si="104"/>
        <v>1694431.0512228906</v>
      </c>
      <c r="CT52" s="26">
        <f t="shared" si="105"/>
        <v>1416260.9791453425</v>
      </c>
      <c r="CU52" s="26">
        <f t="shared" si="106"/>
        <v>1.4619243164184712</v>
      </c>
      <c r="CV52" s="26">
        <f t="shared" si="75"/>
        <v>1.225901245676756</v>
      </c>
      <c r="CW52" s="26">
        <f t="shared" si="107"/>
        <v>2094801.6170835595</v>
      </c>
      <c r="CX52" s="26">
        <f t="shared" si="108"/>
        <v>1.4940792945317833</v>
      </c>
      <c r="CY52" s="26">
        <f t="shared" si="113"/>
        <v>1.2559665050654056</v>
      </c>
      <c r="CZ52" s="26">
        <f t="shared" si="68"/>
        <v>2258530.6251685591</v>
      </c>
      <c r="DA52" s="50">
        <v>1971</v>
      </c>
      <c r="DB52" s="50">
        <v>0.95941116645768321</v>
      </c>
      <c r="DC52" s="50">
        <v>-0.26729459870061623</v>
      </c>
      <c r="DD52" s="50">
        <v>-0.54262359523303572</v>
      </c>
      <c r="DE52" s="26">
        <f t="shared" si="86"/>
        <v>-0.22294323295023763</v>
      </c>
      <c r="DN52" s="50">
        <v>18</v>
      </c>
      <c r="DO52" s="50">
        <v>0.80886884235363077</v>
      </c>
      <c r="DP52" s="50">
        <v>-0.17376220850442914</v>
      </c>
      <c r="DQ52" s="50">
        <v>-0.41107605926733037</v>
      </c>
      <c r="DR52" s="26">
        <f t="shared" si="111"/>
        <v>1.312160118389732</v>
      </c>
      <c r="DZ52" s="50">
        <v>19</v>
      </c>
      <c r="EA52" s="50">
        <v>0.89832246664402082</v>
      </c>
      <c r="EB52" s="50">
        <v>0.60077065378654626</v>
      </c>
      <c r="EC52" s="50">
        <v>1.3594557829345335</v>
      </c>
      <c r="ED52" s="26">
        <f t="shared" si="109"/>
        <v>-0.38766269542764703</v>
      </c>
      <c r="EJ52" s="50">
        <v>21</v>
      </c>
      <c r="EK52" s="50">
        <v>0.98464884338001313</v>
      </c>
      <c r="EL52" s="50">
        <v>-0.29253227562294615</v>
      </c>
      <c r="EM52" s="50">
        <v>-0.67060481390517035</v>
      </c>
      <c r="EN52" s="26">
        <f t="shared" si="87"/>
        <v>-0.32100063925475891</v>
      </c>
      <c r="EU52" s="50">
        <v>21</v>
      </c>
      <c r="EV52" s="50">
        <v>1.1097867379282014</v>
      </c>
      <c r="EW52" s="50">
        <v>-0.41767017017113439</v>
      </c>
      <c r="EX52" s="50">
        <v>-0.96662074959812894</v>
      </c>
      <c r="EY52" s="26">
        <f t="shared" si="88"/>
        <v>-0.57985666958513571</v>
      </c>
      <c r="FF52" s="50">
        <v>20</v>
      </c>
      <c r="FG52" s="50">
        <v>1.2036447486771882</v>
      </c>
      <c r="FH52" s="50">
        <v>-0.20388115372350368</v>
      </c>
      <c r="FI52" s="50">
        <v>-0.48273066401118858</v>
      </c>
      <c r="FJ52" s="26">
        <f t="shared" si="91"/>
        <v>-1.1958291634076217</v>
      </c>
      <c r="FP52" s="50">
        <v>20</v>
      </c>
      <c r="FQ52" s="50">
        <v>1.1464237961330999</v>
      </c>
      <c r="FR52" s="50">
        <v>-0.14666020117941536</v>
      </c>
      <c r="FS52" s="50">
        <v>-0.35493049626750078</v>
      </c>
      <c r="FT52" s="26">
        <f t="shared" si="92"/>
        <v>-1.0008188663352229</v>
      </c>
      <c r="FZ52" s="50">
        <v>21</v>
      </c>
      <c r="GA52" s="50">
        <v>0.92689132834021715</v>
      </c>
      <c r="GB52" s="50">
        <v>-0.23477476058315017</v>
      </c>
      <c r="GC52" s="50">
        <v>-0.55065860694680757</v>
      </c>
      <c r="GD52" s="26">
        <f t="shared" si="89"/>
        <v>-0.69968370788734113</v>
      </c>
      <c r="GJ52" s="50">
        <v>19</v>
      </c>
      <c r="GK52" s="50">
        <v>0.86111736179666443</v>
      </c>
      <c r="GL52" s="50">
        <v>0.63797575863390266</v>
      </c>
      <c r="GM52" s="50">
        <v>1.5584180027840908</v>
      </c>
      <c r="GT52" s="46">
        <v>20</v>
      </c>
      <c r="GU52" s="46">
        <v>1.1350319173585735</v>
      </c>
      <c r="GV52" s="46">
        <v>-0.13526832240488895</v>
      </c>
      <c r="GW52" s="46">
        <v>-0.33393144583022033</v>
      </c>
      <c r="GX52"/>
      <c r="GY52"/>
      <c r="GZ52"/>
      <c r="HA52"/>
      <c r="HB52"/>
      <c r="HD52" s="46">
        <v>20</v>
      </c>
      <c r="HE52" s="46">
        <v>0.17841651362081468</v>
      </c>
      <c r="HF52" s="46">
        <v>0.59749197080150396</v>
      </c>
      <c r="HG52" s="46">
        <v>1.7871307606234252</v>
      </c>
      <c r="HH52"/>
      <c r="HI52"/>
      <c r="HJ52"/>
      <c r="HK52"/>
      <c r="HL52"/>
    </row>
    <row r="53" spans="1:220" s="26" customFormat="1" ht="12.75" customHeight="1" x14ac:dyDescent="0.35">
      <c r="A53" s="26" t="s">
        <v>96</v>
      </c>
      <c r="B53" s="26">
        <v>2001</v>
      </c>
      <c r="C53" s="26">
        <f>'Orig data'!G55</f>
        <v>3151893</v>
      </c>
      <c r="D53" s="26">
        <f>'Orig data'!R55</f>
        <v>3396137.3550203633</v>
      </c>
      <c r="E53" s="26">
        <f>'Orig data'!W55</f>
        <v>1868662.078775011</v>
      </c>
      <c r="F53" s="26">
        <f t="shared" si="25"/>
        <v>3151.893</v>
      </c>
      <c r="G53" s="26">
        <f t="shared" si="26"/>
        <v>1868.662078775011</v>
      </c>
      <c r="H53" s="26">
        <f t="shared" si="27"/>
        <v>-0.52278051581601337</v>
      </c>
      <c r="I53" s="26">
        <f t="shared" si="28"/>
        <v>244244.35502036335</v>
      </c>
      <c r="J53" s="26">
        <f t="shared" si="29"/>
        <v>7.1918279353250375E-2</v>
      </c>
      <c r="K53" s="26">
        <f t="shared" si="30"/>
        <v>2001</v>
      </c>
      <c r="L53" s="26">
        <f>covariates!R61</f>
        <v>3151893</v>
      </c>
      <c r="M53" s="26">
        <f t="shared" si="31"/>
        <v>0.52644155175049623</v>
      </c>
      <c r="N53" s="26">
        <f t="shared" si="32"/>
        <v>-0.89312442022215499</v>
      </c>
      <c r="O53" s="26">
        <f t="shared" si="33"/>
        <v>1.9408497767597643</v>
      </c>
      <c r="P53" s="26">
        <f t="shared" si="34"/>
        <v>3151893</v>
      </c>
      <c r="Q53" s="26">
        <f t="shared" si="35"/>
        <v>1.8397009560330502</v>
      </c>
      <c r="R53" s="26">
        <f t="shared" si="36"/>
        <v>-0.89312442022215499</v>
      </c>
      <c r="S53" s="26">
        <f t="shared" si="37"/>
        <v>1.9408497767597643</v>
      </c>
      <c r="T53" s="26">
        <f t="shared" si="38"/>
        <v>3151893</v>
      </c>
      <c r="U53" s="26">
        <f t="shared" si="39"/>
        <v>1.2106818759839166</v>
      </c>
      <c r="V53" s="26">
        <f t="shared" si="40"/>
        <v>1.9408497767597643</v>
      </c>
      <c r="W53" s="26">
        <f t="shared" si="41"/>
        <v>0.52644155175049623</v>
      </c>
      <c r="X53" s="26">
        <f t="shared" si="42"/>
        <v>3151893</v>
      </c>
      <c r="Y53" s="26">
        <f t="shared" si="43"/>
        <v>-0.19847708125791444</v>
      </c>
      <c r="Z53" s="105">
        <f t="shared" si="44"/>
        <v>1.9408497767597643</v>
      </c>
      <c r="AA53" s="105">
        <f t="shared" si="45"/>
        <v>0.52644155175049623</v>
      </c>
      <c r="AB53" s="105">
        <f t="shared" si="46"/>
        <v>3151893</v>
      </c>
      <c r="AC53" s="159">
        <f t="shared" si="47"/>
        <v>-0.18689697648091311</v>
      </c>
      <c r="AD53" s="105">
        <f t="shared" si="48"/>
        <v>1.9408497767597643</v>
      </c>
      <c r="AE53" s="105">
        <f t="shared" si="49"/>
        <v>0.52644155175049623</v>
      </c>
      <c r="AF53" s="105">
        <f t="shared" si="50"/>
        <v>3151893</v>
      </c>
      <c r="AG53" s="105">
        <f>covariates!X61</f>
        <v>-0.18689697648091311</v>
      </c>
      <c r="AH53" s="105">
        <f t="shared" si="51"/>
        <v>1.9408497767597643</v>
      </c>
      <c r="AI53" s="159">
        <f t="shared" si="52"/>
        <v>-0.89312442022215499</v>
      </c>
      <c r="AJ53" s="105">
        <f t="shared" si="53"/>
        <v>0.52644155175049623</v>
      </c>
      <c r="AK53" s="105"/>
      <c r="AL53" s="105"/>
      <c r="AM53" s="105"/>
      <c r="AN53" s="105"/>
      <c r="AO53" s="105"/>
      <c r="AP53" s="105">
        <f t="shared" si="54"/>
        <v>3151893</v>
      </c>
      <c r="AQ53" s="105">
        <f>covariates!T61</f>
        <v>-0.19847708125791444</v>
      </c>
      <c r="AR53" s="105">
        <f t="shared" si="55"/>
        <v>1.9408497767597643</v>
      </c>
      <c r="AS53" s="105">
        <f t="shared" si="56"/>
        <v>-0.89312442022215499</v>
      </c>
      <c r="AT53" s="26">
        <f t="shared" si="57"/>
        <v>0.52644155175049623</v>
      </c>
      <c r="AU53" s="26">
        <f t="shared" si="58"/>
        <v>3151893</v>
      </c>
      <c r="AV53" s="26">
        <f t="shared" si="59"/>
        <v>-0.18689697648091311</v>
      </c>
      <c r="AW53" s="26">
        <f t="shared" si="60"/>
        <v>1.9408497767597643</v>
      </c>
      <c r="AX53" s="26">
        <f t="shared" si="61"/>
        <v>-0.89312442022215499</v>
      </c>
      <c r="AY53" s="26">
        <f t="shared" si="62"/>
        <v>0.52644155175049623</v>
      </c>
      <c r="AZ53" s="26">
        <f t="shared" si="63"/>
        <v>1.8397009560330502</v>
      </c>
      <c r="BA53" s="61">
        <v>2001</v>
      </c>
      <c r="BB53" s="164">
        <f t="shared" si="4"/>
        <v>3151893</v>
      </c>
      <c r="BC53" s="105">
        <f t="shared" si="5"/>
        <v>-0.18689697648091311</v>
      </c>
      <c r="BD53" s="105">
        <f t="shared" si="6"/>
        <v>1.9408497767597643</v>
      </c>
      <c r="BE53" s="105">
        <f t="shared" si="7"/>
        <v>-0.89312442022215499</v>
      </c>
      <c r="BF53" s="105">
        <f t="shared" si="8"/>
        <v>0.52644155175049623</v>
      </c>
      <c r="BG53">
        <v>250</v>
      </c>
      <c r="BH53" s="61">
        <f t="shared" si="78"/>
        <v>2001</v>
      </c>
      <c r="BI53" s="61">
        <f t="shared" si="79"/>
        <v>3151893</v>
      </c>
      <c r="BJ53" s="26">
        <f t="shared" si="80"/>
        <v>-0.18689697648091311</v>
      </c>
      <c r="BK53" s="26">
        <f t="shared" si="81"/>
        <v>1.9408497767597643</v>
      </c>
      <c r="BL53" s="26">
        <f t="shared" si="82"/>
        <v>-0.89312442022215499</v>
      </c>
      <c r="BM53" s="26">
        <f t="shared" si="83"/>
        <v>0.52644155175049623</v>
      </c>
      <c r="BN53" s="61">
        <f t="shared" si="84"/>
        <v>250</v>
      </c>
      <c r="BO53" s="26">
        <f t="shared" si="85"/>
        <v>-0.52278051581601337</v>
      </c>
      <c r="BR53" s="26">
        <f>covariates!V61</f>
        <v>0.52644155175049623</v>
      </c>
      <c r="BS53" s="26">
        <f>covariates!W61</f>
        <v>1.2106818759839166</v>
      </c>
      <c r="BT53" s="26">
        <f>covariates!Y61</f>
        <v>-0.89312442022215499</v>
      </c>
      <c r="BU53" s="26">
        <f>covariates!U61</f>
        <v>1.9408497767597643</v>
      </c>
      <c r="BV53" s="26">
        <f>covariates!AA61</f>
        <v>1.8397009560330502</v>
      </c>
      <c r="BW53" s="26">
        <f t="shared" si="90"/>
        <v>-0.52278051581601337</v>
      </c>
      <c r="BX53" s="26">
        <f t="shared" si="76"/>
        <v>-0.76945436806962253</v>
      </c>
      <c r="BY53" s="26">
        <f t="shared" si="112"/>
        <v>-0.76057812645171086</v>
      </c>
      <c r="BZ53" s="26">
        <f t="shared" si="93"/>
        <v>2001</v>
      </c>
      <c r="CA53" s="26">
        <f t="shared" si="94"/>
        <v>1.2472237610687473</v>
      </c>
      <c r="CB53" s="26">
        <f t="shared" si="70"/>
        <v>1.0335759379432827</v>
      </c>
      <c r="CC53" s="26">
        <f t="shared" si="110"/>
        <v>2172618.4448007671</v>
      </c>
      <c r="CD53" s="26">
        <f t="shared" si="95"/>
        <v>0.92800007183350963</v>
      </c>
      <c r="CE53" s="26">
        <f t="shared" si="70"/>
        <v>0.85008271118747802</v>
      </c>
      <c r="CF53" s="26">
        <f t="shared" si="96"/>
        <v>1864756.7271274624</v>
      </c>
      <c r="CG53" s="26">
        <f t="shared" si="97"/>
        <v>1.1308345094410868</v>
      </c>
      <c r="CH53" s="26">
        <f t="shared" si="71"/>
        <v>0.99130712648512154</v>
      </c>
      <c r="CI53" s="26">
        <f t="shared" si="98"/>
        <v>2086168.5332732412</v>
      </c>
      <c r="CJ53" s="26">
        <f t="shared" si="99"/>
        <v>1.2722166671099975</v>
      </c>
      <c r="CK53" s="26">
        <f t="shared" si="72"/>
        <v>1.0519516579202661</v>
      </c>
      <c r="CL53" s="26">
        <f t="shared" si="100"/>
        <v>2166843.0162867242</v>
      </c>
      <c r="CM53" s="26">
        <f t="shared" si="101"/>
        <v>1.1957469679451336</v>
      </c>
      <c r="CN53" s="26">
        <f t="shared" si="73"/>
        <v>0.9841069773092348</v>
      </c>
      <c r="CO53" s="26">
        <f t="shared" si="102"/>
        <v>2188316.5241035349</v>
      </c>
      <c r="CP53" s="26">
        <f t="shared" si="67"/>
        <v>-0.1579098288611096</v>
      </c>
      <c r="CQ53" s="26">
        <f t="shared" si="103"/>
        <v>1.1135060496900553</v>
      </c>
      <c r="CR53" s="26">
        <f t="shared" si="74"/>
        <v>0.9923805215445578</v>
      </c>
      <c r="CS53" s="26">
        <f t="shared" si="104"/>
        <v>2027601.8099182532</v>
      </c>
      <c r="CT53" s="26">
        <f t="shared" si="105"/>
        <v>1389730.8365474488</v>
      </c>
      <c r="CU53" s="26">
        <f t="shared" si="106"/>
        <v>1.4863468135975477</v>
      </c>
      <c r="CV53" s="26">
        <f t="shared" si="75"/>
        <v>1.2429176743607699</v>
      </c>
      <c r="CW53" s="26">
        <f t="shared" si="107"/>
        <v>2684250.1723532784</v>
      </c>
      <c r="CX53" s="26">
        <f t="shared" si="108"/>
        <v>1.5238562678918963</v>
      </c>
      <c r="CY53" s="26">
        <f t="shared" si="113"/>
        <v>1.2639596185376842</v>
      </c>
      <c r="CZ53" s="26">
        <f t="shared" si="68"/>
        <v>3383757.5710850651</v>
      </c>
      <c r="DA53" s="50">
        <v>1972</v>
      </c>
      <c r="DB53" s="50">
        <v>0.87666235773193313</v>
      </c>
      <c r="DC53" s="50">
        <v>-0.10982110344622875</v>
      </c>
      <c r="DD53" s="50">
        <v>-0.22294323295023763</v>
      </c>
      <c r="DE53" s="26">
        <f t="shared" si="86"/>
        <v>0.28344405709846493</v>
      </c>
      <c r="DN53" s="50">
        <v>19</v>
      </c>
      <c r="DO53" s="50">
        <v>0.94444189484178154</v>
      </c>
      <c r="DP53" s="50">
        <v>0.55465122558878555</v>
      </c>
      <c r="DQ53" s="50">
        <v>1.312160118389732</v>
      </c>
      <c r="DR53" s="26">
        <f t="shared" si="111"/>
        <v>-0.49699166468743394</v>
      </c>
      <c r="DZ53" s="50">
        <v>20</v>
      </c>
      <c r="EA53" s="50">
        <v>1.1710794802544848</v>
      </c>
      <c r="EB53" s="50">
        <v>-0.17131588530080033</v>
      </c>
      <c r="EC53" s="50">
        <v>-0.38766269542764703</v>
      </c>
      <c r="ED53" s="26">
        <f t="shared" si="109"/>
        <v>-1.076065997566755</v>
      </c>
      <c r="EJ53" s="50">
        <v>22</v>
      </c>
      <c r="EK53" s="50">
        <v>0.9068686527333597</v>
      </c>
      <c r="EL53" s="50">
        <v>-0.14002739844765533</v>
      </c>
      <c r="EM53" s="50">
        <v>-0.32100063925475891</v>
      </c>
      <c r="EN53" s="26">
        <f t="shared" si="87"/>
        <v>0.1979928022574495</v>
      </c>
      <c r="EU53" s="50">
        <v>22</v>
      </c>
      <c r="EV53" s="50">
        <v>1.0173933285725232</v>
      </c>
      <c r="EW53" s="50">
        <v>-0.2505520742868188</v>
      </c>
      <c r="EX53" s="50">
        <v>-0.57985666958513571</v>
      </c>
      <c r="EY53" s="26">
        <f t="shared" si="88"/>
        <v>4.087473720721109E-2</v>
      </c>
      <c r="FF53" s="50">
        <v>21</v>
      </c>
      <c r="FG53" s="50">
        <v>1.1971746626082929</v>
      </c>
      <c r="FH53" s="50">
        <v>-0.50505809485122588</v>
      </c>
      <c r="FI53" s="50">
        <v>-1.1958291634076217</v>
      </c>
      <c r="FJ53" s="26">
        <f t="shared" si="91"/>
        <v>-0.45007145319551473</v>
      </c>
      <c r="FP53" s="50">
        <v>21</v>
      </c>
      <c r="FQ53" s="50">
        <v>1.1056631573695137</v>
      </c>
      <c r="FR53" s="50">
        <v>-0.41354658961244672</v>
      </c>
      <c r="FS53" s="50">
        <v>-1.0008188663352229</v>
      </c>
      <c r="FT53" s="26">
        <f t="shared" si="92"/>
        <v>-0.76442129772033007</v>
      </c>
      <c r="FZ53" s="50">
        <v>22</v>
      </c>
      <c r="GA53" s="50">
        <v>1.0651532627258979</v>
      </c>
      <c r="GB53" s="50">
        <v>-0.29831200844019357</v>
      </c>
      <c r="GC53" s="50">
        <v>-0.69968370788734113</v>
      </c>
      <c r="GD53" s="26">
        <f t="shared" si="89"/>
        <v>5.7646889465425552E-2</v>
      </c>
      <c r="GJ53" s="50">
        <v>20</v>
      </c>
      <c r="GK53" s="50">
        <v>1.1468654536770764</v>
      </c>
      <c r="GL53" s="50">
        <v>-0.14710185872339188</v>
      </c>
      <c r="GM53" s="50">
        <v>-0.35933369218984224</v>
      </c>
      <c r="GT53" s="46">
        <v>21</v>
      </c>
      <c r="GU53" s="46">
        <v>1.0946785663209855</v>
      </c>
      <c r="GV53" s="46">
        <v>-0.4025619985639185</v>
      </c>
      <c r="GW53" s="46">
        <v>-0.99378855172298497</v>
      </c>
      <c r="GX53"/>
      <c r="GY53"/>
      <c r="GZ53"/>
      <c r="HA53"/>
      <c r="HB53"/>
      <c r="HD53" s="46">
        <v>21</v>
      </c>
      <c r="HE53" s="46">
        <v>0.22580222555327367</v>
      </c>
      <c r="HF53" s="46">
        <v>0.34838528247031098</v>
      </c>
      <c r="HG53" s="46">
        <v>1.0420391993150555</v>
      </c>
      <c r="HH53"/>
      <c r="HI53"/>
      <c r="HJ53"/>
      <c r="HK53"/>
      <c r="HL53"/>
    </row>
    <row r="54" spans="1:220" s="26" customFormat="1" ht="12.75" customHeight="1" x14ac:dyDescent="0.35">
      <c r="A54" s="26" t="s">
        <v>96</v>
      </c>
      <c r="B54" s="26">
        <v>2002</v>
      </c>
      <c r="C54" s="26">
        <f>'Orig data'!G56</f>
        <v>2302250</v>
      </c>
      <c r="D54" s="26">
        <f>'Orig data'!R56</f>
        <v>2701922.5280034388</v>
      </c>
      <c r="E54" s="26">
        <f>'Orig data'!W56</f>
        <v>2826467.1680969703</v>
      </c>
      <c r="F54" s="26">
        <f t="shared" si="25"/>
        <v>2302.25</v>
      </c>
      <c r="G54" s="26">
        <f t="shared" si="26"/>
        <v>2826.4671680969705</v>
      </c>
      <c r="H54" s="26">
        <f t="shared" si="27"/>
        <v>0.20514067570148103</v>
      </c>
      <c r="I54" s="26">
        <f t="shared" si="28"/>
        <v>399672.52800343884</v>
      </c>
      <c r="J54" s="26">
        <f t="shared" si="29"/>
        <v>0.14792153507775563</v>
      </c>
      <c r="K54" s="26">
        <f t="shared" si="30"/>
        <v>2002</v>
      </c>
      <c r="L54" s="26">
        <f>covariates!R62</f>
        <v>2302250</v>
      </c>
      <c r="M54" s="26">
        <f t="shared" si="31"/>
        <v>0.64364080472810037</v>
      </c>
      <c r="N54" s="26">
        <f t="shared" si="32"/>
        <v>1.5819306891021079</v>
      </c>
      <c r="O54" s="26">
        <f t="shared" si="33"/>
        <v>1.7184607398393745</v>
      </c>
      <c r="P54" s="26">
        <f t="shared" si="34"/>
        <v>2302250</v>
      </c>
      <c r="Q54" s="26">
        <f t="shared" si="35"/>
        <v>1.2612545309578815</v>
      </c>
      <c r="R54" s="26">
        <f t="shared" si="36"/>
        <v>1.5819306891021079</v>
      </c>
      <c r="S54" s="26">
        <f t="shared" si="37"/>
        <v>1.7184607398393745</v>
      </c>
      <c r="T54" s="26">
        <f t="shared" si="38"/>
        <v>2302250</v>
      </c>
      <c r="U54" s="26">
        <f t="shared" si="39"/>
        <v>-0.38198985928266987</v>
      </c>
      <c r="V54" s="26">
        <f t="shared" si="40"/>
        <v>1.7184607398393745</v>
      </c>
      <c r="W54" s="26">
        <f t="shared" si="41"/>
        <v>0.64364080472810037</v>
      </c>
      <c r="X54" s="26">
        <f t="shared" si="42"/>
        <v>2302250</v>
      </c>
      <c r="Y54" s="26">
        <f t="shared" si="43"/>
        <v>0.6011119546274849</v>
      </c>
      <c r="Z54" s="105">
        <f t="shared" si="44"/>
        <v>1.7184607398393745</v>
      </c>
      <c r="AA54" s="105">
        <f t="shared" si="45"/>
        <v>0.64364080472810037</v>
      </c>
      <c r="AB54" s="105">
        <f t="shared" si="46"/>
        <v>2302250</v>
      </c>
      <c r="AC54" s="159">
        <f t="shared" si="47"/>
        <v>-0.64688128425350599</v>
      </c>
      <c r="AD54" s="105">
        <f t="shared" si="48"/>
        <v>1.7184607398393745</v>
      </c>
      <c r="AE54" s="105">
        <f t="shared" si="49"/>
        <v>0.64364080472810037</v>
      </c>
      <c r="AF54" s="105">
        <f t="shared" si="50"/>
        <v>2302250</v>
      </c>
      <c r="AG54" s="105">
        <f>covariates!X62</f>
        <v>-0.64688128425350599</v>
      </c>
      <c r="AH54" s="105">
        <f t="shared" si="51"/>
        <v>1.7184607398393745</v>
      </c>
      <c r="AI54" s="159">
        <f t="shared" si="52"/>
        <v>1.5819306891021079</v>
      </c>
      <c r="AJ54" s="105">
        <f t="shared" si="53"/>
        <v>0.64364080472810037</v>
      </c>
      <c r="AK54" s="105"/>
      <c r="AL54" s="105"/>
      <c r="AM54" s="105"/>
      <c r="AN54" s="105"/>
      <c r="AO54" s="105"/>
      <c r="AP54" s="105">
        <f t="shared" si="54"/>
        <v>2302250</v>
      </c>
      <c r="AQ54" s="105">
        <f>covariates!T62</f>
        <v>0.6011119546274849</v>
      </c>
      <c r="AR54" s="105">
        <f t="shared" si="55"/>
        <v>1.7184607398393745</v>
      </c>
      <c r="AS54" s="105">
        <f t="shared" si="56"/>
        <v>1.5819306891021079</v>
      </c>
      <c r="AT54" s="26">
        <f t="shared" si="57"/>
        <v>0.64364080472810037</v>
      </c>
      <c r="AU54" s="26">
        <f t="shared" si="58"/>
        <v>2302250</v>
      </c>
      <c r="AV54" s="26">
        <f t="shared" si="59"/>
        <v>-0.64688128425350599</v>
      </c>
      <c r="AW54" s="26">
        <f t="shared" si="60"/>
        <v>1.7184607398393745</v>
      </c>
      <c r="AX54" s="26">
        <f t="shared" si="61"/>
        <v>1.5819306891021079</v>
      </c>
      <c r="AY54" s="26">
        <f t="shared" si="62"/>
        <v>0.64364080472810037</v>
      </c>
      <c r="AZ54" s="26">
        <f t="shared" si="63"/>
        <v>1.2612545309578815</v>
      </c>
      <c r="BA54" s="61">
        <v>2002</v>
      </c>
      <c r="BB54" s="164">
        <f t="shared" si="4"/>
        <v>2302250</v>
      </c>
      <c r="BC54" s="105">
        <f t="shared" si="5"/>
        <v>-0.64688128425350599</v>
      </c>
      <c r="BD54" s="105">
        <f t="shared" si="6"/>
        <v>1.7184607398393745</v>
      </c>
      <c r="BE54" s="105">
        <f t="shared" si="7"/>
        <v>1.5819306891021079</v>
      </c>
      <c r="BF54" s="105">
        <f t="shared" si="8"/>
        <v>0.64364080472810037</v>
      </c>
      <c r="BG54">
        <v>247</v>
      </c>
      <c r="BH54" s="61">
        <f t="shared" si="78"/>
        <v>2002</v>
      </c>
      <c r="BI54" s="61">
        <f t="shared" si="79"/>
        <v>2302250</v>
      </c>
      <c r="BJ54" s="26">
        <f t="shared" si="80"/>
        <v>-0.64688128425350599</v>
      </c>
      <c r="BK54" s="26">
        <f t="shared" si="81"/>
        <v>1.7184607398393745</v>
      </c>
      <c r="BL54" s="26">
        <f t="shared" si="82"/>
        <v>1.5819306891021079</v>
      </c>
      <c r="BM54" s="26">
        <f t="shared" si="83"/>
        <v>0.64364080472810037</v>
      </c>
      <c r="BN54" s="61">
        <f t="shared" si="84"/>
        <v>247</v>
      </c>
      <c r="BO54" s="26">
        <f t="shared" si="85"/>
        <v>0.20514067570148103</v>
      </c>
      <c r="BR54" s="26">
        <f>covariates!V62</f>
        <v>0.64364080472810037</v>
      </c>
      <c r="BS54" s="26">
        <f>covariates!W62</f>
        <v>-0.38198985928266987</v>
      </c>
      <c r="BT54" s="26">
        <f>covariates!Y62</f>
        <v>1.5819306891021079</v>
      </c>
      <c r="BU54" s="26">
        <f>covariates!U62</f>
        <v>1.7184607398393745</v>
      </c>
      <c r="BV54" s="26">
        <f>covariates!AA62</f>
        <v>1.2612545309578815</v>
      </c>
      <c r="BW54" s="26">
        <f t="shared" si="90"/>
        <v>0.20514067570148103</v>
      </c>
      <c r="BX54" s="26">
        <f t="shared" si="76"/>
        <v>-0.76945436806962253</v>
      </c>
      <c r="BY54" s="26">
        <f t="shared" si="112"/>
        <v>-0.76057812645171086</v>
      </c>
      <c r="BZ54" s="26">
        <f t="shared" si="93"/>
        <v>2002</v>
      </c>
      <c r="CA54" s="26">
        <f t="shared" si="94"/>
        <v>0.9178679607650424</v>
      </c>
      <c r="CB54" s="26">
        <f t="shared" si="70"/>
        <v>1.0291763967701062</v>
      </c>
      <c r="CC54" s="26">
        <f t="shared" si="110"/>
        <v>1766442.1819664354</v>
      </c>
      <c r="CD54" s="26">
        <f t="shared" si="95"/>
        <v>0.757223613328454</v>
      </c>
      <c r="CE54" s="26">
        <f t="shared" si="70"/>
        <v>0.84852485236372266</v>
      </c>
      <c r="CF54" s="26">
        <f t="shared" si="96"/>
        <v>1698733.23822923</v>
      </c>
      <c r="CG54" s="26">
        <f t="shared" si="97"/>
        <v>1.0240062996293011</v>
      </c>
      <c r="CH54" s="26">
        <f t="shared" si="71"/>
        <v>0.99025742203565625</v>
      </c>
      <c r="CI54" s="26">
        <f t="shared" si="98"/>
        <v>2076039.4350067014</v>
      </c>
      <c r="CJ54" s="26">
        <f t="shared" si="99"/>
        <v>0.92064360726407446</v>
      </c>
      <c r="CK54" s="26">
        <f t="shared" si="72"/>
        <v>1.0440503336827174</v>
      </c>
      <c r="CL54" s="26">
        <f t="shared" si="100"/>
        <v>1735929.7519186335</v>
      </c>
      <c r="CM54" s="26">
        <f t="shared" si="101"/>
        <v>0.84165585932684772</v>
      </c>
      <c r="CN54" s="26">
        <f t="shared" si="73"/>
        <v>0.96770348255491745</v>
      </c>
      <c r="CO54" s="26">
        <f t="shared" si="102"/>
        <v>1708497.7497893837</v>
      </c>
      <c r="CP54" s="26">
        <f t="shared" si="67"/>
        <v>0.50341310581644372</v>
      </c>
      <c r="CQ54" s="26">
        <f t="shared" si="103"/>
        <v>1.018719332486659</v>
      </c>
      <c r="CR54" s="26">
        <f t="shared" si="74"/>
        <v>0.9652831144677535</v>
      </c>
      <c r="CS54" s="26">
        <f t="shared" si="104"/>
        <v>2048346.4750071033</v>
      </c>
      <c r="CT54" s="26">
        <f t="shared" si="105"/>
        <v>1721097.9369979426</v>
      </c>
      <c r="CU54" s="26">
        <f t="shared" si="106"/>
        <v>1.1585372020539633</v>
      </c>
      <c r="CV54" s="26">
        <f t="shared" si="75"/>
        <v>1.2514087529871352</v>
      </c>
      <c r="CW54" s="26">
        <f t="shared" si="107"/>
        <v>2202155.7010504482</v>
      </c>
      <c r="CX54" s="26">
        <f t="shared" si="108"/>
        <v>1.2205283118223933</v>
      </c>
      <c r="CY54" s="26">
        <f t="shared" si="113"/>
        <v>1.2870177595762411</v>
      </c>
      <c r="CZ54" s="26">
        <f t="shared" si="68"/>
        <v>2699826.5165277212</v>
      </c>
      <c r="DA54" s="50">
        <v>1973</v>
      </c>
      <c r="DB54" s="50">
        <v>0.97373134290858931</v>
      </c>
      <c r="DC54" s="50">
        <v>0.13962361047656147</v>
      </c>
      <c r="DD54" s="50">
        <v>0.28344405709846493</v>
      </c>
      <c r="DE54" s="26">
        <f t="shared" si="86"/>
        <v>0.2969887280213645</v>
      </c>
      <c r="DN54" s="50">
        <v>20</v>
      </c>
      <c r="DO54" s="50">
        <v>1.2098424047445042</v>
      </c>
      <c r="DP54" s="50">
        <v>-0.21007880979081972</v>
      </c>
      <c r="DQ54" s="50">
        <v>-0.49699166468743394</v>
      </c>
      <c r="DR54" s="26">
        <f t="shared" si="111"/>
        <v>-1.207292250914717</v>
      </c>
      <c r="DZ54" s="50">
        <v>21</v>
      </c>
      <c r="EA54" s="50">
        <v>1.1676516171429161</v>
      </c>
      <c r="EB54" s="50">
        <v>-0.47553504938584912</v>
      </c>
      <c r="EC54" s="50">
        <v>-1.076065997566755</v>
      </c>
      <c r="ED54" s="26">
        <f t="shared" si="109"/>
        <v>-0.43347775206544809</v>
      </c>
      <c r="EJ54" s="50">
        <v>23</v>
      </c>
      <c r="EK54" s="50">
        <v>1.026986225036705</v>
      </c>
      <c r="EL54" s="50">
        <v>8.6368728348445778E-2</v>
      </c>
      <c r="EM54" s="50">
        <v>0.1979928022574495</v>
      </c>
      <c r="EN54" s="26">
        <f t="shared" si="87"/>
        <v>-8.1880187246320874E-2</v>
      </c>
      <c r="EU54" s="50">
        <v>23</v>
      </c>
      <c r="EV54" s="50">
        <v>1.0956932608835839</v>
      </c>
      <c r="EW54" s="50">
        <v>1.7661692501566906E-2</v>
      </c>
      <c r="EX54" s="50">
        <v>4.087473720721109E-2</v>
      </c>
      <c r="EY54" s="26">
        <f t="shared" si="88"/>
        <v>-0.27239269778767172</v>
      </c>
      <c r="FF54" s="50">
        <v>22</v>
      </c>
      <c r="FG54" s="50">
        <v>0.95692879994323199</v>
      </c>
      <c r="FH54" s="50">
        <v>-0.19008754565752761</v>
      </c>
      <c r="FI54" s="50">
        <v>-0.45007145319551473</v>
      </c>
      <c r="FJ54" s="26">
        <f t="shared" si="91"/>
        <v>-6.3735439244203634E-2</v>
      </c>
      <c r="FP54" s="50">
        <v>22</v>
      </c>
      <c r="FQ54" s="50">
        <v>1.082706423631421</v>
      </c>
      <c r="FR54" s="50">
        <v>-0.31586516934571662</v>
      </c>
      <c r="FS54" s="50">
        <v>-0.76442129772033007</v>
      </c>
      <c r="FT54" s="26">
        <f t="shared" si="92"/>
        <v>-0.19144406417434159</v>
      </c>
      <c r="FZ54" s="50">
        <v>23</v>
      </c>
      <c r="GA54" s="50">
        <v>1.0887770488507067</v>
      </c>
      <c r="GB54" s="50">
        <v>2.4577904534444084E-2</v>
      </c>
      <c r="GC54" s="50">
        <v>5.7646889465425552E-2</v>
      </c>
      <c r="GD54" s="26">
        <f t="shared" si="89"/>
        <v>-8.0664956926399557E-3</v>
      </c>
      <c r="GJ54" s="50">
        <v>21</v>
      </c>
      <c r="GK54" s="50">
        <v>1.1044090460058826</v>
      </c>
      <c r="GL54" s="50">
        <v>-0.41229247824881565</v>
      </c>
      <c r="GM54" s="50">
        <v>-1.0071292079988416</v>
      </c>
      <c r="GT54" s="46">
        <v>22</v>
      </c>
      <c r="GU54" s="46">
        <v>0.99384719327320692</v>
      </c>
      <c r="GV54" s="46">
        <v>-0.22700593898750254</v>
      </c>
      <c r="GW54" s="46">
        <v>-0.56040039582396517</v>
      </c>
      <c r="GX54"/>
      <c r="GY54"/>
      <c r="GZ54"/>
      <c r="HA54"/>
      <c r="HB54"/>
      <c r="HD54" s="46">
        <v>22</v>
      </c>
      <c r="HE54" s="46">
        <v>0.44483032027297131</v>
      </c>
      <c r="HF54" s="46">
        <v>-0.27445807637286246</v>
      </c>
      <c r="HG54" s="46">
        <v>-0.82091893239921876</v>
      </c>
      <c r="HH54"/>
      <c r="HI54"/>
      <c r="HJ54"/>
      <c r="HK54"/>
      <c r="HL54"/>
    </row>
    <row r="55" spans="1:220" s="26" customFormat="1" ht="12.75" customHeight="1" x14ac:dyDescent="0.35">
      <c r="A55" s="26" t="s">
        <v>96</v>
      </c>
      <c r="B55" s="26">
        <v>2003</v>
      </c>
      <c r="C55" s="26">
        <f>'Orig data'!G57</f>
        <v>1494491</v>
      </c>
      <c r="D55" s="26">
        <f>'Orig data'!R57</f>
        <v>2006286.4153176486</v>
      </c>
      <c r="E55" s="26">
        <f>'Orig data'!W57</f>
        <v>1321874.9421960777</v>
      </c>
      <c r="F55" s="26">
        <f t="shared" si="25"/>
        <v>1494.491</v>
      </c>
      <c r="G55" s="26">
        <f t="shared" si="26"/>
        <v>1321.8749421960777</v>
      </c>
      <c r="H55" s="26">
        <f t="shared" si="27"/>
        <v>-0.12273454111898989</v>
      </c>
      <c r="I55" s="26">
        <f t="shared" si="28"/>
        <v>511795.41531764856</v>
      </c>
      <c r="J55" s="26">
        <f t="shared" si="29"/>
        <v>0.25509588830895696</v>
      </c>
      <c r="K55" s="26">
        <f t="shared" si="30"/>
        <v>2003</v>
      </c>
      <c r="L55" s="26">
        <f>covariates!R63</f>
        <v>1494491</v>
      </c>
      <c r="M55" s="26">
        <f t="shared" si="31"/>
        <v>0.61044746962364571</v>
      </c>
      <c r="N55" s="26">
        <f t="shared" si="32"/>
        <v>-9.7199897240465086E-2</v>
      </c>
      <c r="O55" s="26">
        <f t="shared" si="33"/>
        <v>0.35941662532588237</v>
      </c>
      <c r="P55" s="26">
        <f t="shared" si="34"/>
        <v>1494491</v>
      </c>
      <c r="Q55" s="26">
        <f t="shared" si="35"/>
        <v>0.95940006949648338</v>
      </c>
      <c r="R55" s="26">
        <f t="shared" si="36"/>
        <v>-9.7199897240465086E-2</v>
      </c>
      <c r="S55" s="26">
        <f t="shared" si="37"/>
        <v>0.35941662532588237</v>
      </c>
      <c r="T55" s="26">
        <f t="shared" si="38"/>
        <v>1494491</v>
      </c>
      <c r="U55" s="26">
        <f t="shared" si="39"/>
        <v>-0.90101697933423375</v>
      </c>
      <c r="V55" s="26">
        <f t="shared" si="40"/>
        <v>0.35941662532588237</v>
      </c>
      <c r="W55" s="26">
        <f t="shared" si="41"/>
        <v>0.61044746962364571</v>
      </c>
      <c r="X55" s="26">
        <f t="shared" si="42"/>
        <v>1494491</v>
      </c>
      <c r="Y55" s="26">
        <f t="shared" si="43"/>
        <v>0.59346038490609498</v>
      </c>
      <c r="Z55" s="105">
        <f t="shared" si="44"/>
        <v>0.35941662532588237</v>
      </c>
      <c r="AA55" s="105">
        <f t="shared" si="45"/>
        <v>0.61044746962364571</v>
      </c>
      <c r="AB55" s="105">
        <f t="shared" si="46"/>
        <v>1494491</v>
      </c>
      <c r="AC55" s="159">
        <f t="shared" si="47"/>
        <v>-1.2814503982605907</v>
      </c>
      <c r="AD55" s="105">
        <f t="shared" si="48"/>
        <v>0.35941662532588237</v>
      </c>
      <c r="AE55" s="105">
        <f t="shared" si="49"/>
        <v>0.61044746962364571</v>
      </c>
      <c r="AF55" s="105">
        <f t="shared" si="50"/>
        <v>1494491</v>
      </c>
      <c r="AG55" s="105">
        <f>covariates!X63</f>
        <v>-1.2814503982605907</v>
      </c>
      <c r="AH55" s="105">
        <f t="shared" si="51"/>
        <v>0.35941662532588237</v>
      </c>
      <c r="AI55" s="159">
        <f t="shared" si="52"/>
        <v>-9.7199897240465086E-2</v>
      </c>
      <c r="AJ55" s="105">
        <f t="shared" si="53"/>
        <v>0.61044746962364571</v>
      </c>
      <c r="AK55" s="105"/>
      <c r="AL55" s="105"/>
      <c r="AM55" s="105"/>
      <c r="AN55" s="105"/>
      <c r="AO55" s="105"/>
      <c r="AP55" s="105">
        <f t="shared" si="54"/>
        <v>1494491</v>
      </c>
      <c r="AQ55" s="105">
        <f>covariates!T63</f>
        <v>0.59346038490609498</v>
      </c>
      <c r="AR55" s="105">
        <f t="shared" si="55"/>
        <v>0.35941662532588237</v>
      </c>
      <c r="AS55" s="105">
        <f t="shared" si="56"/>
        <v>-9.7199897240465086E-2</v>
      </c>
      <c r="AT55" s="26">
        <f t="shared" si="57"/>
        <v>0.61044746962364571</v>
      </c>
      <c r="AU55" s="26">
        <f t="shared" si="58"/>
        <v>1494491</v>
      </c>
      <c r="AV55" s="26">
        <f t="shared" si="59"/>
        <v>-1.2814503982605907</v>
      </c>
      <c r="AW55" s="26">
        <f t="shared" si="60"/>
        <v>0.35941662532588237</v>
      </c>
      <c r="AX55" s="26">
        <f t="shared" si="61"/>
        <v>-9.7199897240465086E-2</v>
      </c>
      <c r="AY55" s="26">
        <f t="shared" si="62"/>
        <v>0.61044746962364571</v>
      </c>
      <c r="AZ55" s="26">
        <f t="shared" si="63"/>
        <v>0.95940006949648338</v>
      </c>
      <c r="BA55" s="61">
        <v>2003</v>
      </c>
      <c r="BB55" s="164">
        <f t="shared" si="4"/>
        <v>1494491</v>
      </c>
      <c r="BC55" s="105">
        <f t="shared" si="5"/>
        <v>-1.2814503982605907</v>
      </c>
      <c r="BD55" s="105">
        <f t="shared" si="6"/>
        <v>0.35941662532588237</v>
      </c>
      <c r="BE55" s="105">
        <f t="shared" si="7"/>
        <v>-9.7199897240465086E-2</v>
      </c>
      <c r="BF55" s="105">
        <f t="shared" si="8"/>
        <v>0.61044746962364571</v>
      </c>
      <c r="BG55">
        <v>251</v>
      </c>
      <c r="BH55" s="61">
        <f t="shared" si="78"/>
        <v>2003</v>
      </c>
      <c r="BI55" s="61">
        <f t="shared" si="79"/>
        <v>1494491</v>
      </c>
      <c r="BJ55" s="26">
        <f t="shared" si="80"/>
        <v>-1.2814503982605907</v>
      </c>
      <c r="BK55" s="26">
        <f t="shared" si="81"/>
        <v>0.35941662532588237</v>
      </c>
      <c r="BL55" s="26">
        <f t="shared" si="82"/>
        <v>-9.7199897240465086E-2</v>
      </c>
      <c r="BM55" s="26">
        <f t="shared" si="83"/>
        <v>0.61044746962364571</v>
      </c>
      <c r="BN55" s="61">
        <f t="shared" si="84"/>
        <v>251</v>
      </c>
      <c r="BO55" s="26">
        <f t="shared" si="85"/>
        <v>-0.12273454111898989</v>
      </c>
      <c r="BR55" s="26">
        <f>covariates!V63</f>
        <v>0.61044746962364571</v>
      </c>
      <c r="BS55" s="26">
        <f>covariates!W63</f>
        <v>-0.90101697933423375</v>
      </c>
      <c r="BT55" s="26">
        <f>covariates!Y63</f>
        <v>-9.7199897240465086E-2</v>
      </c>
      <c r="BU55" s="26">
        <f>covariates!U63</f>
        <v>0.35941662532588237</v>
      </c>
      <c r="BV55" s="26">
        <f>covariates!AA63</f>
        <v>0.95940006949648338</v>
      </c>
      <c r="BW55" s="26">
        <f t="shared" si="90"/>
        <v>-0.12273454111898989</v>
      </c>
      <c r="BX55" s="26">
        <f t="shared" si="76"/>
        <v>-0.76945436806962253</v>
      </c>
      <c r="BY55" s="26">
        <f t="shared" si="112"/>
        <v>-0.76057812645171086</v>
      </c>
      <c r="BZ55" s="26">
        <f t="shared" si="93"/>
        <v>2003</v>
      </c>
      <c r="CA55" s="26">
        <f t="shared" si="94"/>
        <v>0.9580709193274487</v>
      </c>
      <c r="CB55" s="26">
        <f t="shared" si="70"/>
        <v>1.031565473964736</v>
      </c>
      <c r="CC55" s="26">
        <f t="shared" si="110"/>
        <v>1807704.2093101675</v>
      </c>
      <c r="CD55" s="26">
        <f t="shared" si="95"/>
        <v>0.84517484334199244</v>
      </c>
      <c r="CE55" s="26">
        <f t="shared" si="70"/>
        <v>0.85659463647826117</v>
      </c>
      <c r="CF55" s="26">
        <f t="shared" si="96"/>
        <v>1747299.2094309372</v>
      </c>
      <c r="CG55" s="26">
        <f t="shared" si="97"/>
        <v>0.89804783243564246</v>
      </c>
      <c r="CH55" s="26">
        <f t="shared" si="71"/>
        <v>0.98669883336883257</v>
      </c>
      <c r="CI55" s="26">
        <f t="shared" si="98"/>
        <v>1764678.7533050729</v>
      </c>
      <c r="CJ55" s="26">
        <f t="shared" si="99"/>
        <v>0.97965547789958574</v>
      </c>
      <c r="CK55" s="26">
        <f t="shared" si="72"/>
        <v>1.0424070955109328</v>
      </c>
      <c r="CL55" s="26">
        <f t="shared" si="100"/>
        <v>1823083.9302043226</v>
      </c>
      <c r="CM55" s="26">
        <f t="shared" si="101"/>
        <v>0.82856068084887169</v>
      </c>
      <c r="CN55" s="26">
        <f t="shared" si="73"/>
        <v>0.95690855040427181</v>
      </c>
      <c r="CO55" s="26">
        <f t="shared" si="102"/>
        <v>1632918.8765634715</v>
      </c>
      <c r="CP55" s="26">
        <f t="shared" si="67"/>
        <v>-0.21131799568219378</v>
      </c>
      <c r="CQ55" s="26">
        <f t="shared" si="103"/>
        <v>0.81642407716994647</v>
      </c>
      <c r="CR55" s="26">
        <f t="shared" si="74"/>
        <v>0.92646534443699635</v>
      </c>
      <c r="CS55" s="26">
        <f t="shared" si="104"/>
        <v>1617787.5423301994</v>
      </c>
      <c r="CT55" s="26">
        <f t="shared" si="105"/>
        <v>1845597.5709311464</v>
      </c>
      <c r="CU55" s="26">
        <f t="shared" si="106"/>
        <v>1.1379985414949709</v>
      </c>
      <c r="CV55" s="26">
        <f t="shared" si="75"/>
        <v>1.2671073216284632</v>
      </c>
      <c r="CW55" s="26">
        <f t="shared" si="107"/>
        <v>2135866.881668264</v>
      </c>
      <c r="CX55" s="26">
        <f t="shared" si="108"/>
        <v>1.2393093314607555</v>
      </c>
      <c r="CY55" s="26">
        <f t="shared" si="113"/>
        <v>1.3177604727547949</v>
      </c>
      <c r="CZ55" s="26">
        <f t="shared" si="68"/>
        <v>2591419.4480560725</v>
      </c>
      <c r="DA55" s="50">
        <v>1974</v>
      </c>
      <c r="DB55" s="50">
        <v>0.9220090653259827</v>
      </c>
      <c r="DC55" s="50">
        <v>0.14629567083419026</v>
      </c>
      <c r="DD55" s="50">
        <v>0.2969887280213645</v>
      </c>
      <c r="DE55" s="26">
        <f t="shared" si="86"/>
        <v>-0.19603297613117862</v>
      </c>
      <c r="DN55" s="50">
        <v>21</v>
      </c>
      <c r="DO55" s="50">
        <v>1.2024400543719849</v>
      </c>
      <c r="DP55" s="50">
        <v>-0.51032348661491789</v>
      </c>
      <c r="DQ55" s="50">
        <v>-1.207292250914717</v>
      </c>
      <c r="DR55" s="26">
        <f t="shared" si="111"/>
        <v>-0.49835531669835087</v>
      </c>
      <c r="DZ55" s="50">
        <v>22</v>
      </c>
      <c r="EA55" s="50">
        <v>0.95840372787210903</v>
      </c>
      <c r="EB55" s="50">
        <v>-0.19156247358640466</v>
      </c>
      <c r="EC55" s="50">
        <v>-0.43347775206544809</v>
      </c>
      <c r="ED55" s="26">
        <f t="shared" si="109"/>
        <v>-3.0097668554963996E-2</v>
      </c>
      <c r="EJ55" s="50">
        <v>24</v>
      </c>
      <c r="EK55" s="50">
        <v>1.1040226388756555</v>
      </c>
      <c r="EL55" s="50">
        <v>-3.5717902715482586E-2</v>
      </c>
      <c r="EM55" s="50">
        <v>-8.1880187246320874E-2</v>
      </c>
      <c r="EN55" s="26">
        <f t="shared" si="87"/>
        <v>-0.80323448536743391</v>
      </c>
      <c r="EU55" s="50">
        <v>24</v>
      </c>
      <c r="EV55" s="50">
        <v>1.1860037452965391</v>
      </c>
      <c r="EW55" s="50">
        <v>-0.11769900913636611</v>
      </c>
      <c r="EX55" s="50">
        <v>-0.27239269778767172</v>
      </c>
      <c r="EY55" s="26">
        <f t="shared" si="88"/>
        <v>-0.88986205052688228</v>
      </c>
      <c r="FF55" s="50">
        <v>23</v>
      </c>
      <c r="FG55" s="50">
        <v>1.1402735973722693</v>
      </c>
      <c r="FH55" s="50">
        <v>-2.6918643987118518E-2</v>
      </c>
      <c r="FI55" s="50">
        <v>-6.3735439244203634E-2</v>
      </c>
      <c r="FJ55" s="26">
        <f t="shared" si="91"/>
        <v>-7.6601714811632013E-2</v>
      </c>
      <c r="FP55" s="50">
        <v>23</v>
      </c>
      <c r="FQ55" s="50">
        <v>1.1924612157708232</v>
      </c>
      <c r="FR55" s="50">
        <v>-7.9106262385672421E-2</v>
      </c>
      <c r="FS55" s="50">
        <v>-0.19144406417434159</v>
      </c>
      <c r="FT55" s="26">
        <f t="shared" si="92"/>
        <v>-4.8039014254401317E-2</v>
      </c>
      <c r="FZ55" s="50">
        <v>24</v>
      </c>
      <c r="GA55" s="50">
        <v>1.0717439080374365</v>
      </c>
      <c r="GB55" s="50">
        <v>-3.4391718772635027E-3</v>
      </c>
      <c r="GC55" s="50">
        <v>-8.0664956926399557E-3</v>
      </c>
      <c r="GD55" s="26">
        <f t="shared" si="89"/>
        <v>-0.86187000598387831</v>
      </c>
      <c r="GJ55" s="50">
        <v>22</v>
      </c>
      <c r="GK55" s="50">
        <v>1.0728673502315678</v>
      </c>
      <c r="GL55" s="50">
        <v>-0.30602609594586339</v>
      </c>
      <c r="GM55" s="50">
        <v>-0.74754654983284374</v>
      </c>
      <c r="GT55" s="46">
        <v>23</v>
      </c>
      <c r="GU55" s="46">
        <v>1.1370390798100711</v>
      </c>
      <c r="GV55" s="46">
        <v>-2.3684126424920349E-2</v>
      </c>
      <c r="GW55" s="46">
        <v>-5.8468046617938481E-2</v>
      </c>
      <c r="GX55"/>
      <c r="GY55"/>
      <c r="GZ55"/>
      <c r="HA55"/>
      <c r="HB55"/>
      <c r="HD55" s="46">
        <v>23</v>
      </c>
      <c r="HE55" s="46">
        <v>0.91466176142674538</v>
      </c>
      <c r="HF55" s="46">
        <v>0.14779809513927678</v>
      </c>
      <c r="HG55" s="46">
        <v>0.44207208647611879</v>
      </c>
      <c r="HH55"/>
      <c r="HI55"/>
      <c r="HJ55"/>
      <c r="HK55"/>
      <c r="HL55"/>
    </row>
    <row r="56" spans="1:220" s="26" customFormat="1" ht="12.75" customHeight="1" x14ac:dyDescent="0.35">
      <c r="A56" s="26" t="s">
        <v>96</v>
      </c>
      <c r="B56" s="26">
        <v>2004</v>
      </c>
      <c r="C56" s="26">
        <f>'Orig data'!G58</f>
        <v>2716634</v>
      </c>
      <c r="D56" s="26">
        <f>'Orig data'!R58</f>
        <v>3352861.1030926574</v>
      </c>
      <c r="E56" s="26">
        <f>'Orig data'!W58</f>
        <v>1274857.4320357505</v>
      </c>
      <c r="F56" s="26">
        <f t="shared" si="25"/>
        <v>2716.634</v>
      </c>
      <c r="G56" s="26">
        <f t="shared" si="26"/>
        <v>1274.8574320357504</v>
      </c>
      <c r="H56" s="26">
        <f t="shared" si="27"/>
        <v>-0.75655925962537551</v>
      </c>
      <c r="I56" s="26">
        <f t="shared" si="28"/>
        <v>636227.1030926574</v>
      </c>
      <c r="J56" s="26">
        <f t="shared" si="29"/>
        <v>0.18975647470329315</v>
      </c>
      <c r="K56" s="26">
        <f t="shared" si="30"/>
        <v>2004</v>
      </c>
      <c r="L56" s="26">
        <f>covariates!R64</f>
        <v>2716634</v>
      </c>
      <c r="M56" s="26">
        <f t="shared" si="31"/>
        <v>0.59745259138363493</v>
      </c>
      <c r="N56" s="26">
        <f t="shared" si="32"/>
        <v>-9.9183568612719823E-3</v>
      </c>
      <c r="O56" s="26">
        <f t="shared" si="33"/>
        <v>-1.4938253490106983</v>
      </c>
      <c r="P56" s="26">
        <f t="shared" si="34"/>
        <v>2716634</v>
      </c>
      <c r="Q56" s="26">
        <f t="shared" si="35"/>
        <v>1.1993783762785881</v>
      </c>
      <c r="R56" s="26">
        <f t="shared" si="36"/>
        <v>-9.9183568612719823E-3</v>
      </c>
      <c r="S56" s="26">
        <f t="shared" si="37"/>
        <v>-1.4938253490106983</v>
      </c>
      <c r="T56" s="26">
        <f t="shared" si="38"/>
        <v>2716634</v>
      </c>
      <c r="U56" s="26">
        <f t="shared" si="39"/>
        <v>-1.3121504365216285</v>
      </c>
      <c r="V56" s="26">
        <f t="shared" si="40"/>
        <v>-1.4938253490106983</v>
      </c>
      <c r="W56" s="26">
        <f t="shared" si="41"/>
        <v>0.59745259138363493</v>
      </c>
      <c r="X56" s="26">
        <f t="shared" si="42"/>
        <v>2716634</v>
      </c>
      <c r="Y56" s="26">
        <f t="shared" si="43"/>
        <v>1.1022897713786219</v>
      </c>
      <c r="Z56" s="105">
        <f t="shared" si="44"/>
        <v>-1.4938253490106983</v>
      </c>
      <c r="AA56" s="105">
        <f t="shared" si="45"/>
        <v>0.59745259138363493</v>
      </c>
      <c r="AB56" s="105">
        <f t="shared" si="46"/>
        <v>2716634</v>
      </c>
      <c r="AC56" s="159">
        <f t="shared" si="47"/>
        <v>-1.4954199035695033</v>
      </c>
      <c r="AD56" s="105">
        <f t="shared" si="48"/>
        <v>-1.4938253490106983</v>
      </c>
      <c r="AE56" s="105">
        <f t="shared" si="49"/>
        <v>0.59745259138363493</v>
      </c>
      <c r="AF56" s="105">
        <f t="shared" si="50"/>
        <v>2716634</v>
      </c>
      <c r="AG56" s="105">
        <f>covariates!X64</f>
        <v>-1.4954199035695033</v>
      </c>
      <c r="AH56" s="105">
        <f t="shared" si="51"/>
        <v>-1.4938253490106983</v>
      </c>
      <c r="AI56" s="159">
        <f t="shared" si="52"/>
        <v>-9.9183568612719823E-3</v>
      </c>
      <c r="AJ56" s="105">
        <f t="shared" si="53"/>
        <v>0.59745259138363493</v>
      </c>
      <c r="AK56" s="105"/>
      <c r="AL56" s="105"/>
      <c r="AM56" s="105"/>
      <c r="AN56" s="105"/>
      <c r="AO56" s="105"/>
      <c r="AP56" s="105">
        <f t="shared" si="54"/>
        <v>2716634</v>
      </c>
      <c r="AQ56" s="105">
        <f>covariates!T64</f>
        <v>1.1022897713786219</v>
      </c>
      <c r="AR56" s="105">
        <f t="shared" si="55"/>
        <v>-1.4938253490106983</v>
      </c>
      <c r="AS56" s="105">
        <f t="shared" si="56"/>
        <v>-9.9183568612719823E-3</v>
      </c>
      <c r="AT56" s="26">
        <f t="shared" si="57"/>
        <v>0.59745259138363493</v>
      </c>
      <c r="AU56" s="26">
        <f t="shared" si="58"/>
        <v>2716634</v>
      </c>
      <c r="AV56" s="26">
        <f t="shared" si="59"/>
        <v>-1.4954199035695033</v>
      </c>
      <c r="AW56" s="26">
        <f t="shared" si="60"/>
        <v>-1.4938253490106983</v>
      </c>
      <c r="AX56" s="26">
        <f t="shared" si="61"/>
        <v>-9.9183568612719823E-3</v>
      </c>
      <c r="AY56" s="26">
        <f t="shared" si="62"/>
        <v>0.59745259138363493</v>
      </c>
      <c r="AZ56" s="26">
        <f t="shared" si="63"/>
        <v>1.1993783762785881</v>
      </c>
      <c r="BA56" s="61">
        <v>2004</v>
      </c>
      <c r="BB56" s="164">
        <f t="shared" si="4"/>
        <v>2716634</v>
      </c>
      <c r="BC56" s="105">
        <f t="shared" si="5"/>
        <v>-1.4954199035695033</v>
      </c>
      <c r="BD56" s="105">
        <f t="shared" si="6"/>
        <v>-1.4938253490106983</v>
      </c>
      <c r="BE56" s="105">
        <f t="shared" si="7"/>
        <v>-9.9183568612719823E-3</v>
      </c>
      <c r="BF56" s="105">
        <f t="shared" si="8"/>
        <v>0.59745259138363493</v>
      </c>
      <c r="BG56">
        <v>270</v>
      </c>
      <c r="BH56" s="61">
        <f t="shared" si="78"/>
        <v>2004</v>
      </c>
      <c r="BI56" s="61">
        <f t="shared" si="79"/>
        <v>2716634</v>
      </c>
      <c r="BJ56" s="26">
        <f t="shared" si="80"/>
        <v>-1.4954199035695033</v>
      </c>
      <c r="BK56" s="26">
        <f t="shared" si="81"/>
        <v>-1.4938253490106983</v>
      </c>
      <c r="BL56" s="26">
        <f t="shared" si="82"/>
        <v>-9.9183568612719823E-3</v>
      </c>
      <c r="BM56" s="26">
        <f t="shared" si="83"/>
        <v>0.59745259138363493</v>
      </c>
      <c r="BN56" s="61">
        <f t="shared" si="84"/>
        <v>270</v>
      </c>
      <c r="BO56" s="26">
        <f t="shared" si="85"/>
        <v>-0.75655925962537551</v>
      </c>
      <c r="BR56" s="26">
        <f>covariates!V64</f>
        <v>0.59745259138363493</v>
      </c>
      <c r="BS56" s="26">
        <f>covariates!W64</f>
        <v>-1.3121504365216285</v>
      </c>
      <c r="BT56" s="26">
        <f>covariates!Y64</f>
        <v>-9.9183568612719823E-3</v>
      </c>
      <c r="BU56" s="26">
        <f>covariates!U64</f>
        <v>-1.4938253490106983</v>
      </c>
      <c r="BV56" s="26">
        <f>covariates!AA64</f>
        <v>1.1993783762785881</v>
      </c>
      <c r="BW56" s="26">
        <f t="shared" si="90"/>
        <v>-0.75655925962537551</v>
      </c>
      <c r="BX56" s="26">
        <f t="shared" si="76"/>
        <v>-0.76945436806962253</v>
      </c>
      <c r="BY56" s="26">
        <f t="shared" si="112"/>
        <v>-0.76057812645171086</v>
      </c>
      <c r="BZ56" s="26">
        <f t="shared" si="93"/>
        <v>2004</v>
      </c>
      <c r="CA56" s="26">
        <f t="shared" si="94"/>
        <v>0.74016447768595894</v>
      </c>
      <c r="CB56" s="26">
        <f t="shared" si="70"/>
        <v>0.99793367995051008</v>
      </c>
      <c r="CC56" s="26">
        <f t="shared" si="110"/>
        <v>1410409.0058531961</v>
      </c>
      <c r="CD56" s="26">
        <f t="shared" si="95"/>
        <v>0.55093430644124963</v>
      </c>
      <c r="CE56" s="26">
        <f t="shared" si="70"/>
        <v>0.83748145339678981</v>
      </c>
      <c r="CF56" s="26">
        <f t="shared" si="96"/>
        <v>1347281.5758888784</v>
      </c>
      <c r="CG56" s="26">
        <f t="shared" si="97"/>
        <v>0.68004969288033501</v>
      </c>
      <c r="CH56" s="26">
        <f t="shared" si="71"/>
        <v>0.94746462127282827</v>
      </c>
      <c r="CI56" s="26">
        <f t="shared" si="98"/>
        <v>1417769.3018876901</v>
      </c>
      <c r="CJ56" s="26">
        <f t="shared" si="99"/>
        <v>0.76143332546825737</v>
      </c>
      <c r="CK56" s="26">
        <f t="shared" si="72"/>
        <v>1.0092367222879925</v>
      </c>
      <c r="CL56" s="26">
        <f t="shared" si="100"/>
        <v>1406793.2510434017</v>
      </c>
      <c r="CM56" s="26">
        <f t="shared" si="101"/>
        <v>0.61216385913785776</v>
      </c>
      <c r="CN56" s="26">
        <f t="shared" si="73"/>
        <v>0.90333859386053172</v>
      </c>
      <c r="CO56" s="26">
        <f t="shared" si="102"/>
        <v>1305325.5711107282</v>
      </c>
      <c r="CP56" s="26">
        <f t="shared" si="67"/>
        <v>-2.361813509097388E-2</v>
      </c>
      <c r="CQ56" s="26">
        <f t="shared" si="103"/>
        <v>0.59861877121921125</v>
      </c>
      <c r="CR56" s="26">
        <f t="shared" si="74"/>
        <v>0.86444827583151973</v>
      </c>
      <c r="CS56" s="26">
        <f t="shared" si="104"/>
        <v>1294398.5784769037</v>
      </c>
      <c r="CT56" s="26">
        <f t="shared" si="105"/>
        <v>1569835.2405449802</v>
      </c>
      <c r="CU56" s="26">
        <f t="shared" si="106"/>
        <v>0.91868766661574941</v>
      </c>
      <c r="CV56" s="26">
        <f t="shared" si="75"/>
        <v>1.2414750506255348</v>
      </c>
      <c r="CW56" s="26">
        <f t="shared" si="107"/>
        <v>1646360.6173882575</v>
      </c>
      <c r="CX56" s="26">
        <f t="shared" si="108"/>
        <v>1.0000600306849741</v>
      </c>
      <c r="CY56" s="26">
        <f t="shared" si="113"/>
        <v>1.3129421837529023</v>
      </c>
      <c r="CZ56" s="26">
        <f t="shared" si="68"/>
        <v>2111111.6119939592</v>
      </c>
      <c r="DA56" s="50">
        <v>1975</v>
      </c>
      <c r="DB56" s="50">
        <v>1.0207465110698197</v>
      </c>
      <c r="DC56" s="50">
        <v>-9.6565199426257409E-2</v>
      </c>
      <c r="DD56" s="50">
        <v>-0.19603297613117862</v>
      </c>
      <c r="DE56" s="26">
        <f t="shared" si="86"/>
        <v>-0.17402308629072402</v>
      </c>
      <c r="DN56" s="50">
        <v>22</v>
      </c>
      <c r="DO56" s="50">
        <v>0.97749648096995922</v>
      </c>
      <c r="DP56" s="50">
        <v>-0.21065522668425485</v>
      </c>
      <c r="DQ56" s="50">
        <v>-0.49835531669835087</v>
      </c>
      <c r="DR56" s="26">
        <f t="shared" si="111"/>
        <v>-7.7764087596381426E-2</v>
      </c>
      <c r="DZ56" s="50">
        <v>23</v>
      </c>
      <c r="EA56" s="50">
        <v>1.1266557140587969</v>
      </c>
      <c r="EB56" s="50">
        <v>-1.3300760673646161E-2</v>
      </c>
      <c r="EC56" s="50">
        <v>-3.0097668554963996E-2</v>
      </c>
      <c r="ED56" s="26">
        <f t="shared" si="109"/>
        <v>-0.12007871219134718</v>
      </c>
      <c r="EJ56" s="50">
        <v>25</v>
      </c>
      <c r="EK56" s="50">
        <v>1.2745695089710403</v>
      </c>
      <c r="EL56" s="50">
        <v>-0.35038819732747795</v>
      </c>
      <c r="EM56" s="50">
        <v>-0.80323448536743391</v>
      </c>
      <c r="EN56" s="26">
        <f t="shared" si="87"/>
        <v>-0.85599708434842314</v>
      </c>
      <c r="EU56" s="50">
        <v>25</v>
      </c>
      <c r="EV56" s="50">
        <v>1.3086845764730399</v>
      </c>
      <c r="EW56" s="50">
        <v>-0.38450326482947761</v>
      </c>
      <c r="EX56" s="50">
        <v>-0.88986205052688228</v>
      </c>
      <c r="EY56" s="26">
        <f t="shared" si="88"/>
        <v>-0.86804525159067447</v>
      </c>
      <c r="FF56" s="50">
        <v>24</v>
      </c>
      <c r="FG56" s="50">
        <v>1.1006574478425457</v>
      </c>
      <c r="FH56" s="50">
        <v>-3.2352711682372748E-2</v>
      </c>
      <c r="FI56" s="50">
        <v>-7.6601714811632013E-2</v>
      </c>
      <c r="FJ56" s="26">
        <f t="shared" si="91"/>
        <v>-1.0809903365489639</v>
      </c>
      <c r="FP56" s="50">
        <v>24</v>
      </c>
      <c r="FQ56" s="50">
        <v>1.0881548520817459</v>
      </c>
      <c r="FR56" s="50">
        <v>-1.9850115921572931E-2</v>
      </c>
      <c r="FS56" s="50">
        <v>-4.8039014254401317E-2</v>
      </c>
      <c r="FT56" s="26">
        <f t="shared" si="92"/>
        <v>-1.1684292446742879</v>
      </c>
      <c r="FZ56" s="50">
        <v>25</v>
      </c>
      <c r="GA56" s="50">
        <v>1.2916418793273965</v>
      </c>
      <c r="GB56" s="50">
        <v>-0.36746056768383417</v>
      </c>
      <c r="GC56" s="50">
        <v>-0.86187000598387831</v>
      </c>
      <c r="GD56" s="26">
        <f t="shared" si="89"/>
        <v>-1.0722535464118803</v>
      </c>
      <c r="GJ56" s="50">
        <v>23</v>
      </c>
      <c r="GK56" s="50">
        <v>1.1855652996305137</v>
      </c>
      <c r="GL56" s="50">
        <v>-7.2210346245362933E-2</v>
      </c>
      <c r="GM56" s="50">
        <v>-0.17639213097534459</v>
      </c>
      <c r="GT56" s="46">
        <v>24</v>
      </c>
      <c r="GU56" s="46">
        <v>1.051931062885386</v>
      </c>
      <c r="GV56" s="46">
        <v>1.6373673274787004E-2</v>
      </c>
      <c r="GW56" s="46">
        <v>4.0421026098299909E-2</v>
      </c>
      <c r="GX56"/>
      <c r="GY56"/>
      <c r="GZ56"/>
      <c r="HA56"/>
      <c r="HB56"/>
      <c r="HD56" s="46">
        <v>24</v>
      </c>
      <c r="HE56" s="46">
        <v>-0.1305624339844087</v>
      </c>
      <c r="HF56" s="46">
        <v>-0.20602072459832876</v>
      </c>
      <c r="HG56" s="46">
        <v>-0.61621911632000415</v>
      </c>
      <c r="HH56"/>
      <c r="HI56"/>
      <c r="HJ56"/>
      <c r="HK56"/>
      <c r="HL56"/>
    </row>
    <row r="57" spans="1:220" s="26" customFormat="1" ht="12.75" customHeight="1" x14ac:dyDescent="0.35">
      <c r="A57" s="26" t="s">
        <v>96</v>
      </c>
      <c r="B57" s="26">
        <v>2005</v>
      </c>
      <c r="C57" s="26">
        <f>'Orig data'!G59</f>
        <v>1331383</v>
      </c>
      <c r="D57" s="26">
        <f>'Orig data'!R59</f>
        <v>1804337.1315494739</v>
      </c>
      <c r="E57" s="26">
        <f>'Orig data'!W59</f>
        <v>826792.95575855998</v>
      </c>
      <c r="F57" s="26">
        <f t="shared" si="25"/>
        <v>1331.383</v>
      </c>
      <c r="G57" s="26">
        <f t="shared" si="26"/>
        <v>826.79295575855997</v>
      </c>
      <c r="H57" s="26">
        <f t="shared" si="27"/>
        <v>-0.47641922268505188</v>
      </c>
      <c r="I57" s="26">
        <f t="shared" si="28"/>
        <v>472954.13154947385</v>
      </c>
      <c r="J57" s="26">
        <f t="shared" si="29"/>
        <v>0.2621207108581336</v>
      </c>
      <c r="K57" s="26">
        <f t="shared" si="30"/>
        <v>2005</v>
      </c>
      <c r="L57" s="26">
        <f>covariates!R65</f>
        <v>1331383</v>
      </c>
      <c r="M57" s="26">
        <f t="shared" si="31"/>
        <v>0.79345873404265144</v>
      </c>
      <c r="N57" s="26">
        <f t="shared" si="32"/>
        <v>-0.11174682063699728</v>
      </c>
      <c r="O57" s="26">
        <f t="shared" si="33"/>
        <v>-0.99962748918761002</v>
      </c>
      <c r="P57" s="26">
        <f t="shared" si="34"/>
        <v>1331383</v>
      </c>
      <c r="Q57" s="26">
        <f t="shared" si="35"/>
        <v>1.4126444447993431</v>
      </c>
      <c r="R57" s="26">
        <f t="shared" si="36"/>
        <v>-0.11174682063699728</v>
      </c>
      <c r="S57" s="26">
        <f t="shared" si="37"/>
        <v>-0.99962748918761002</v>
      </c>
      <c r="T57" s="26">
        <f t="shared" si="38"/>
        <v>1331383</v>
      </c>
      <c r="U57" s="26">
        <f t="shared" si="39"/>
        <v>-0.3000215995717041</v>
      </c>
      <c r="V57" s="26">
        <f t="shared" si="40"/>
        <v>-0.99962748918761002</v>
      </c>
      <c r="W57" s="26">
        <f t="shared" si="41"/>
        <v>0.79345873404265144</v>
      </c>
      <c r="X57" s="26">
        <f t="shared" si="42"/>
        <v>1331383</v>
      </c>
      <c r="Y57" s="26">
        <f t="shared" si="43"/>
        <v>0.38304221756783002</v>
      </c>
      <c r="Z57" s="105">
        <f t="shared" si="44"/>
        <v>-0.99962748918761002</v>
      </c>
      <c r="AA57" s="105">
        <f t="shared" si="45"/>
        <v>0.79345873404265144</v>
      </c>
      <c r="AB57" s="105">
        <f t="shared" si="46"/>
        <v>1331383</v>
      </c>
      <c r="AC57" s="159">
        <f t="shared" si="47"/>
        <v>-0.42723179176768761</v>
      </c>
      <c r="AD57" s="105">
        <f t="shared" si="48"/>
        <v>-0.99962748918761002</v>
      </c>
      <c r="AE57" s="105">
        <f t="shared" si="49"/>
        <v>0.79345873404265144</v>
      </c>
      <c r="AF57" s="105">
        <f t="shared" si="50"/>
        <v>1331383</v>
      </c>
      <c r="AG57" s="105">
        <f>covariates!X65</f>
        <v>-0.42723179176768761</v>
      </c>
      <c r="AH57" s="105">
        <f t="shared" si="51"/>
        <v>-0.99962748918761002</v>
      </c>
      <c r="AI57" s="159">
        <f t="shared" si="52"/>
        <v>-0.11174682063699728</v>
      </c>
      <c r="AJ57" s="105">
        <f t="shared" si="53"/>
        <v>0.79345873404265144</v>
      </c>
      <c r="AK57" s="105"/>
      <c r="AL57" s="105"/>
      <c r="AM57" s="105"/>
      <c r="AN57" s="105"/>
      <c r="AO57" s="105"/>
      <c r="AP57" s="105">
        <f t="shared" si="54"/>
        <v>1331383</v>
      </c>
      <c r="AQ57" s="105">
        <f>covariates!T65</f>
        <v>0.38304221756783002</v>
      </c>
      <c r="AR57" s="105">
        <f t="shared" si="55"/>
        <v>-0.99962748918761002</v>
      </c>
      <c r="AS57" s="105">
        <f t="shared" si="56"/>
        <v>-0.11174682063699728</v>
      </c>
      <c r="AT57" s="26">
        <f t="shared" si="57"/>
        <v>0.79345873404265144</v>
      </c>
      <c r="AU57" s="26">
        <f t="shared" si="58"/>
        <v>1331383</v>
      </c>
      <c r="AV57" s="26">
        <f t="shared" si="59"/>
        <v>-0.42723179176768761</v>
      </c>
      <c r="AW57" s="26">
        <f t="shared" si="60"/>
        <v>-0.99962748918761002</v>
      </c>
      <c r="AX57" s="26">
        <f t="shared" si="61"/>
        <v>-0.11174682063699728</v>
      </c>
      <c r="AY57" s="26">
        <f t="shared" si="62"/>
        <v>0.79345873404265144</v>
      </c>
      <c r="AZ57" s="26">
        <f t="shared" si="63"/>
        <v>1.4126444447993431</v>
      </c>
      <c r="BA57" s="61">
        <v>2005</v>
      </c>
      <c r="BB57" s="164">
        <f t="shared" si="4"/>
        <v>1331383</v>
      </c>
      <c r="BC57" s="105">
        <f t="shared" si="5"/>
        <v>-0.42723179176768761</v>
      </c>
      <c r="BD57" s="105">
        <f t="shared" si="6"/>
        <v>-0.99962748918761002</v>
      </c>
      <c r="BE57" s="105">
        <f t="shared" si="7"/>
        <v>-0.11174682063699728</v>
      </c>
      <c r="BF57" s="105">
        <f t="shared" si="8"/>
        <v>0.79345873404265144</v>
      </c>
      <c r="BG57">
        <v>279</v>
      </c>
      <c r="BH57" s="61">
        <f t="shared" si="78"/>
        <v>2005</v>
      </c>
      <c r="BI57" s="61">
        <f t="shared" si="79"/>
        <v>1331383</v>
      </c>
      <c r="BJ57" s="26">
        <f t="shared" si="80"/>
        <v>-0.42723179176768761</v>
      </c>
      <c r="BK57" s="26">
        <f t="shared" si="81"/>
        <v>-0.99962748918761002</v>
      </c>
      <c r="BL57" s="26">
        <f t="shared" si="82"/>
        <v>-0.11174682063699728</v>
      </c>
      <c r="BM57" s="26">
        <f t="shared" si="83"/>
        <v>0.79345873404265144</v>
      </c>
      <c r="BN57" s="61">
        <f t="shared" si="84"/>
        <v>279</v>
      </c>
      <c r="BO57" s="26">
        <f t="shared" si="85"/>
        <v>-0.47641922268505188</v>
      </c>
      <c r="BR57" s="26">
        <f>covariates!V65</f>
        <v>0.79345873404265144</v>
      </c>
      <c r="BS57" s="26">
        <f>covariates!W65</f>
        <v>-0.3000215995717041</v>
      </c>
      <c r="BT57" s="26">
        <f>covariates!Y65</f>
        <v>-0.11174682063699728</v>
      </c>
      <c r="BU57" s="26">
        <f>covariates!U65</f>
        <v>-0.99962748918761002</v>
      </c>
      <c r="BV57" s="26">
        <f>covariates!AA65</f>
        <v>1.4126444447993431</v>
      </c>
      <c r="BW57" s="26">
        <f t="shared" si="90"/>
        <v>-0.47641922268505188</v>
      </c>
      <c r="BX57" s="26">
        <f t="shared" si="76"/>
        <v>-0.76945436806962253</v>
      </c>
      <c r="BY57" s="26">
        <f t="shared" si="112"/>
        <v>-0.76057812645171086</v>
      </c>
      <c r="BZ57" s="26">
        <f t="shared" si="93"/>
        <v>2005</v>
      </c>
      <c r="CA57" s="26">
        <f t="shared" si="94"/>
        <v>0.76091546836659929</v>
      </c>
      <c r="CB57" s="26">
        <f>AVERAGE(CA52:CA61)</f>
        <v>0.94779169766645288</v>
      </c>
      <c r="CC57" s="26">
        <f t="shared" si="110"/>
        <v>1437825.583682531</v>
      </c>
      <c r="CD57" s="26">
        <f t="shared" si="95"/>
        <v>0.57461689322869236</v>
      </c>
      <c r="CE57" s="26">
        <f>AVERAGE(CD52:CD61)</f>
        <v>0.80502549506922494</v>
      </c>
      <c r="CF57" s="26">
        <f t="shared" si="96"/>
        <v>1280346.7432429506</v>
      </c>
      <c r="CG57" s="26">
        <f t="shared" si="97"/>
        <v>0.74333122780653449</v>
      </c>
      <c r="CH57" s="26">
        <f>AVERAGE(CG52:CG61)</f>
        <v>0.91586424155930524</v>
      </c>
      <c r="CI57" s="26">
        <f t="shared" si="98"/>
        <v>1458720.9558082081</v>
      </c>
      <c r="CJ57" s="26">
        <f t="shared" si="99"/>
        <v>0.76505792503254066</v>
      </c>
      <c r="CK57" s="26">
        <f>AVERAGE(CJ52:CJ61)</f>
        <v>0.95605121172153429</v>
      </c>
      <c r="CL57" s="26">
        <f t="shared" si="100"/>
        <v>1427026.4251309326</v>
      </c>
      <c r="CM57" s="26">
        <f t="shared" si="101"/>
        <v>0.72899837380004806</v>
      </c>
      <c r="CN57" s="26">
        <f>AVERAGE(CM52:CM61)</f>
        <v>0.8539841719128376</v>
      </c>
      <c r="CO57" s="26">
        <f t="shared" si="102"/>
        <v>1427607.7529061798</v>
      </c>
      <c r="CP57" s="26">
        <f t="shared" si="67"/>
        <v>-0.54620111444279118</v>
      </c>
      <c r="CQ57" s="26">
        <f t="shared" si="103"/>
        <v>0.71641103349375479</v>
      </c>
      <c r="CR57" s="26">
        <f>AVERAGE(CQ52:CQ61)</f>
        <v>0.83172970004937741</v>
      </c>
      <c r="CS57" s="26">
        <f t="shared" si="104"/>
        <v>1413305.4316912401</v>
      </c>
      <c r="CT57" s="26">
        <f t="shared" si="105"/>
        <v>1819553.4049550169</v>
      </c>
      <c r="CU57" s="26">
        <f t="shared" si="106"/>
        <v>1.0794758305891758</v>
      </c>
      <c r="CV57" s="26">
        <f>AVERAGE(CU52:CU61)</f>
        <v>1.2240352533215764</v>
      </c>
      <c r="CW57" s="26">
        <f t="shared" si="107"/>
        <v>1954258.3519409939</v>
      </c>
      <c r="CX57" s="26">
        <f t="shared" si="108"/>
        <v>1.0726127211443941</v>
      </c>
      <c r="CY57" s="26">
        <f t="shared" si="113"/>
        <v>1.2968952427343479</v>
      </c>
      <c r="CZ57" s="26">
        <f t="shared" si="68"/>
        <v>2106708.469310361</v>
      </c>
      <c r="DA57" s="50">
        <v>1976</v>
      </c>
      <c r="DB57" s="50">
        <v>0.92809754824487956</v>
      </c>
      <c r="DC57" s="50">
        <v>-8.5723200066051719E-2</v>
      </c>
      <c r="DD57" s="50">
        <v>-0.17402308629072402</v>
      </c>
      <c r="DE57" s="26">
        <f t="shared" si="86"/>
        <v>-1.6464738275660518</v>
      </c>
      <c r="DN57" s="50">
        <v>23</v>
      </c>
      <c r="DO57" s="50">
        <v>1.1462259009834193</v>
      </c>
      <c r="DP57" s="50">
        <v>-3.2870947598268474E-2</v>
      </c>
      <c r="DQ57" s="50">
        <v>-7.7764087596381426E-2</v>
      </c>
      <c r="DR57" s="26">
        <f t="shared" si="111"/>
        <v>-0.13650857079742537</v>
      </c>
      <c r="DZ57" s="50">
        <v>24</v>
      </c>
      <c r="EA57" s="50">
        <v>1.1213699166056308</v>
      </c>
      <c r="EB57" s="50">
        <v>-5.3065180445457827E-2</v>
      </c>
      <c r="EC57" s="50">
        <v>-0.12007871219134718</v>
      </c>
      <c r="ED57" s="26">
        <f t="shared" si="109"/>
        <v>-1.0115038728797261</v>
      </c>
      <c r="EJ57" s="50">
        <v>26</v>
      </c>
      <c r="EK57" s="50">
        <v>1.2157787285512911</v>
      </c>
      <c r="EL57" s="50">
        <v>-0.37340438037246326</v>
      </c>
      <c r="EM57" s="50">
        <v>-0.85599708434842314</v>
      </c>
      <c r="EN57" s="26">
        <f t="shared" si="87"/>
        <v>-2.4326979811143956</v>
      </c>
      <c r="EU57" s="50">
        <v>26</v>
      </c>
      <c r="EV57" s="50">
        <v>1.2174507244089621</v>
      </c>
      <c r="EW57" s="50">
        <v>-0.37507637623013423</v>
      </c>
      <c r="EX57" s="50">
        <v>-0.86804525159067447</v>
      </c>
      <c r="EY57" s="26">
        <f t="shared" si="88"/>
        <v>-2.2671709087605176</v>
      </c>
      <c r="FF57" s="50">
        <v>25</v>
      </c>
      <c r="FG57" s="50">
        <v>1.3807372618047336</v>
      </c>
      <c r="FH57" s="50">
        <v>-0.45655595016117123</v>
      </c>
      <c r="FI57" s="50">
        <v>-1.0809903365489639</v>
      </c>
      <c r="FJ57" s="26">
        <f t="shared" si="91"/>
        <v>-0.4221908637466012</v>
      </c>
      <c r="FP57" s="50">
        <v>25</v>
      </c>
      <c r="FQ57" s="50">
        <v>1.4069858885675266</v>
      </c>
      <c r="FR57" s="50">
        <v>-0.48280457692396428</v>
      </c>
      <c r="FS57" s="50">
        <v>-1.1684292446742879</v>
      </c>
      <c r="FT57" s="26">
        <f t="shared" si="92"/>
        <v>-0.70637401492990548</v>
      </c>
      <c r="FZ57" s="50">
        <v>26</v>
      </c>
      <c r="GA57" s="50">
        <v>1.2995324974704092</v>
      </c>
      <c r="GB57" s="50">
        <v>-0.45715814929158138</v>
      </c>
      <c r="GC57" s="50">
        <v>-1.0722535464118803</v>
      </c>
      <c r="GD57" s="26">
        <f t="shared" si="89"/>
        <v>-2.5692579872121764</v>
      </c>
      <c r="GJ57" s="50">
        <v>24</v>
      </c>
      <c r="GK57" s="50">
        <v>1.0661383824304034</v>
      </c>
      <c r="GL57" s="50">
        <v>2.1663537297695878E-3</v>
      </c>
      <c r="GM57" s="50">
        <v>5.2918698041138686E-3</v>
      </c>
      <c r="GT57" s="46">
        <v>25</v>
      </c>
      <c r="GU57" s="46">
        <v>1.3934095552041708</v>
      </c>
      <c r="GV57" s="46">
        <v>-0.46922824356060844</v>
      </c>
      <c r="GW57" s="46">
        <v>-1.1583648189822273</v>
      </c>
      <c r="GX57"/>
      <c r="GY57"/>
      <c r="GZ57"/>
      <c r="HA57"/>
      <c r="HB57"/>
      <c r="HD57" s="46">
        <v>25</v>
      </c>
      <c r="HE57" s="46">
        <v>-4.8561099483435122E-3</v>
      </c>
      <c r="HF57" s="46">
        <v>3.4787906662696044E-2</v>
      </c>
      <c r="HG57" s="46">
        <v>0.10405250803822888</v>
      </c>
      <c r="HH57"/>
      <c r="HI57"/>
      <c r="HJ57"/>
      <c r="HK57"/>
      <c r="HL57"/>
    </row>
    <row r="58" spans="1:220" s="26" customFormat="1" ht="12.75" customHeight="1" x14ac:dyDescent="0.35">
      <c r="A58" s="26" t="s">
        <v>96</v>
      </c>
      <c r="B58" s="26">
        <v>2006</v>
      </c>
      <c r="C58" s="26">
        <f>'Orig data'!G60</f>
        <v>1970621</v>
      </c>
      <c r="D58" s="26">
        <f>'Orig data'!R60</f>
        <v>2683669.7926117284</v>
      </c>
      <c r="E58" s="26">
        <f>'Orig data'!W60</f>
        <v>653276.45190826431</v>
      </c>
      <c r="F58" s="26">
        <f t="shared" si="25"/>
        <v>1970.6210000000001</v>
      </c>
      <c r="G58" s="26">
        <f t="shared" si="26"/>
        <v>653.27645190826433</v>
      </c>
      <c r="H58" s="26">
        <f t="shared" si="27"/>
        <v>-1.1041036041238916</v>
      </c>
      <c r="I58" s="26">
        <f t="shared" si="28"/>
        <v>713048.79261172842</v>
      </c>
      <c r="J58" s="26">
        <f t="shared" si="29"/>
        <v>0.26569915366442842</v>
      </c>
      <c r="K58" s="26">
        <f t="shared" si="30"/>
        <v>2006</v>
      </c>
      <c r="L58" s="26">
        <f>covariates!R66</f>
        <v>1970621</v>
      </c>
      <c r="M58" s="26">
        <f t="shared" si="31"/>
        <v>1.0472035456193762</v>
      </c>
      <c r="N58" s="26">
        <f t="shared" si="32"/>
        <v>-0.51074814808473734</v>
      </c>
      <c r="O58" s="26">
        <f t="shared" si="33"/>
        <v>-0.30775048543528666</v>
      </c>
      <c r="P58" s="26">
        <f t="shared" si="34"/>
        <v>1970621</v>
      </c>
      <c r="Q58" s="26">
        <f t="shared" si="35"/>
        <v>1.4449705714712771</v>
      </c>
      <c r="R58" s="26">
        <f t="shared" si="36"/>
        <v>-0.51074814808473734</v>
      </c>
      <c r="S58" s="26">
        <f t="shared" si="37"/>
        <v>-0.30775048543528666</v>
      </c>
      <c r="T58" s="26">
        <f t="shared" si="38"/>
        <v>1970621</v>
      </c>
      <c r="U58" s="26">
        <f t="shared" si="39"/>
        <v>-0.36325070430965856</v>
      </c>
      <c r="V58" s="26">
        <f t="shared" si="40"/>
        <v>-0.30775048543528666</v>
      </c>
      <c r="W58" s="26">
        <f t="shared" si="41"/>
        <v>1.0472035456193762</v>
      </c>
      <c r="X58" s="26">
        <f t="shared" si="42"/>
        <v>1970621</v>
      </c>
      <c r="Y58" s="26">
        <f t="shared" si="43"/>
        <v>-0.26351542388974197</v>
      </c>
      <c r="Z58" s="105">
        <f t="shared" si="44"/>
        <v>-0.30775048543528666</v>
      </c>
      <c r="AA58" s="105">
        <f t="shared" si="45"/>
        <v>1.0472035456193762</v>
      </c>
      <c r="AB58" s="105">
        <f t="shared" si="46"/>
        <v>1970621</v>
      </c>
      <c r="AC58" s="159">
        <f t="shared" si="47"/>
        <v>-1.5695016868528551</v>
      </c>
      <c r="AD58" s="105">
        <f t="shared" si="48"/>
        <v>-0.30775048543528666</v>
      </c>
      <c r="AE58" s="105">
        <f t="shared" si="49"/>
        <v>1.0472035456193762</v>
      </c>
      <c r="AF58" s="105">
        <f t="shared" si="50"/>
        <v>1970621</v>
      </c>
      <c r="AG58" s="105">
        <f>covariates!X66</f>
        <v>-1.5695016868528551</v>
      </c>
      <c r="AH58" s="105">
        <f t="shared" si="51"/>
        <v>-0.30775048543528666</v>
      </c>
      <c r="AI58" s="159">
        <f t="shared" si="52"/>
        <v>-0.51074814808473734</v>
      </c>
      <c r="AJ58" s="105">
        <f t="shared" si="53"/>
        <v>1.0472035456193762</v>
      </c>
      <c r="AK58" s="105"/>
      <c r="AL58" s="105"/>
      <c r="AM58" s="105"/>
      <c r="AN58" s="105"/>
      <c r="AO58" s="105"/>
      <c r="AP58" s="105">
        <f t="shared" si="54"/>
        <v>1970621</v>
      </c>
      <c r="AQ58" s="105">
        <f>covariates!T66</f>
        <v>-0.26351542388974197</v>
      </c>
      <c r="AR58" s="105">
        <f t="shared" si="55"/>
        <v>-0.30775048543528666</v>
      </c>
      <c r="AS58" s="105">
        <f t="shared" si="56"/>
        <v>-0.51074814808473734</v>
      </c>
      <c r="AT58" s="26">
        <f t="shared" si="57"/>
        <v>1.0472035456193762</v>
      </c>
      <c r="AU58" s="26">
        <f t="shared" si="58"/>
        <v>1970621</v>
      </c>
      <c r="AV58" s="26">
        <f t="shared" si="59"/>
        <v>-1.5695016868528551</v>
      </c>
      <c r="AW58" s="26">
        <f t="shared" si="60"/>
        <v>-0.30775048543528666</v>
      </c>
      <c r="AX58" s="26">
        <f t="shared" si="61"/>
        <v>-0.51074814808473734</v>
      </c>
      <c r="AY58" s="26">
        <f t="shared" si="62"/>
        <v>1.0472035456193762</v>
      </c>
      <c r="AZ58" s="26">
        <f t="shared" si="63"/>
        <v>1.4449705714712771</v>
      </c>
      <c r="BA58" s="61">
        <v>2006</v>
      </c>
      <c r="BB58" s="164">
        <f t="shared" si="4"/>
        <v>1970621</v>
      </c>
      <c r="BC58" s="105">
        <f t="shared" si="5"/>
        <v>-1.5695016868528551</v>
      </c>
      <c r="BD58" s="105">
        <f t="shared" si="6"/>
        <v>-0.30775048543528666</v>
      </c>
      <c r="BE58" s="105">
        <f t="shared" si="7"/>
        <v>-0.51074814808473734</v>
      </c>
      <c r="BF58" s="105">
        <f t="shared" si="8"/>
        <v>1.0472035456193762</v>
      </c>
      <c r="BG58">
        <v>290</v>
      </c>
      <c r="BH58" s="61">
        <f t="shared" si="78"/>
        <v>2006</v>
      </c>
      <c r="BI58" s="61">
        <f t="shared" si="79"/>
        <v>1970621</v>
      </c>
      <c r="BJ58" s="26">
        <f t="shared" si="80"/>
        <v>-1.5695016868528551</v>
      </c>
      <c r="BK58" s="26">
        <f t="shared" si="81"/>
        <v>-0.30775048543528666</v>
      </c>
      <c r="BL58" s="26">
        <f t="shared" si="82"/>
        <v>-0.51074814808473734</v>
      </c>
      <c r="BM58" s="26">
        <f t="shared" si="83"/>
        <v>1.0472035456193762</v>
      </c>
      <c r="BN58" s="61">
        <f t="shared" si="84"/>
        <v>290</v>
      </c>
      <c r="BO58" s="26">
        <f t="shared" si="85"/>
        <v>-1.1041036041238916</v>
      </c>
      <c r="BR58" s="26">
        <f>covariates!V66</f>
        <v>1.0472035456193762</v>
      </c>
      <c r="BS58" s="26">
        <f>covariates!W66</f>
        <v>-0.36325070430965856</v>
      </c>
      <c r="BT58" s="26">
        <f>covariates!Y66</f>
        <v>-0.51074814808473734</v>
      </c>
      <c r="BU58" s="26">
        <f>covariates!U66</f>
        <v>-0.30775048543528666</v>
      </c>
      <c r="BV58" s="26">
        <f>covariates!AA66</f>
        <v>1.4449705714712771</v>
      </c>
      <c r="BW58" s="26">
        <f t="shared" si="90"/>
        <v>-1.1041036041238916</v>
      </c>
      <c r="BX58" s="26">
        <f t="shared" si="76"/>
        <v>-0.76945436806962253</v>
      </c>
      <c r="BY58" s="26">
        <f t="shared" si="112"/>
        <v>-0.76057812645171086</v>
      </c>
      <c r="BZ58" s="26">
        <f t="shared" si="93"/>
        <v>2006</v>
      </c>
      <c r="CA58" s="26">
        <f t="shared" si="94"/>
        <v>0.82350532049666503</v>
      </c>
      <c r="CB58" s="26">
        <f t="shared" si="70"/>
        <v>0.90640322224579761</v>
      </c>
      <c r="CC58" s="26">
        <f t="shared" si="110"/>
        <v>1631405.5822212677</v>
      </c>
      <c r="CD58" s="26">
        <f t="shared" si="95"/>
        <v>0.69735730670643892</v>
      </c>
      <c r="CE58" s="26">
        <f t="shared" si="70"/>
        <v>0.78508930737200666</v>
      </c>
      <c r="CF58" s="26">
        <f t="shared" si="96"/>
        <v>1595749.4768684437</v>
      </c>
      <c r="CG58" s="26">
        <f t="shared" si="97"/>
        <v>0.80864527190402358</v>
      </c>
      <c r="CH58" s="26">
        <f t="shared" si="71"/>
        <v>0.86920997871712891</v>
      </c>
      <c r="CI58" s="26">
        <f t="shared" si="98"/>
        <v>1685334.8490552818</v>
      </c>
      <c r="CJ58" s="26">
        <f t="shared" si="99"/>
        <v>0.81841799300581641</v>
      </c>
      <c r="CK58" s="26">
        <f t="shared" si="72"/>
        <v>0.9130472909149413</v>
      </c>
      <c r="CL58" s="26">
        <f t="shared" si="100"/>
        <v>1595304.1331323867</v>
      </c>
      <c r="CM58" s="26">
        <f t="shared" si="101"/>
        <v>0.67919860553797273</v>
      </c>
      <c r="CN58" s="26">
        <f t="shared" si="73"/>
        <v>0.8331218021557637</v>
      </c>
      <c r="CO58" s="26">
        <f t="shared" si="102"/>
        <v>1464949.3970701324</v>
      </c>
      <c r="CP58" s="26">
        <f t="shared" si="67"/>
        <v>-0.80757558324505219</v>
      </c>
      <c r="CQ58" s="26">
        <f t="shared" si="103"/>
        <v>0.62274904786361052</v>
      </c>
      <c r="CR58" s="26">
        <f t="shared" si="74"/>
        <v>0.79688289474873963</v>
      </c>
      <c r="CS58" s="26">
        <f t="shared" si="104"/>
        <v>1389715.093037978</v>
      </c>
      <c r="CT58" s="26">
        <f t="shared" si="105"/>
        <v>1810311.0705401364</v>
      </c>
      <c r="CU58" s="26">
        <f t="shared" si="106"/>
        <v>1.0865773936389027</v>
      </c>
      <c r="CV58" s="26">
        <f t="shared" si="75"/>
        <v>1.2358482920126743</v>
      </c>
      <c r="CW58" s="26">
        <f t="shared" si="107"/>
        <v>2085948.7709602383</v>
      </c>
      <c r="CX58" s="26">
        <f t="shared" si="108"/>
        <v>1.2027606944497706</v>
      </c>
      <c r="CY58" s="26">
        <f t="shared" si="113"/>
        <v>1.2884033108738808</v>
      </c>
      <c r="CZ58" s="26">
        <f t="shared" si="68"/>
        <v>2645200.6037694062</v>
      </c>
      <c r="DA58" s="50">
        <v>1977</v>
      </c>
      <c r="DB58" s="50">
        <v>0.76726416357448168</v>
      </c>
      <c r="DC58" s="50">
        <v>-0.81104759335305421</v>
      </c>
      <c r="DD58" s="50">
        <v>-1.6464738275660518</v>
      </c>
      <c r="DE58" s="26">
        <f t="shared" si="86"/>
        <v>-0.6051786630462006</v>
      </c>
      <c r="DN58" s="50">
        <v>24</v>
      </c>
      <c r="DO58" s="50">
        <v>1.1260070280032459</v>
      </c>
      <c r="DP58" s="50">
        <v>-5.7702291843072961E-2</v>
      </c>
      <c r="DQ58" s="50">
        <v>-0.13650857079742537</v>
      </c>
      <c r="DR58" s="26">
        <f t="shared" si="111"/>
        <v>-1.0806710839089326</v>
      </c>
      <c r="DZ58" s="50">
        <v>25</v>
      </c>
      <c r="EA58" s="50">
        <v>1.3711850690631888</v>
      </c>
      <c r="EB58" s="50">
        <v>-0.4470037574196265</v>
      </c>
      <c r="EC58" s="50">
        <v>-1.0115038728797261</v>
      </c>
      <c r="ED58" s="26">
        <f t="shared" si="109"/>
        <v>-0.46125432998003707</v>
      </c>
      <c r="EJ58" s="50">
        <v>27</v>
      </c>
      <c r="EK58" s="50">
        <v>1.017411869692352</v>
      </c>
      <c r="EL58" s="50">
        <v>-1.0611952994709246</v>
      </c>
      <c r="EM58" s="50">
        <v>-2.4326979811143956</v>
      </c>
      <c r="EN58" s="26">
        <f t="shared" si="87"/>
        <v>-0.73046371786949771</v>
      </c>
      <c r="EU58" s="50">
        <v>27</v>
      </c>
      <c r="EV58" s="50">
        <v>0.93584550914368347</v>
      </c>
      <c r="EW58" s="50">
        <v>-0.979628938922256</v>
      </c>
      <c r="EX58" s="50">
        <v>-2.2671709087605176</v>
      </c>
      <c r="EY58" s="26">
        <f t="shared" si="88"/>
        <v>-0.88211988290179721</v>
      </c>
      <c r="FF58" s="50">
        <v>26</v>
      </c>
      <c r="FG58" s="50">
        <v>1.020686535096758</v>
      </c>
      <c r="FH58" s="50">
        <v>-0.17831218691793016</v>
      </c>
      <c r="FI58" s="50">
        <v>-0.4221908637466012</v>
      </c>
      <c r="FJ58" s="26">
        <f t="shared" si="91"/>
        <v>-2.3733890356146059</v>
      </c>
      <c r="FP58" s="50">
        <v>26</v>
      </c>
      <c r="FQ58" s="50">
        <v>1.1342539027028022</v>
      </c>
      <c r="FR58" s="50">
        <v>-0.2918795545239744</v>
      </c>
      <c r="FS58" s="50">
        <v>-0.70637401492990548</v>
      </c>
      <c r="FT58" s="26">
        <f t="shared" si="92"/>
        <v>-2.4752608472116977</v>
      </c>
      <c r="FZ58" s="50">
        <v>27</v>
      </c>
      <c r="GA58" s="50">
        <v>1.0516265415075976</v>
      </c>
      <c r="GB58" s="50">
        <v>-1.0954099712861702</v>
      </c>
      <c r="GC58" s="50">
        <v>-2.5692579872121764</v>
      </c>
      <c r="GD58" s="26">
        <f t="shared" si="89"/>
        <v>-0.99416651942385548</v>
      </c>
      <c r="GJ58" s="50">
        <v>25</v>
      </c>
      <c r="GK58" s="50">
        <v>1.3874804991185643</v>
      </c>
      <c r="GL58" s="50">
        <v>-0.46329918747500198</v>
      </c>
      <c r="GM58" s="50">
        <v>-1.1317260642980114</v>
      </c>
      <c r="GT58" s="46">
        <v>26</v>
      </c>
      <c r="GU58" s="46">
        <v>1.0663723748261908</v>
      </c>
      <c r="GV58" s="46">
        <v>-0.22399802664736301</v>
      </c>
      <c r="GW58" s="46">
        <v>-0.55297488407948703</v>
      </c>
      <c r="GX58"/>
      <c r="GY58"/>
      <c r="GZ58"/>
      <c r="HA58"/>
      <c r="HB58"/>
      <c r="HD58" s="46">
        <v>26</v>
      </c>
      <c r="HE58" s="46">
        <v>1.3065124315681402</v>
      </c>
      <c r="HF58" s="46">
        <v>-0.12453802632497535</v>
      </c>
      <c r="HG58" s="46">
        <v>-0.37249996416543163</v>
      </c>
      <c r="HH58"/>
      <c r="HI58"/>
      <c r="HJ58"/>
      <c r="HK58"/>
      <c r="HL58"/>
    </row>
    <row r="59" spans="1:220" s="26" customFormat="1" ht="12.75" customHeight="1" x14ac:dyDescent="0.35">
      <c r="A59" s="26" t="s">
        <v>96</v>
      </c>
      <c r="B59" s="26">
        <v>2007</v>
      </c>
      <c r="C59" s="26">
        <f>'Orig data'!G61</f>
        <v>1057248</v>
      </c>
      <c r="D59" s="26">
        <f>'Orig data'!R61</f>
        <v>1382634.3049989361</v>
      </c>
      <c r="E59" s="26">
        <f>'Orig data'!W61</f>
        <v>1919087.3845169125</v>
      </c>
      <c r="F59" s="26">
        <f t="shared" si="25"/>
        <v>1057.248</v>
      </c>
      <c r="G59" s="26">
        <f t="shared" si="26"/>
        <v>1919.0873845169126</v>
      </c>
      <c r="H59" s="26">
        <f t="shared" si="27"/>
        <v>0.59618044680644766</v>
      </c>
      <c r="I59" s="26">
        <f t="shared" si="28"/>
        <v>325386.30499893613</v>
      </c>
      <c r="J59" s="26">
        <f t="shared" si="29"/>
        <v>0.23533793702535574</v>
      </c>
      <c r="K59" s="26">
        <f t="shared" si="30"/>
        <v>2007</v>
      </c>
      <c r="L59" s="26">
        <f>covariates!R67</f>
        <v>1057248</v>
      </c>
      <c r="M59" s="26">
        <f t="shared" si="31"/>
        <v>1.2091667292228285</v>
      </c>
      <c r="N59" s="26">
        <f t="shared" si="32"/>
        <v>-1.0967813477736057</v>
      </c>
      <c r="O59" s="26">
        <f t="shared" si="33"/>
        <v>0.92774416412243355</v>
      </c>
      <c r="P59" s="26">
        <f t="shared" si="34"/>
        <v>1057248</v>
      </c>
      <c r="Q59" s="26">
        <f t="shared" si="35"/>
        <v>1.5323868338646556</v>
      </c>
      <c r="R59" s="26">
        <f t="shared" si="36"/>
        <v>-1.0967813477736057</v>
      </c>
      <c r="S59" s="26">
        <f t="shared" si="37"/>
        <v>0.92774416412243355</v>
      </c>
      <c r="T59" s="26">
        <f t="shared" si="38"/>
        <v>1057248</v>
      </c>
      <c r="U59" s="26">
        <f t="shared" si="39"/>
        <v>-0.77366612001453161</v>
      </c>
      <c r="V59" s="26">
        <f t="shared" si="40"/>
        <v>0.92774416412243355</v>
      </c>
      <c r="W59" s="26">
        <f t="shared" si="41"/>
        <v>1.2091667292228285</v>
      </c>
      <c r="X59" s="26">
        <f t="shared" si="42"/>
        <v>1057248</v>
      </c>
      <c r="Y59" s="26">
        <f t="shared" si="43"/>
        <v>-1.2505679179492311</v>
      </c>
      <c r="Z59" s="105">
        <f t="shared" si="44"/>
        <v>0.92774416412243355</v>
      </c>
      <c r="AA59" s="105">
        <f t="shared" si="45"/>
        <v>1.2091667292228285</v>
      </c>
      <c r="AB59" s="105">
        <f t="shared" si="46"/>
        <v>1057248</v>
      </c>
      <c r="AC59" s="159">
        <f t="shared" si="47"/>
        <v>-1.992928833338022</v>
      </c>
      <c r="AD59" s="105">
        <f t="shared" si="48"/>
        <v>0.92774416412243355</v>
      </c>
      <c r="AE59" s="105">
        <f t="shared" si="49"/>
        <v>1.2091667292228285</v>
      </c>
      <c r="AF59" s="105">
        <f t="shared" si="50"/>
        <v>1057248</v>
      </c>
      <c r="AG59" s="105">
        <f>covariates!X67</f>
        <v>-1.992928833338022</v>
      </c>
      <c r="AH59" s="105">
        <f t="shared" si="51"/>
        <v>0.92774416412243355</v>
      </c>
      <c r="AI59" s="159">
        <f t="shared" si="52"/>
        <v>-1.0967813477736057</v>
      </c>
      <c r="AJ59" s="105">
        <f t="shared" si="53"/>
        <v>1.2091667292228285</v>
      </c>
      <c r="AK59" s="105"/>
      <c r="AL59" s="105"/>
      <c r="AM59" s="105"/>
      <c r="AN59" s="105"/>
      <c r="AO59" s="105"/>
      <c r="AP59" s="105">
        <f t="shared" si="54"/>
        <v>1057248</v>
      </c>
      <c r="AQ59" s="105">
        <f>covariates!T67</f>
        <v>-1.2505679179492311</v>
      </c>
      <c r="AR59" s="105">
        <f t="shared" si="55"/>
        <v>0.92774416412243355</v>
      </c>
      <c r="AS59" s="105">
        <f t="shared" si="56"/>
        <v>-1.0967813477736057</v>
      </c>
      <c r="AT59" s="26">
        <f t="shared" si="57"/>
        <v>1.2091667292228285</v>
      </c>
      <c r="AU59" s="26">
        <f t="shared" si="58"/>
        <v>1057248</v>
      </c>
      <c r="AV59" s="26">
        <f t="shared" si="59"/>
        <v>-1.992928833338022</v>
      </c>
      <c r="AW59" s="26">
        <f t="shared" si="60"/>
        <v>0.92774416412243355</v>
      </c>
      <c r="AX59" s="26">
        <f t="shared" si="61"/>
        <v>-1.0967813477736057</v>
      </c>
      <c r="AY59" s="26">
        <f t="shared" si="62"/>
        <v>1.2091667292228285</v>
      </c>
      <c r="AZ59" s="26">
        <f t="shared" si="63"/>
        <v>1.5323868338646556</v>
      </c>
      <c r="BA59" s="61">
        <v>2007</v>
      </c>
      <c r="BB59" s="164">
        <f t="shared" si="4"/>
        <v>1057248</v>
      </c>
      <c r="BC59" s="105">
        <f t="shared" si="5"/>
        <v>-1.992928833338022</v>
      </c>
      <c r="BD59" s="105">
        <f t="shared" si="6"/>
        <v>0.92774416412243355</v>
      </c>
      <c r="BE59" s="105">
        <f t="shared" si="7"/>
        <v>-1.0967813477736057</v>
      </c>
      <c r="BF59" s="105">
        <f t="shared" si="8"/>
        <v>1.2091667292228285</v>
      </c>
      <c r="BG59">
        <v>295</v>
      </c>
      <c r="BH59" s="61">
        <f t="shared" si="78"/>
        <v>2007</v>
      </c>
      <c r="BI59" s="61">
        <f t="shared" si="79"/>
        <v>1057248</v>
      </c>
      <c r="BJ59" s="26">
        <f t="shared" si="80"/>
        <v>-1.992928833338022</v>
      </c>
      <c r="BK59" s="26">
        <f t="shared" si="81"/>
        <v>0.92774416412243355</v>
      </c>
      <c r="BL59" s="26">
        <f t="shared" si="82"/>
        <v>-1.0967813477736057</v>
      </c>
      <c r="BM59" s="26">
        <f t="shared" si="83"/>
        <v>1.2091667292228285</v>
      </c>
      <c r="BN59" s="61">
        <f t="shared" si="84"/>
        <v>295</v>
      </c>
      <c r="BO59" s="26">
        <f t="shared" si="85"/>
        <v>0.59618044680644766</v>
      </c>
      <c r="BR59" s="26">
        <f>covariates!V67</f>
        <v>1.2091667292228285</v>
      </c>
      <c r="BS59" s="26">
        <f>covariates!W67</f>
        <v>-0.77366612001453161</v>
      </c>
      <c r="BT59" s="26">
        <f>covariates!Y67</f>
        <v>-1.0967813477736057</v>
      </c>
      <c r="BU59" s="26">
        <f>covariates!U67</f>
        <v>0.92774416412243355</v>
      </c>
      <c r="BV59" s="26">
        <f>covariates!AA67</f>
        <v>1.5323868338646556</v>
      </c>
      <c r="BW59" s="26">
        <f t="shared" si="90"/>
        <v>0.59618044680644766</v>
      </c>
      <c r="BX59" s="26">
        <f t="shared" si="76"/>
        <v>-0.76945436806962253</v>
      </c>
      <c r="BY59" s="26">
        <f t="shared" si="112"/>
        <v>-0.76057812645171086</v>
      </c>
      <c r="BZ59" s="26">
        <f t="shared" si="93"/>
        <v>2007</v>
      </c>
      <c r="CA59" s="26">
        <f t="shared" si="94"/>
        <v>0.99090663176155136</v>
      </c>
      <c r="CB59" s="26">
        <f t="shared" si="70"/>
        <v>0.86589742020111637</v>
      </c>
      <c r="CC59" s="26">
        <f t="shared" si="110"/>
        <v>1654355.9936395069</v>
      </c>
      <c r="CD59" s="26">
        <f t="shared" si="95"/>
        <v>0.8956409565559903</v>
      </c>
      <c r="CE59" s="26">
        <f t="shared" si="70"/>
        <v>0.78123118923476009</v>
      </c>
      <c r="CF59" s="26">
        <f t="shared" si="96"/>
        <v>1590374.0535356787</v>
      </c>
      <c r="CG59" s="26">
        <f t="shared" si="97"/>
        <v>0.97206052447568092</v>
      </c>
      <c r="CH59" s="26">
        <f t="shared" si="71"/>
        <v>0.83043620958374986</v>
      </c>
      <c r="CI59" s="26">
        <f t="shared" si="98"/>
        <v>1665268.8246851272</v>
      </c>
      <c r="CJ59" s="26">
        <f t="shared" si="99"/>
        <v>0.97503800085010772</v>
      </c>
      <c r="CK59" s="26">
        <f t="shared" si="72"/>
        <v>0.86970449458441479</v>
      </c>
      <c r="CL59" s="26">
        <f t="shared" si="100"/>
        <v>1613275.9689350228</v>
      </c>
      <c r="CM59" s="26">
        <f t="shared" si="101"/>
        <v>0.792396443444501</v>
      </c>
      <c r="CN59" s="26">
        <f t="shared" si="73"/>
        <v>0.80980838904291341</v>
      </c>
      <c r="CO59" s="26">
        <f t="shared" si="102"/>
        <v>1383454.3796592155</v>
      </c>
      <c r="CP59" s="26">
        <f t="shared" si="67"/>
        <v>0.32726620736054457</v>
      </c>
      <c r="CQ59" s="26">
        <f t="shared" si="103"/>
        <v>0.67879248538607051</v>
      </c>
      <c r="CR59" s="26">
        <f t="shared" si="74"/>
        <v>0.76528338541879948</v>
      </c>
      <c r="CS59" s="26">
        <f t="shared" si="104"/>
        <v>1237359.2487979035</v>
      </c>
      <c r="CT59" s="26">
        <f t="shared" si="105"/>
        <v>1713245.9579135256</v>
      </c>
      <c r="CU59" s="26">
        <f t="shared" si="106"/>
        <v>1.2360948737610418</v>
      </c>
      <c r="CV59" s="26">
        <f t="shared" si="75"/>
        <v>1.2457537764713491</v>
      </c>
      <c r="CW59" s="26">
        <f t="shared" si="107"/>
        <v>2094518.6128339807</v>
      </c>
      <c r="CX59" s="26">
        <f t="shared" si="108"/>
        <v>1.4210758562759467</v>
      </c>
      <c r="CY59" s="26">
        <f t="shared" si="113"/>
        <v>1.2820097998834179</v>
      </c>
      <c r="CZ59" s="26">
        <f t="shared" si="68"/>
        <v>2689631.3566371333</v>
      </c>
      <c r="DA59" s="50">
        <v>1978</v>
      </c>
      <c r="DB59" s="50">
        <v>0.91661841526255849</v>
      </c>
      <c r="DC59" s="50">
        <v>-0.2981090194053202</v>
      </c>
      <c r="DD59" s="50">
        <v>-0.6051786630462006</v>
      </c>
      <c r="DE59" s="26">
        <f t="shared" si="86"/>
        <v>-0.5568262845018942</v>
      </c>
      <c r="DN59" s="50">
        <v>25</v>
      </c>
      <c r="DO59" s="50">
        <v>1.3809819206149905</v>
      </c>
      <c r="DP59" s="50">
        <v>-0.45680060897142816</v>
      </c>
      <c r="DQ59" s="50">
        <v>-1.0806710839089326</v>
      </c>
      <c r="DR59" s="26">
        <f t="shared" si="111"/>
        <v>-0.48436433160713716</v>
      </c>
      <c r="DZ59" s="50">
        <v>26</v>
      </c>
      <c r="EA59" s="50">
        <v>1.046211846141295</v>
      </c>
      <c r="EB59" s="50">
        <v>-0.2038374979624672</v>
      </c>
      <c r="EC59" s="50">
        <v>-0.46125432998003707</v>
      </c>
      <c r="ED59" s="26">
        <f t="shared" si="109"/>
        <v>-2.2426526408236107</v>
      </c>
      <c r="EJ59" s="50">
        <v>28</v>
      </c>
      <c r="EK59" s="50">
        <v>0.93715341572939326</v>
      </c>
      <c r="EL59" s="50">
        <v>-0.31864401987215496</v>
      </c>
      <c r="EM59" s="50">
        <v>-0.73046371786949771</v>
      </c>
      <c r="EN59" s="26">
        <f t="shared" si="87"/>
        <v>-0.49907983095118535</v>
      </c>
      <c r="EU59" s="50">
        <v>28</v>
      </c>
      <c r="EV59" s="50">
        <v>0.99966732336511677</v>
      </c>
      <c r="EW59" s="50">
        <v>-0.38115792750787847</v>
      </c>
      <c r="EX59" s="50">
        <v>-0.88211988290179721</v>
      </c>
      <c r="EY59" s="26">
        <f t="shared" si="88"/>
        <v>-0.47454686073550234</v>
      </c>
      <c r="FF59" s="50">
        <v>27</v>
      </c>
      <c r="FG59" s="50">
        <v>0.95861673016776994</v>
      </c>
      <c r="FH59" s="50">
        <v>-1.0024001599463426</v>
      </c>
      <c r="FI59" s="50">
        <v>-2.3733890356146059</v>
      </c>
      <c r="FJ59" s="26">
        <f t="shared" si="91"/>
        <v>-0.87298889921505152</v>
      </c>
      <c r="FP59" s="50">
        <v>27</v>
      </c>
      <c r="FQ59" s="50">
        <v>0.97901471701690124</v>
      </c>
      <c r="FR59" s="50">
        <v>-1.0227981467954739</v>
      </c>
      <c r="FS59" s="50">
        <v>-2.4752608472116977</v>
      </c>
      <c r="FT59" s="26">
        <f t="shared" si="92"/>
        <v>-1.1213373201384513</v>
      </c>
      <c r="FZ59" s="50">
        <v>28</v>
      </c>
      <c r="GA59" s="50">
        <v>1.0423749336568968</v>
      </c>
      <c r="GB59" s="50">
        <v>-0.42386553779965852</v>
      </c>
      <c r="GC59" s="50">
        <v>-0.99416651942385548</v>
      </c>
      <c r="GD59" s="26">
        <f t="shared" si="89"/>
        <v>-0.87864372342986141</v>
      </c>
      <c r="GJ59" s="50">
        <v>26</v>
      </c>
      <c r="GK59" s="50">
        <v>1.1122136385941874</v>
      </c>
      <c r="GL59" s="50">
        <v>-0.26983929041535959</v>
      </c>
      <c r="GM59" s="50">
        <v>-0.65915107643313209</v>
      </c>
      <c r="GT59" s="46">
        <v>27</v>
      </c>
      <c r="GU59" s="46">
        <v>0.94360239746867958</v>
      </c>
      <c r="GV59" s="46">
        <v>-0.9873858272472521</v>
      </c>
      <c r="GW59" s="46">
        <v>-2.4375195243274943</v>
      </c>
      <c r="GX59"/>
      <c r="GY59"/>
      <c r="GZ59"/>
      <c r="HA59"/>
      <c r="HB59"/>
      <c r="HD59" s="46">
        <v>27</v>
      </c>
      <c r="HE59" s="46">
        <v>-0.46297353922664364</v>
      </c>
      <c r="HF59" s="46">
        <v>-5.9806976589369731E-2</v>
      </c>
      <c r="HG59" s="46">
        <v>-0.1788858976956125</v>
      </c>
      <c r="HH59"/>
      <c r="HI59"/>
      <c r="HJ59"/>
      <c r="HK59"/>
      <c r="HL59"/>
    </row>
    <row r="60" spans="1:220" s="26" customFormat="1" ht="12.75" customHeight="1" x14ac:dyDescent="0.35">
      <c r="A60" s="26" t="s">
        <v>96</v>
      </c>
      <c r="B60" s="26">
        <v>2008</v>
      </c>
      <c r="C60" s="26">
        <f>'Orig data'!G62</f>
        <v>982016</v>
      </c>
      <c r="D60" s="26">
        <f>'Orig data'!R62</f>
        <v>1231940.0157277284</v>
      </c>
      <c r="E60" s="26">
        <f>'Orig data'!W62</f>
        <v>1341575.4990023808</v>
      </c>
      <c r="F60" s="26">
        <f t="shared" si="25"/>
        <v>982.01599999999996</v>
      </c>
      <c r="G60" s="26">
        <f t="shared" si="26"/>
        <v>1341.5754990023809</v>
      </c>
      <c r="H60" s="26">
        <f t="shared" si="27"/>
        <v>0.31199234632089623</v>
      </c>
      <c r="I60" s="26">
        <f t="shared" si="28"/>
        <v>249924.01572772837</v>
      </c>
      <c r="J60" s="26">
        <f t="shared" si="29"/>
        <v>0.20287027983265396</v>
      </c>
      <c r="K60" s="26">
        <f t="shared" si="30"/>
        <v>2008</v>
      </c>
      <c r="L60" s="26">
        <f>covariates!R68</f>
        <v>982016</v>
      </c>
      <c r="M60" s="26">
        <f t="shared" si="31"/>
        <v>1.3879490888126806</v>
      </c>
      <c r="N60" s="26">
        <f t="shared" si="32"/>
        <v>-1.5124077305316681</v>
      </c>
      <c r="O60" s="26">
        <f t="shared" si="33"/>
        <v>0.45825619729049993</v>
      </c>
      <c r="P60" s="26">
        <f t="shared" si="34"/>
        <v>982016</v>
      </c>
      <c r="Q60" s="26">
        <f t="shared" si="35"/>
        <v>1.3993500167501032</v>
      </c>
      <c r="R60" s="26">
        <f t="shared" si="36"/>
        <v>-1.5124077305316681</v>
      </c>
      <c r="S60" s="26">
        <f t="shared" si="37"/>
        <v>0.45825619729049993</v>
      </c>
      <c r="T60" s="26">
        <f t="shared" si="38"/>
        <v>982016</v>
      </c>
      <c r="U60" s="26">
        <f t="shared" si="39"/>
        <v>-0.99125832065572517</v>
      </c>
      <c r="V60" s="26">
        <f t="shared" si="40"/>
        <v>0.45825619729049993</v>
      </c>
      <c r="W60" s="26">
        <f t="shared" si="41"/>
        <v>1.3879490888126806</v>
      </c>
      <c r="X60" s="26">
        <f t="shared" si="42"/>
        <v>982016</v>
      </c>
      <c r="Y60" s="26">
        <f t="shared" si="43"/>
        <v>-0.29412170277530686</v>
      </c>
      <c r="Z60" s="105">
        <f t="shared" si="44"/>
        <v>0.45825619729049993</v>
      </c>
      <c r="AA60" s="105">
        <f t="shared" si="45"/>
        <v>1.3879490888126806</v>
      </c>
      <c r="AB60" s="105">
        <f t="shared" si="46"/>
        <v>982016</v>
      </c>
      <c r="AC60" s="159">
        <f t="shared" si="47"/>
        <v>-1.1563723933311598</v>
      </c>
      <c r="AD60" s="105">
        <f t="shared" si="48"/>
        <v>0.45825619729049993</v>
      </c>
      <c r="AE60" s="105">
        <f t="shared" si="49"/>
        <v>1.3879490888126806</v>
      </c>
      <c r="AF60" s="105">
        <f t="shared" si="50"/>
        <v>982016</v>
      </c>
      <c r="AG60" s="105">
        <f>covariates!X68</f>
        <v>-1.1563723933311598</v>
      </c>
      <c r="AH60" s="105">
        <f t="shared" si="51"/>
        <v>0.45825619729049993</v>
      </c>
      <c r="AI60" s="159">
        <f t="shared" si="52"/>
        <v>-1.5124077305316681</v>
      </c>
      <c r="AJ60" s="105">
        <f t="shared" si="53"/>
        <v>1.3879490888126806</v>
      </c>
      <c r="AK60" s="105"/>
      <c r="AL60" s="105"/>
      <c r="AM60" s="105"/>
      <c r="AN60" s="105"/>
      <c r="AO60" s="105"/>
      <c r="AP60" s="105">
        <f t="shared" si="54"/>
        <v>982016</v>
      </c>
      <c r="AQ60" s="105">
        <f>covariates!T68</f>
        <v>-0.29412170277530686</v>
      </c>
      <c r="AR60" s="105">
        <f t="shared" si="55"/>
        <v>0.45825619729049993</v>
      </c>
      <c r="AS60" s="105">
        <f t="shared" si="56"/>
        <v>-1.5124077305316681</v>
      </c>
      <c r="AT60" s="26">
        <f t="shared" si="57"/>
        <v>1.3879490888126806</v>
      </c>
      <c r="AU60" s="26">
        <f t="shared" si="58"/>
        <v>982016</v>
      </c>
      <c r="AV60" s="26">
        <f t="shared" si="59"/>
        <v>-1.1563723933311598</v>
      </c>
      <c r="AW60" s="26">
        <f t="shared" si="60"/>
        <v>0.45825619729049993</v>
      </c>
      <c r="AX60" s="26">
        <f t="shared" si="61"/>
        <v>-1.5124077305316681</v>
      </c>
      <c r="AY60" s="26">
        <f t="shared" si="62"/>
        <v>1.3879490888126806</v>
      </c>
      <c r="AZ60" s="26">
        <f t="shared" si="63"/>
        <v>1.3993500167501032</v>
      </c>
      <c r="BA60" s="61">
        <v>2008</v>
      </c>
      <c r="BB60" s="164">
        <f t="shared" si="4"/>
        <v>982016</v>
      </c>
      <c r="BC60" s="105">
        <f t="shared" si="5"/>
        <v>-1.1563723933311598</v>
      </c>
      <c r="BD60" s="105">
        <f t="shared" si="6"/>
        <v>0.45825619729049993</v>
      </c>
      <c r="BE60" s="105">
        <f t="shared" si="7"/>
        <v>-1.5124077305316681</v>
      </c>
      <c r="BF60" s="105">
        <f t="shared" si="8"/>
        <v>1.3879490888126806</v>
      </c>
      <c r="BG60">
        <v>299</v>
      </c>
      <c r="BH60" s="61">
        <f t="shared" si="78"/>
        <v>2008</v>
      </c>
      <c r="BI60" s="61">
        <f t="shared" si="79"/>
        <v>982016</v>
      </c>
      <c r="BJ60" s="26">
        <f t="shared" si="80"/>
        <v>-1.1563723933311598</v>
      </c>
      <c r="BK60" s="26">
        <f t="shared" si="81"/>
        <v>0.45825619729049993</v>
      </c>
      <c r="BL60" s="26">
        <f t="shared" si="82"/>
        <v>-1.5124077305316681</v>
      </c>
      <c r="BM60" s="26">
        <f t="shared" si="83"/>
        <v>1.3879490888126806</v>
      </c>
      <c r="BN60" s="61">
        <f t="shared" si="84"/>
        <v>299</v>
      </c>
      <c r="BO60" s="26">
        <f t="shared" si="85"/>
        <v>0.31199234632089623</v>
      </c>
      <c r="BR60" s="26">
        <f>covariates!V68</f>
        <v>1.3879490888126806</v>
      </c>
      <c r="BS60" s="26">
        <f>covariates!W68</f>
        <v>-0.99125832065572517</v>
      </c>
      <c r="BT60" s="26">
        <f>covariates!Y68</f>
        <v>-1.5124077305316681</v>
      </c>
      <c r="BU60" s="26">
        <f>covariates!U68</f>
        <v>0.45825619729049993</v>
      </c>
      <c r="BV60" s="26">
        <f>covariates!AA68</f>
        <v>1.3993500167501032</v>
      </c>
      <c r="BW60" s="26">
        <f t="shared" si="90"/>
        <v>0.31199234632089623</v>
      </c>
      <c r="BX60" s="26">
        <f t="shared" si="76"/>
        <v>-0.76945436806962253</v>
      </c>
      <c r="BY60" s="26">
        <f t="shared" si="112"/>
        <v>-0.76057812645171086</v>
      </c>
      <c r="BZ60" s="26">
        <f t="shared" si="93"/>
        <v>2008</v>
      </c>
      <c r="CA60" s="26">
        <f t="shared" si="94"/>
        <v>0.94089667236488339</v>
      </c>
      <c r="CB60" s="26">
        <f t="shared" si="70"/>
        <v>0.8482114568107082</v>
      </c>
      <c r="CC60" s="26">
        <f t="shared" si="110"/>
        <v>1519278.4441122152</v>
      </c>
      <c r="CD60" s="26">
        <f t="shared" si="95"/>
        <v>0.9142919260124942</v>
      </c>
      <c r="CE60" s="26">
        <f t="shared" si="70"/>
        <v>0.79299617705237457</v>
      </c>
      <c r="CF60" s="26">
        <f t="shared" si="96"/>
        <v>1558122.5467784107</v>
      </c>
      <c r="CG60" s="26">
        <f t="shared" si="97"/>
        <v>0.81641740853559774</v>
      </c>
      <c r="CH60" s="26">
        <f t="shared" si="71"/>
        <v>0.7877565362814426</v>
      </c>
      <c r="CI60" s="26">
        <f t="shared" si="98"/>
        <v>1373508.2218026822</v>
      </c>
      <c r="CJ60" s="26">
        <f t="shared" si="99"/>
        <v>0.95379664109318218</v>
      </c>
      <c r="CK60" s="26">
        <f t="shared" si="72"/>
        <v>0.8552973338159553</v>
      </c>
      <c r="CL60" s="26">
        <f t="shared" si="100"/>
        <v>1525800.6207720288</v>
      </c>
      <c r="CM60" s="26">
        <f t="shared" si="101"/>
        <v>0.82591960068558223</v>
      </c>
      <c r="CN60" s="26">
        <f t="shared" si="73"/>
        <v>0.80625757828890732</v>
      </c>
      <c r="CO60" s="26">
        <f t="shared" si="102"/>
        <v>1379249.9509381927</v>
      </c>
      <c r="CP60" s="26">
        <f t="shared" si="67"/>
        <v>-2.769516875952327E-2</v>
      </c>
      <c r="CQ60" s="26">
        <f t="shared" si="103"/>
        <v>0.67355946112670551</v>
      </c>
      <c r="CR60" s="26">
        <f t="shared" si="74"/>
        <v>0.73683475857747127</v>
      </c>
      <c r="CS60" s="26">
        <f t="shared" si="104"/>
        <v>1186534.974222274</v>
      </c>
      <c r="CT60" s="26">
        <f t="shared" si="105"/>
        <v>1667494.1953187161</v>
      </c>
      <c r="CU60" s="26">
        <f t="shared" si="106"/>
        <v>1.3097093109479672</v>
      </c>
      <c r="CV60" s="26">
        <f t="shared" si="75"/>
        <v>1.2772878515785522</v>
      </c>
      <c r="CW60" s="26">
        <f t="shared" si="107"/>
        <v>2178054.2652587709</v>
      </c>
      <c r="CX60" s="26">
        <f t="shared" si="108"/>
        <v>1.4092413242662603</v>
      </c>
      <c r="CY60" s="26">
        <f t="shared" si="113"/>
        <v>1.3010275521467676</v>
      </c>
      <c r="CZ60" s="26">
        <f t="shared" si="68"/>
        <v>2555967.9545108634</v>
      </c>
      <c r="DA60" s="50">
        <v>1979</v>
      </c>
      <c r="DB60" s="50">
        <v>0.98084389398939087</v>
      </c>
      <c r="DC60" s="50">
        <v>-0.2742907967317002</v>
      </c>
      <c r="DD60" s="50">
        <v>-0.5568262845018942</v>
      </c>
      <c r="DE60" s="26">
        <f t="shared" si="86"/>
        <v>-0.12174416350035255</v>
      </c>
      <c r="DN60" s="50">
        <v>26</v>
      </c>
      <c r="DO60" s="50">
        <v>1.0471155732719055</v>
      </c>
      <c r="DP60" s="50">
        <v>-0.20474122509307768</v>
      </c>
      <c r="DQ60" s="50">
        <v>-0.48436433160713716</v>
      </c>
      <c r="DR60" s="26">
        <f t="shared" si="111"/>
        <v>-2.3290956929896423</v>
      </c>
      <c r="DZ60" s="50">
        <v>27</v>
      </c>
      <c r="EA60" s="50">
        <v>0.94728954968633383</v>
      </c>
      <c r="EB60" s="50">
        <v>-0.99107297946490636</v>
      </c>
      <c r="EC60" s="50">
        <v>-2.2426526408236107</v>
      </c>
      <c r="ED60" s="26">
        <f t="shared" si="109"/>
        <v>-0.81253603784821515</v>
      </c>
      <c r="EJ60" s="50">
        <v>29</v>
      </c>
      <c r="EK60" s="50">
        <v>0.92426247786215321</v>
      </c>
      <c r="EL60" s="50">
        <v>-0.21770938060446254</v>
      </c>
      <c r="EM60" s="50">
        <v>-0.49907983095118535</v>
      </c>
      <c r="EN60" s="26">
        <f t="shared" si="87"/>
        <v>-0.18584560276531975</v>
      </c>
      <c r="EU60" s="50">
        <v>29</v>
      </c>
      <c r="EV60" s="50">
        <v>0.91160152825814034</v>
      </c>
      <c r="EW60" s="50">
        <v>-0.20504843100044967</v>
      </c>
      <c r="EX60" s="50">
        <v>-0.47454686073550234</v>
      </c>
      <c r="EY60" s="26">
        <f t="shared" si="88"/>
        <v>-0.12988480591202897</v>
      </c>
      <c r="FF60" s="50">
        <v>28</v>
      </c>
      <c r="FG60" s="50">
        <v>0.9872160002416055</v>
      </c>
      <c r="FH60" s="50">
        <v>-0.3687066043843672</v>
      </c>
      <c r="FI60" s="50">
        <v>-0.87298889921505152</v>
      </c>
      <c r="FJ60" s="26">
        <f t="shared" si="91"/>
        <v>-0.32191729904198046</v>
      </c>
      <c r="FP60" s="50">
        <v>28</v>
      </c>
      <c r="FQ60" s="50">
        <v>1.0818552021233372</v>
      </c>
      <c r="FR60" s="50">
        <v>-0.46334580626609889</v>
      </c>
      <c r="FS60" s="50">
        <v>-1.1213373201384513</v>
      </c>
      <c r="FT60" s="26">
        <f t="shared" si="92"/>
        <v>-0.7444560418000975</v>
      </c>
      <c r="FZ60" s="50">
        <v>29</v>
      </c>
      <c r="GA60" s="50">
        <v>1.0811651839549206</v>
      </c>
      <c r="GB60" s="50">
        <v>-0.3746120866972299</v>
      </c>
      <c r="GC60" s="50">
        <v>-0.87864372342986141</v>
      </c>
      <c r="GD60" s="26">
        <f t="shared" si="89"/>
        <v>-0.38507320641242121</v>
      </c>
      <c r="GJ60" s="50">
        <v>27</v>
      </c>
      <c r="GK60" s="50">
        <v>0.94246729182971911</v>
      </c>
      <c r="GL60" s="50">
        <v>-0.98625072160829164</v>
      </c>
      <c r="GM60" s="50">
        <v>-2.409168152571064</v>
      </c>
      <c r="GT60" s="46">
        <v>28</v>
      </c>
      <c r="GU60" s="46">
        <v>1.0477877158995645</v>
      </c>
      <c r="GV60" s="46">
        <v>-0.42927832004232624</v>
      </c>
      <c r="GW60" s="46">
        <v>-1.0597420558393871</v>
      </c>
      <c r="GX60"/>
      <c r="GY60"/>
      <c r="GZ60"/>
      <c r="HA60"/>
      <c r="HB60"/>
      <c r="HD60" s="46">
        <v>28</v>
      </c>
      <c r="HE60" s="46">
        <v>-0.25909670907140647</v>
      </c>
      <c r="HF60" s="46">
        <v>0.46423738477288751</v>
      </c>
      <c r="HG60" s="46">
        <v>1.3885590955240195</v>
      </c>
      <c r="HH60"/>
      <c r="HI60"/>
      <c r="HJ60"/>
      <c r="HK60"/>
      <c r="HL60"/>
    </row>
    <row r="61" spans="1:220" s="26" customFormat="1" ht="12.75" customHeight="1" x14ac:dyDescent="0.35">
      <c r="A61" s="26" t="s">
        <v>96</v>
      </c>
      <c r="B61" s="26">
        <v>2009</v>
      </c>
      <c r="C61" s="26">
        <f>'Orig data'!G63</f>
        <v>474550</v>
      </c>
      <c r="D61" s="26">
        <f>'Orig data'!R63</f>
        <v>816921.59766111372</v>
      </c>
      <c r="E61" s="26">
        <f>'Orig data'!W63</f>
        <v>1605367.0756795239</v>
      </c>
      <c r="F61" s="26">
        <f t="shared" si="25"/>
        <v>474.55</v>
      </c>
      <c r="G61" s="26">
        <f t="shared" si="26"/>
        <v>1605.3670756795239</v>
      </c>
      <c r="H61" s="26">
        <f t="shared" si="27"/>
        <v>1.2187407304265099</v>
      </c>
      <c r="I61" s="26">
        <f t="shared" si="28"/>
        <v>342371.59766111372</v>
      </c>
      <c r="J61" s="26">
        <f t="shared" si="29"/>
        <v>0.41909970141729669</v>
      </c>
      <c r="K61" s="26">
        <f t="shared" si="30"/>
        <v>2009</v>
      </c>
      <c r="L61" s="26">
        <f>covariates!R69</f>
        <v>474550</v>
      </c>
      <c r="M61" s="26">
        <f t="shared" si="31"/>
        <v>1.6300786437820736</v>
      </c>
      <c r="N61" s="26">
        <f t="shared" si="32"/>
        <v>-7.8402249474816676E-3</v>
      </c>
      <c r="O61" s="26">
        <f t="shared" si="33"/>
        <v>1.619621167874757</v>
      </c>
      <c r="P61" s="26">
        <f t="shared" si="34"/>
        <v>474550</v>
      </c>
      <c r="Q61" s="26">
        <f t="shared" si="35"/>
        <v>1.4700171505338824</v>
      </c>
      <c r="R61" s="26">
        <f t="shared" si="36"/>
        <v>-7.8402249474816676E-3</v>
      </c>
      <c r="S61" s="26">
        <f t="shared" si="37"/>
        <v>1.619621167874757</v>
      </c>
      <c r="T61" s="26">
        <f t="shared" si="38"/>
        <v>474550</v>
      </c>
      <c r="U61" s="26">
        <f t="shared" si="39"/>
        <v>1.1368645751082371</v>
      </c>
      <c r="V61" s="26">
        <f t="shared" si="40"/>
        <v>1.619621167874757</v>
      </c>
      <c r="W61" s="26">
        <f t="shared" si="41"/>
        <v>1.6300786437820736</v>
      </c>
      <c r="X61" s="26">
        <f t="shared" si="42"/>
        <v>474550</v>
      </c>
      <c r="Y61" s="26">
        <f t="shared" si="43"/>
        <v>9.2282568154957778E-2</v>
      </c>
      <c r="Z61" s="105">
        <f t="shared" si="44"/>
        <v>1.619621167874757</v>
      </c>
      <c r="AA61" s="105">
        <f t="shared" si="45"/>
        <v>1.6300786437820736</v>
      </c>
      <c r="AB61" s="105">
        <f t="shared" si="46"/>
        <v>474550</v>
      </c>
      <c r="AC61" s="159">
        <f t="shared" si="47"/>
        <v>-0.12864918808917616</v>
      </c>
      <c r="AD61" s="105">
        <f t="shared" si="48"/>
        <v>1.619621167874757</v>
      </c>
      <c r="AE61" s="105">
        <f t="shared" si="49"/>
        <v>1.6300786437820736</v>
      </c>
      <c r="AF61" s="105">
        <f t="shared" si="50"/>
        <v>474550</v>
      </c>
      <c r="AG61" s="105">
        <f>covariates!X69</f>
        <v>-0.12864918808917616</v>
      </c>
      <c r="AH61" s="105">
        <f t="shared" si="51"/>
        <v>1.619621167874757</v>
      </c>
      <c r="AI61" s="159">
        <f t="shared" si="52"/>
        <v>-7.8402249474816676E-3</v>
      </c>
      <c r="AJ61" s="105">
        <f t="shared" si="53"/>
        <v>1.6300786437820736</v>
      </c>
      <c r="AK61" s="105"/>
      <c r="AL61" s="105"/>
      <c r="AM61" s="105"/>
      <c r="AN61" s="105"/>
      <c r="AO61" s="105"/>
      <c r="AP61" s="105">
        <f t="shared" si="54"/>
        <v>474550</v>
      </c>
      <c r="AQ61" s="105">
        <f>covariates!T69</f>
        <v>9.2282568154957778E-2</v>
      </c>
      <c r="AR61" s="105">
        <f t="shared" si="55"/>
        <v>1.619621167874757</v>
      </c>
      <c r="AS61" s="105">
        <f t="shared" si="56"/>
        <v>-7.8402249474816676E-3</v>
      </c>
      <c r="AT61" s="26">
        <f t="shared" si="57"/>
        <v>1.6300786437820736</v>
      </c>
      <c r="AU61" s="26">
        <f t="shared" si="58"/>
        <v>474550</v>
      </c>
      <c r="AV61" s="26">
        <f t="shared" si="59"/>
        <v>-0.12864918808917616</v>
      </c>
      <c r="AW61" s="26">
        <f t="shared" si="60"/>
        <v>1.619621167874757</v>
      </c>
      <c r="AX61" s="26">
        <f t="shared" si="61"/>
        <v>-7.8402249474816676E-3</v>
      </c>
      <c r="AY61" s="26">
        <f t="shared" si="62"/>
        <v>1.6300786437820736</v>
      </c>
      <c r="AZ61" s="26">
        <f t="shared" si="63"/>
        <v>1.4700171505338824</v>
      </c>
      <c r="BA61" s="61">
        <v>2009</v>
      </c>
      <c r="BB61" s="164">
        <f t="shared" si="4"/>
        <v>474550</v>
      </c>
      <c r="BC61" s="105">
        <f t="shared" si="5"/>
        <v>-0.12864918808917616</v>
      </c>
      <c r="BD61" s="105">
        <f t="shared" si="6"/>
        <v>1.619621167874757</v>
      </c>
      <c r="BE61" s="105">
        <f t="shared" si="7"/>
        <v>-7.8402249474816676E-3</v>
      </c>
      <c r="BF61" s="105">
        <f t="shared" si="8"/>
        <v>1.6300786437820736</v>
      </c>
      <c r="BG61">
        <v>303</v>
      </c>
      <c r="BH61" s="61">
        <f t="shared" si="78"/>
        <v>2009</v>
      </c>
      <c r="BI61" s="61">
        <f t="shared" si="79"/>
        <v>474550</v>
      </c>
      <c r="BJ61" s="26">
        <f t="shared" si="80"/>
        <v>-0.12864918808917616</v>
      </c>
      <c r="BK61" s="26">
        <f t="shared" si="81"/>
        <v>1.619621167874757</v>
      </c>
      <c r="BL61" s="26">
        <f t="shared" si="82"/>
        <v>-7.8402249474816676E-3</v>
      </c>
      <c r="BM61" s="26">
        <f t="shared" si="83"/>
        <v>1.6300786437820736</v>
      </c>
      <c r="BN61" s="61">
        <f t="shared" si="84"/>
        <v>303</v>
      </c>
      <c r="BO61" s="26">
        <f t="shared" si="85"/>
        <v>1.2187407304265099</v>
      </c>
      <c r="BR61" s="26">
        <f>covariates!V69</f>
        <v>1.6300786437820736</v>
      </c>
      <c r="BS61" s="26">
        <f>covariates!W69</f>
        <v>1.1368645751082371</v>
      </c>
      <c r="BT61" s="26">
        <f>covariates!Y69</f>
        <v>-7.8402249474816676E-3</v>
      </c>
      <c r="BU61" s="26">
        <f>covariates!U69</f>
        <v>1.619621167874757</v>
      </c>
      <c r="BV61" s="26">
        <f>covariates!AA69</f>
        <v>1.4700171505338824</v>
      </c>
      <c r="BW61" s="26">
        <f t="shared" si="90"/>
        <v>1.2187407304265099</v>
      </c>
      <c r="BX61" s="26">
        <f t="shared" si="76"/>
        <v>-0.76945436806962253</v>
      </c>
      <c r="BY61" s="26">
        <f t="shared" si="112"/>
        <v>-0.76057812645171086</v>
      </c>
      <c r="BZ61" s="26">
        <f t="shared" si="93"/>
        <v>2009</v>
      </c>
      <c r="CA61" s="26">
        <f t="shared" si="94"/>
        <v>0.84757572448119245</v>
      </c>
      <c r="CB61" s="26">
        <f t="shared" si="70"/>
        <v>0.79553417699987361</v>
      </c>
      <c r="CC61" s="26">
        <f t="shared" si="110"/>
        <v>867956.25380240101</v>
      </c>
      <c r="CD61" s="26">
        <f t="shared" si="95"/>
        <v>0.87428576186201423</v>
      </c>
      <c r="CE61" s="26">
        <f t="shared" si="70"/>
        <v>0.78227964510126813</v>
      </c>
      <c r="CF61" s="26">
        <f t="shared" si="96"/>
        <v>914070.57082957402</v>
      </c>
      <c r="CG61" s="26">
        <f t="shared" si="97"/>
        <v>0.85132445868504725</v>
      </c>
      <c r="CH61" s="26">
        <f t="shared" si="71"/>
        <v>0.73999066724022033</v>
      </c>
      <c r="CI61" s="26">
        <f t="shared" si="98"/>
        <v>881213.82834699214</v>
      </c>
      <c r="CJ61" s="26">
        <f t="shared" si="99"/>
        <v>0.85166693394271653</v>
      </c>
      <c r="CK61" s="26">
        <f t="shared" si="72"/>
        <v>0.80052372174078257</v>
      </c>
      <c r="CL61" s="26">
        <f t="shared" si="100"/>
        <v>867893.33383212332</v>
      </c>
      <c r="CM61" s="26">
        <f t="shared" si="101"/>
        <v>0.82691422066627984</v>
      </c>
      <c r="CN61" s="26">
        <f t="shared" si="73"/>
        <v>0.7700048871734092</v>
      </c>
      <c r="CO61" s="26">
        <f t="shared" si="102"/>
        <v>857751.23622177914</v>
      </c>
      <c r="CP61" s="26">
        <f t="shared" si="67"/>
        <v>0.62679359402762458</v>
      </c>
      <c r="CQ61" s="26">
        <f t="shared" si="103"/>
        <v>0.84920080791631003</v>
      </c>
      <c r="CR61" s="26">
        <f t="shared" si="74"/>
        <v>0.70056488899747671</v>
      </c>
      <c r="CS61" s="26">
        <f t="shared" si="104"/>
        <v>877869.86576947337</v>
      </c>
      <c r="CT61" s="26">
        <f t="shared" si="105"/>
        <v>1104531.2881987432</v>
      </c>
      <c r="CU61" s="26">
        <f t="shared" si="106"/>
        <v>1.365000584097972</v>
      </c>
      <c r="CV61" s="26">
        <f t="shared" si="75"/>
        <v>1.281620454050115</v>
      </c>
      <c r="CW61" s="26">
        <f t="shared" si="107"/>
        <v>1450121.2751826653</v>
      </c>
      <c r="CX61" s="26">
        <f t="shared" si="108"/>
        <v>1.3854285948153029</v>
      </c>
      <c r="CY61" s="26">
        <f t="shared" si="113"/>
        <v>1.2906750367329924</v>
      </c>
      <c r="CZ61" s="26">
        <f t="shared" si="68"/>
        <v>1523934.2806749931</v>
      </c>
      <c r="DA61" s="50">
        <v>1980</v>
      </c>
      <c r="DB61" s="50">
        <v>0.94456839211590216</v>
      </c>
      <c r="DC61" s="50">
        <v>-5.9970774608490096E-2</v>
      </c>
      <c r="DD61" s="50">
        <v>-0.12174416350035255</v>
      </c>
      <c r="DE61" s="26">
        <f t="shared" si="86"/>
        <v>0.96083286007082835</v>
      </c>
      <c r="DN61" s="50">
        <v>27</v>
      </c>
      <c r="DO61" s="50">
        <v>0.94072734945132297</v>
      </c>
      <c r="DP61" s="50">
        <v>-0.98451077922989549</v>
      </c>
      <c r="DQ61" s="50">
        <v>-2.3290956929896423</v>
      </c>
      <c r="DR61" s="26">
        <f t="shared" si="111"/>
        <v>-0.89833650446701452</v>
      </c>
      <c r="DZ61" s="50">
        <v>28</v>
      </c>
      <c r="EA61" s="50">
        <v>0.97758529432411001</v>
      </c>
      <c r="EB61" s="50">
        <v>-0.35907589846687171</v>
      </c>
      <c r="EC61" s="50">
        <v>-0.81253603784821515</v>
      </c>
      <c r="ED61" s="26">
        <f t="shared" si="109"/>
        <v>-0.27034802468319585</v>
      </c>
      <c r="EJ61" s="50">
        <v>30</v>
      </c>
      <c r="EK61" s="50">
        <v>0.96566747558800869</v>
      </c>
      <c r="EL61" s="50">
        <v>-8.1069858080596635E-2</v>
      </c>
      <c r="EM61" s="50">
        <v>-0.18584560276531975</v>
      </c>
      <c r="EN61" s="26">
        <f t="shared" si="87"/>
        <v>0.95383387981069778</v>
      </c>
      <c r="EU61" s="50">
        <v>30</v>
      </c>
      <c r="EV61" s="50">
        <v>0.94071994781169721</v>
      </c>
      <c r="EW61" s="50">
        <v>-5.6122330304285151E-2</v>
      </c>
      <c r="EX61" s="50">
        <v>-0.12988480591202897</v>
      </c>
      <c r="EY61" s="26">
        <f t="shared" si="88"/>
        <v>0.9576605567693327</v>
      </c>
      <c r="FF61" s="50">
        <v>29</v>
      </c>
      <c r="FG61" s="50">
        <v>0.84251477366512084</v>
      </c>
      <c r="FH61" s="50">
        <v>-0.13596167640743018</v>
      </c>
      <c r="FI61" s="50">
        <v>-0.32191729904198046</v>
      </c>
      <c r="FJ61" s="26">
        <f t="shared" si="91"/>
        <v>0.14452431039490185</v>
      </c>
      <c r="FP61" s="50">
        <v>29</v>
      </c>
      <c r="FQ61" s="50">
        <v>1.014168458596904</v>
      </c>
      <c r="FR61" s="50">
        <v>-0.3076153613392133</v>
      </c>
      <c r="FS61" s="50">
        <v>-0.7444560418000975</v>
      </c>
      <c r="FT61" s="26">
        <f t="shared" si="92"/>
        <v>-9.1877483694581041E-2</v>
      </c>
      <c r="FZ61" s="50">
        <v>30</v>
      </c>
      <c r="GA61" s="50">
        <v>1.0487746024885896</v>
      </c>
      <c r="GB61" s="50">
        <v>-0.1641769849811775</v>
      </c>
      <c r="GC61" s="50">
        <v>-0.38507320641242121</v>
      </c>
      <c r="GD61" s="26">
        <f t="shared" si="89"/>
        <v>0.68948589261845938</v>
      </c>
      <c r="GJ61" s="50">
        <v>28</v>
      </c>
      <c r="GK61" s="50">
        <v>1.076250029408949</v>
      </c>
      <c r="GL61" s="50">
        <v>-0.45774063355171069</v>
      </c>
      <c r="GM61" s="50">
        <v>-1.1181478830171858</v>
      </c>
      <c r="GT61" s="46">
        <v>29</v>
      </c>
      <c r="GU61" s="46">
        <v>0.97082980934183505</v>
      </c>
      <c r="GV61" s="46">
        <v>-0.26427671208414438</v>
      </c>
      <c r="GW61" s="46">
        <v>-0.6524092484961993</v>
      </c>
      <c r="GX61"/>
      <c r="GY61"/>
      <c r="GZ61"/>
      <c r="HA61"/>
      <c r="HB61"/>
      <c r="HD61" s="46">
        <v>29</v>
      </c>
      <c r="HE61" s="46">
        <v>-0.13358958378355323</v>
      </c>
      <c r="HF61" s="46">
        <v>1.0855042664563344E-2</v>
      </c>
      <c r="HG61" s="46">
        <v>3.2468018988937336E-2</v>
      </c>
      <c r="HH61"/>
      <c r="HI61"/>
      <c r="HJ61"/>
      <c r="HK61"/>
      <c r="HL61"/>
    </row>
    <row r="62" spans="1:220" s="26" customFormat="1" ht="12.75" customHeight="1" x14ac:dyDescent="0.35">
      <c r="A62" s="26" t="s">
        <v>96</v>
      </c>
      <c r="B62" s="26">
        <v>2010</v>
      </c>
      <c r="C62" s="26">
        <f>'Orig data'!G64</f>
        <v>608718</v>
      </c>
      <c r="D62" s="26">
        <f>'Orig data'!R64</f>
        <v>661736.70499843312</v>
      </c>
      <c r="E62" s="26">
        <f>'Orig data'!W64</f>
        <v>1596985.3916231559</v>
      </c>
      <c r="F62" s="26">
        <f t="shared" si="25"/>
        <v>608.71799999999996</v>
      </c>
      <c r="G62" s="26">
        <f t="shared" si="26"/>
        <v>1596.9853916231559</v>
      </c>
      <c r="H62" s="26">
        <f t="shared" si="27"/>
        <v>0.96451789450628955</v>
      </c>
      <c r="I62" s="26">
        <f t="shared" si="28"/>
        <v>53018.704998433124</v>
      </c>
      <c r="J62" s="26">
        <f t="shared" si="29"/>
        <v>8.0120544316124434E-2</v>
      </c>
      <c r="K62" s="26">
        <f t="shared" si="30"/>
        <v>2010</v>
      </c>
      <c r="L62" s="26">
        <f>covariates!R70</f>
        <v>608718</v>
      </c>
      <c r="M62" s="26">
        <f t="shared" si="31"/>
        <v>1.818732514903282</v>
      </c>
      <c r="N62" s="26">
        <f t="shared" si="32"/>
        <v>-1.4292824539800555</v>
      </c>
      <c r="O62" s="26">
        <f t="shared" si="33"/>
        <v>0.53238587626396305</v>
      </c>
      <c r="P62" s="26">
        <f t="shared" si="34"/>
        <v>608718</v>
      </c>
      <c r="Q62" s="26">
        <f t="shared" si="35"/>
        <v>1.8394233461665928</v>
      </c>
      <c r="R62" s="26">
        <f t="shared" si="36"/>
        <v>-1.4292824539800555</v>
      </c>
      <c r="S62" s="26">
        <f t="shared" si="37"/>
        <v>0.53238587626396305</v>
      </c>
      <c r="T62" s="26">
        <f t="shared" si="38"/>
        <v>608718</v>
      </c>
      <c r="U62" s="26">
        <f t="shared" si="39"/>
        <v>2.4780052913326007</v>
      </c>
      <c r="V62" s="26">
        <f t="shared" si="40"/>
        <v>0.53238587626396305</v>
      </c>
      <c r="W62" s="26">
        <f t="shared" si="41"/>
        <v>1.818732514903282</v>
      </c>
      <c r="X62" s="26">
        <f t="shared" si="42"/>
        <v>608718</v>
      </c>
      <c r="Y62" s="26">
        <f t="shared" si="43"/>
        <v>-0.71113225259113921</v>
      </c>
      <c r="Z62" s="105">
        <f t="shared" si="44"/>
        <v>0.53238587626396305</v>
      </c>
      <c r="AA62" s="105">
        <f t="shared" si="45"/>
        <v>1.818732514903282</v>
      </c>
      <c r="AB62" s="105">
        <f t="shared" si="46"/>
        <v>608718</v>
      </c>
      <c r="AC62" s="159">
        <f t="shared" si="47"/>
        <v>1.7651058721613537</v>
      </c>
      <c r="AD62" s="105">
        <f t="shared" si="48"/>
        <v>0.53238587626396305</v>
      </c>
      <c r="AE62" s="105">
        <f t="shared" si="49"/>
        <v>1.818732514903282</v>
      </c>
      <c r="AF62" s="105">
        <f t="shared" si="50"/>
        <v>608718</v>
      </c>
      <c r="AG62" s="105">
        <f>covariates!X70</f>
        <v>1.7651058721613537</v>
      </c>
      <c r="AH62" s="105">
        <f t="shared" si="51"/>
        <v>0.53238587626396305</v>
      </c>
      <c r="AI62" s="159">
        <f t="shared" si="52"/>
        <v>-1.4292824539800555</v>
      </c>
      <c r="AJ62" s="105">
        <f t="shared" si="53"/>
        <v>1.818732514903282</v>
      </c>
      <c r="AK62" s="105"/>
      <c r="AL62" s="105"/>
      <c r="AM62" s="105"/>
      <c r="AN62" s="105"/>
      <c r="AO62" s="105"/>
      <c r="AP62" s="105">
        <f t="shared" si="54"/>
        <v>608718</v>
      </c>
      <c r="AQ62" s="105">
        <f>covariates!T70</f>
        <v>-0.71113225259113921</v>
      </c>
      <c r="AR62" s="105">
        <f t="shared" si="55"/>
        <v>0.53238587626396305</v>
      </c>
      <c r="AS62" s="105">
        <f t="shared" si="56"/>
        <v>-1.4292824539800555</v>
      </c>
      <c r="AT62" s="26">
        <f t="shared" si="57"/>
        <v>1.818732514903282</v>
      </c>
      <c r="AU62" s="26">
        <f t="shared" si="58"/>
        <v>608718</v>
      </c>
      <c r="AV62" s="26">
        <f t="shared" si="59"/>
        <v>1.7651058721613537</v>
      </c>
      <c r="AW62" s="26">
        <f t="shared" si="60"/>
        <v>0.53238587626396305</v>
      </c>
      <c r="AX62" s="26">
        <f t="shared" si="61"/>
        <v>-1.4292824539800555</v>
      </c>
      <c r="AY62" s="26">
        <f t="shared" si="62"/>
        <v>1.818732514903282</v>
      </c>
      <c r="AZ62" s="26">
        <f t="shared" si="63"/>
        <v>1.8394233461665928</v>
      </c>
      <c r="BA62" s="61">
        <v>2010</v>
      </c>
      <c r="BB62" s="164">
        <f t="shared" si="4"/>
        <v>608718</v>
      </c>
      <c r="BC62" s="105">
        <f t="shared" si="5"/>
        <v>1.7651058721613537</v>
      </c>
      <c r="BD62" s="105">
        <f t="shared" si="6"/>
        <v>0.53238587626396305</v>
      </c>
      <c r="BE62" s="105">
        <f t="shared" si="7"/>
        <v>-1.4292824539800555</v>
      </c>
      <c r="BF62" s="105">
        <f t="shared" si="8"/>
        <v>1.818732514903282</v>
      </c>
      <c r="BG62">
        <v>308</v>
      </c>
      <c r="BH62" s="61">
        <f t="shared" si="78"/>
        <v>2010</v>
      </c>
      <c r="BI62" s="61">
        <f t="shared" si="79"/>
        <v>608718</v>
      </c>
      <c r="BJ62" s="26">
        <f t="shared" si="80"/>
        <v>1.7651058721613537</v>
      </c>
      <c r="BK62" s="26">
        <f t="shared" si="81"/>
        <v>0.53238587626396305</v>
      </c>
      <c r="BL62" s="26">
        <f t="shared" si="82"/>
        <v>-1.4292824539800555</v>
      </c>
      <c r="BM62" s="26">
        <f t="shared" si="83"/>
        <v>1.818732514903282</v>
      </c>
      <c r="BN62" s="61">
        <f t="shared" si="84"/>
        <v>308</v>
      </c>
      <c r="BO62" s="26">
        <f t="shared" si="85"/>
        <v>0.96451789450628955</v>
      </c>
      <c r="BR62" s="26">
        <f>covariates!V70</f>
        <v>1.818732514903282</v>
      </c>
      <c r="BS62" s="26">
        <f>covariates!W70</f>
        <v>2.4780052913326007</v>
      </c>
      <c r="BT62" s="26">
        <f>covariates!Y70</f>
        <v>-1.4292824539800555</v>
      </c>
      <c r="BU62" s="26">
        <f>covariates!U70</f>
        <v>0.53238587626396305</v>
      </c>
      <c r="BV62" s="26">
        <f>covariates!AA70</f>
        <v>1.8394233461665928</v>
      </c>
      <c r="BW62" s="26">
        <f t="shared" si="90"/>
        <v>0.96451789450628955</v>
      </c>
      <c r="BX62" s="26">
        <f t="shared" si="76"/>
        <v>-0.76945436806962253</v>
      </c>
      <c r="BY62" s="26">
        <f t="shared" si="112"/>
        <v>-0.76057812645171086</v>
      </c>
      <c r="BZ62" s="26">
        <f t="shared" si="93"/>
        <v>2010</v>
      </c>
      <c r="CA62" s="26">
        <f t="shared" si="94"/>
        <v>0.83690528613988813</v>
      </c>
      <c r="CB62" s="26">
        <f>AVERAGE(CA57:CA66)</f>
        <v>0.73312645347126359</v>
      </c>
      <c r="CC62" s="26">
        <f t="shared" si="110"/>
        <v>1028163.8379420763</v>
      </c>
      <c r="CD62" s="26">
        <f t="shared" si="95"/>
        <v>0.81336739440923089</v>
      </c>
      <c r="CE62" s="26">
        <f>AVERAGE(CD57:CD66)</f>
        <v>0.7473096509331898</v>
      </c>
      <c r="CF62" s="26">
        <f t="shared" si="96"/>
        <v>1037046.9353960087</v>
      </c>
      <c r="CG62" s="26">
        <f t="shared" si="97"/>
        <v>0.76738256137804139</v>
      </c>
      <c r="CH62" s="26">
        <f>AVERAGE(CG57:CG66)</f>
        <v>0.69476532633315491</v>
      </c>
      <c r="CI62" s="26">
        <f t="shared" si="98"/>
        <v>973252.27938997163</v>
      </c>
      <c r="CJ62" s="26">
        <f t="shared" si="99"/>
        <v>0.83254633748313434</v>
      </c>
      <c r="CK62" s="26">
        <f>AVERAGE(CJ57:CJ66)</f>
        <v>0.73677278244514011</v>
      </c>
      <c r="CL62" s="26">
        <f t="shared" si="100"/>
        <v>1018239.0219371828</v>
      </c>
      <c r="CM62" s="26">
        <f t="shared" si="101"/>
        <v>0.99966341016454185</v>
      </c>
      <c r="CN62" s="26">
        <f>AVERAGE(CM57:CM66)</f>
        <v>0.72187609503745609</v>
      </c>
      <c r="CO62" s="26">
        <f t="shared" si="102"/>
        <v>1223682.3871691148</v>
      </c>
      <c r="CP62" s="26">
        <f t="shared" si="67"/>
        <v>0.26625305899369245</v>
      </c>
      <c r="CQ62" s="26">
        <f t="shared" si="103"/>
        <v>0.88084788113507262</v>
      </c>
      <c r="CR62" s="26">
        <f>AVERAGE(CQ57:CQ66)</f>
        <v>0.67525061414166576</v>
      </c>
      <c r="CS62" s="26">
        <f t="shared" si="104"/>
        <v>1087847.0732471221</v>
      </c>
      <c r="CT62" s="26">
        <f t="shared" si="105"/>
        <v>1303479.3569047826</v>
      </c>
      <c r="CU62" s="26">
        <f t="shared" si="106"/>
        <v>1.5800547033294516</v>
      </c>
      <c r="CV62" s="26">
        <f>AVERAGE(CU57:CU66)</f>
        <v>1.278705534323155</v>
      </c>
      <c r="CW62" s="26">
        <f t="shared" si="107"/>
        <v>2150247.7155350014</v>
      </c>
      <c r="CX62" s="26">
        <f t="shared" si="108"/>
        <v>1.4091599759271132</v>
      </c>
      <c r="CY62" s="26">
        <f t="shared" si="113"/>
        <v>1.2771282993221307</v>
      </c>
      <c r="CZ62" s="26">
        <f t="shared" si="68"/>
        <v>1881688.9862932796</v>
      </c>
      <c r="DA62" s="50">
        <v>1981</v>
      </c>
      <c r="DB62" s="50">
        <v>0.86814544133201477</v>
      </c>
      <c r="DC62" s="50">
        <v>0.47330310736063896</v>
      </c>
      <c r="DD62" s="50">
        <v>0.96083286007082835</v>
      </c>
      <c r="DE62" s="26">
        <f t="shared" si="86"/>
        <v>1.1429867702319911</v>
      </c>
      <c r="DN62" s="50">
        <v>28</v>
      </c>
      <c r="DO62" s="50">
        <v>0.9982370191942731</v>
      </c>
      <c r="DP62" s="50">
        <v>-0.3797276233370348</v>
      </c>
      <c r="DQ62" s="50">
        <v>-0.89833650446701452</v>
      </c>
      <c r="DR62" s="26">
        <f t="shared" si="111"/>
        <v>-0.34384177202393917</v>
      </c>
      <c r="DZ62" s="50">
        <v>29</v>
      </c>
      <c r="EA62" s="50">
        <v>0.82602528721610902</v>
      </c>
      <c r="EB62" s="50">
        <v>-0.11947218995841835</v>
      </c>
      <c r="EC62" s="50">
        <v>-0.27034802468319585</v>
      </c>
      <c r="ED62" s="26">
        <f t="shared" si="109"/>
        <v>0.13669998437422637</v>
      </c>
      <c r="EJ62" s="50">
        <v>31</v>
      </c>
      <c r="EK62" s="50">
        <v>0.92536564913454811</v>
      </c>
      <c r="EL62" s="50">
        <v>0.41608289955810562</v>
      </c>
      <c r="EM62" s="50">
        <v>0.95383387981069778</v>
      </c>
      <c r="EN62" s="26">
        <f t="shared" si="87"/>
        <v>1.0291908498708564</v>
      </c>
      <c r="EU62" s="50">
        <v>31</v>
      </c>
      <c r="EV62" s="50">
        <v>0.92765001614685005</v>
      </c>
      <c r="EW62" s="50">
        <v>0.41379853254580368</v>
      </c>
      <c r="EX62" s="50">
        <v>0.9576605567693327</v>
      </c>
      <c r="EY62" s="26">
        <f t="shared" si="88"/>
        <v>1.3020928357793387</v>
      </c>
      <c r="FF62" s="50">
        <v>30</v>
      </c>
      <c r="FG62" s="50">
        <v>0.82355781759173197</v>
      </c>
      <c r="FH62" s="50">
        <v>6.1039799915680093E-2</v>
      </c>
      <c r="FI62" s="50">
        <v>0.14452431039490185</v>
      </c>
      <c r="FJ62" s="26">
        <f t="shared" si="91"/>
        <v>1.0770876668200657</v>
      </c>
      <c r="FP62" s="50">
        <v>30</v>
      </c>
      <c r="FQ62" s="50">
        <v>0.9225621496741554</v>
      </c>
      <c r="FR62" s="50">
        <v>-3.7964532166743337E-2</v>
      </c>
      <c r="FS62" s="50">
        <v>-9.1877483694581041E-2</v>
      </c>
      <c r="FT62" s="26">
        <f t="shared" si="92"/>
        <v>0.81539652159513287</v>
      </c>
      <c r="FZ62" s="50">
        <v>31</v>
      </c>
      <c r="GA62" s="50">
        <v>1.047484405895563</v>
      </c>
      <c r="GB62" s="50">
        <v>0.29396414279709071</v>
      </c>
      <c r="GC62" s="50">
        <v>0.68948589261845938</v>
      </c>
      <c r="GD62" s="26">
        <f t="shared" si="89"/>
        <v>0.65038310270878708</v>
      </c>
      <c r="GJ62" s="50">
        <v>29</v>
      </c>
      <c r="GK62" s="50">
        <v>1.0241623413159493</v>
      </c>
      <c r="GL62" s="50">
        <v>-0.31760924405825863</v>
      </c>
      <c r="GM62" s="50">
        <v>-0.77584133423958157</v>
      </c>
      <c r="GT62" s="46">
        <v>30</v>
      </c>
      <c r="GU62" s="46">
        <v>0.9280538812921002</v>
      </c>
      <c r="GV62" s="46">
        <v>-4.3456263784688143E-2</v>
      </c>
      <c r="GW62" s="46">
        <v>-0.10727872378400898</v>
      </c>
      <c r="GX62"/>
      <c r="GY62"/>
      <c r="GZ62"/>
      <c r="HA62"/>
      <c r="HB62"/>
      <c r="HD62" s="46">
        <v>30</v>
      </c>
      <c r="HE62" s="46">
        <v>-1.0870017242044834</v>
      </c>
      <c r="HF62" s="46">
        <v>0.33044246457910786</v>
      </c>
      <c r="HG62" s="46">
        <v>0.98837126174826562</v>
      </c>
      <c r="HH62"/>
      <c r="HI62"/>
      <c r="HJ62"/>
      <c r="HK62"/>
      <c r="HL62"/>
    </row>
    <row r="63" spans="1:220" s="26" customFormat="1" ht="12.75" customHeight="1" x14ac:dyDescent="0.35">
      <c r="A63" s="26" t="s">
        <v>96</v>
      </c>
      <c r="B63" s="26">
        <v>2011</v>
      </c>
      <c r="C63" s="26">
        <f>'Orig data'!G65</f>
        <v>1079068</v>
      </c>
      <c r="D63" s="26">
        <f>'Orig data'!R65</f>
        <v>1420924.6212415406</v>
      </c>
      <c r="E63" s="26">
        <f>'Orig data'!W65</f>
        <v>1137157.6669372031</v>
      </c>
      <c r="F63" s="26">
        <f t="shared" si="25"/>
        <v>1079.068</v>
      </c>
      <c r="G63" s="26">
        <f t="shared" si="26"/>
        <v>1137.1576669372032</v>
      </c>
      <c r="H63" s="26">
        <f t="shared" si="27"/>
        <v>5.2434168798394749E-2</v>
      </c>
      <c r="I63" s="26">
        <f t="shared" si="28"/>
        <v>341856.62124154065</v>
      </c>
      <c r="J63" s="26">
        <f t="shared" si="29"/>
        <v>0.24058744294460993</v>
      </c>
      <c r="K63" s="26">
        <f t="shared" si="30"/>
        <v>2011</v>
      </c>
      <c r="L63" s="26">
        <f>covariates!R71</f>
        <v>1079068</v>
      </c>
      <c r="M63" s="26">
        <f t="shared" si="31"/>
        <v>2.00779931803616</v>
      </c>
      <c r="N63" s="26">
        <f t="shared" si="32"/>
        <v>-1.8573776282208598</v>
      </c>
      <c r="O63" s="26">
        <f t="shared" si="33"/>
        <v>0.5570957692551175</v>
      </c>
      <c r="P63" s="26">
        <f t="shared" si="34"/>
        <v>1079068</v>
      </c>
      <c r="Q63" s="26">
        <f t="shared" si="35"/>
        <v>1.7290580014793986</v>
      </c>
      <c r="R63" s="26">
        <f t="shared" si="36"/>
        <v>-1.8573776282208598</v>
      </c>
      <c r="S63" s="26">
        <f t="shared" si="37"/>
        <v>0.5570957692551175</v>
      </c>
      <c r="T63" s="26">
        <f t="shared" si="38"/>
        <v>1079068</v>
      </c>
      <c r="U63" s="26">
        <f t="shared" si="39"/>
        <v>2.4856759290252697</v>
      </c>
      <c r="V63" s="26">
        <f t="shared" si="40"/>
        <v>0.5570957692551175</v>
      </c>
      <c r="W63" s="26">
        <f t="shared" si="41"/>
        <v>2.00779931803616</v>
      </c>
      <c r="X63" s="26">
        <f t="shared" si="42"/>
        <v>1079068</v>
      </c>
      <c r="Y63" s="26">
        <f t="shared" si="43"/>
        <v>-0.86798943187966149</v>
      </c>
      <c r="Z63" s="105">
        <f t="shared" si="44"/>
        <v>0.5570957692551175</v>
      </c>
      <c r="AA63" s="105">
        <f t="shared" si="45"/>
        <v>2.00779931803616</v>
      </c>
      <c r="AB63" s="105">
        <f t="shared" si="46"/>
        <v>1079068</v>
      </c>
      <c r="AC63" s="159">
        <f t="shared" si="47"/>
        <v>1.3073690584214468</v>
      </c>
      <c r="AD63" s="105">
        <f t="shared" si="48"/>
        <v>0.5570957692551175</v>
      </c>
      <c r="AE63" s="105">
        <f t="shared" si="49"/>
        <v>2.00779931803616</v>
      </c>
      <c r="AF63" s="105">
        <f t="shared" si="50"/>
        <v>1079068</v>
      </c>
      <c r="AG63" s="105">
        <f>covariates!X71</f>
        <v>1.3073690584214468</v>
      </c>
      <c r="AH63" s="105">
        <f t="shared" si="51"/>
        <v>0.5570957692551175</v>
      </c>
      <c r="AI63" s="159">
        <f t="shared" si="52"/>
        <v>-1.8573776282208598</v>
      </c>
      <c r="AJ63" s="105">
        <f t="shared" si="53"/>
        <v>2.00779931803616</v>
      </c>
      <c r="AK63" s="105"/>
      <c r="AL63" s="105"/>
      <c r="AM63" s="105"/>
      <c r="AN63" s="105"/>
      <c r="AO63" s="105"/>
      <c r="AP63" s="105">
        <f t="shared" si="54"/>
        <v>1079068</v>
      </c>
      <c r="AQ63" s="105">
        <f>covariates!T71</f>
        <v>-0.86798943187966149</v>
      </c>
      <c r="AR63" s="105">
        <f t="shared" si="55"/>
        <v>0.5570957692551175</v>
      </c>
      <c r="AS63" s="105">
        <f t="shared" si="56"/>
        <v>-1.8573776282208598</v>
      </c>
      <c r="AT63" s="26">
        <f t="shared" si="57"/>
        <v>2.00779931803616</v>
      </c>
      <c r="AU63" s="26">
        <f t="shared" si="58"/>
        <v>1079068</v>
      </c>
      <c r="AV63" s="26">
        <f t="shared" si="59"/>
        <v>1.3073690584214468</v>
      </c>
      <c r="AW63" s="26">
        <f t="shared" si="60"/>
        <v>0.5570957692551175</v>
      </c>
      <c r="AX63" s="26">
        <f t="shared" si="61"/>
        <v>-1.8573776282208598</v>
      </c>
      <c r="AY63" s="26">
        <f t="shared" si="62"/>
        <v>2.00779931803616</v>
      </c>
      <c r="AZ63" s="26">
        <f t="shared" si="63"/>
        <v>1.7290580014793986</v>
      </c>
      <c r="BA63" s="61">
        <v>2011</v>
      </c>
      <c r="BB63" s="164">
        <f t="shared" si="4"/>
        <v>1079068</v>
      </c>
      <c r="BC63" s="105">
        <f t="shared" si="5"/>
        <v>1.3073690584214468</v>
      </c>
      <c r="BD63" s="105">
        <f t="shared" si="6"/>
        <v>0.5570957692551175</v>
      </c>
      <c r="BE63" s="105">
        <f t="shared" si="7"/>
        <v>-1.8573776282208598</v>
      </c>
      <c r="BF63" s="105">
        <f t="shared" si="8"/>
        <v>2.00779931803616</v>
      </c>
      <c r="BG63">
        <v>311</v>
      </c>
      <c r="BH63" s="61">
        <f t="shared" si="78"/>
        <v>2011</v>
      </c>
      <c r="BI63" s="61">
        <f t="shared" si="79"/>
        <v>1079068</v>
      </c>
      <c r="BJ63" s="26">
        <f t="shared" si="80"/>
        <v>1.3073690584214468</v>
      </c>
      <c r="BK63" s="26">
        <f t="shared" si="81"/>
        <v>0.5570957692551175</v>
      </c>
      <c r="BL63" s="26">
        <f t="shared" si="82"/>
        <v>-1.8573776282208598</v>
      </c>
      <c r="BM63" s="26">
        <f t="shared" si="83"/>
        <v>2.00779931803616</v>
      </c>
      <c r="BN63" s="61">
        <f t="shared" si="84"/>
        <v>311</v>
      </c>
      <c r="BO63" s="26">
        <f t="shared" si="85"/>
        <v>5.2434168798394749E-2</v>
      </c>
      <c r="BR63" s="26">
        <f>covariates!V71</f>
        <v>2.00779931803616</v>
      </c>
      <c r="BS63" s="26">
        <f>covariates!W71</f>
        <v>2.4856759290252697</v>
      </c>
      <c r="BT63" s="26">
        <f>covariates!Y71</f>
        <v>-1.8573776282208598</v>
      </c>
      <c r="BU63" s="26">
        <f>covariates!U71</f>
        <v>0.5570957692551175</v>
      </c>
      <c r="BV63" s="26">
        <f>covariates!AA71</f>
        <v>1.7290580014793986</v>
      </c>
      <c r="BW63" s="26">
        <f t="shared" si="90"/>
        <v>5.2434168798394749E-2</v>
      </c>
      <c r="BX63" s="26">
        <f t="shared" si="76"/>
        <v>-0.76945436806962253</v>
      </c>
      <c r="BY63" s="26">
        <f t="shared" si="112"/>
        <v>-0.76057812645171086</v>
      </c>
      <c r="BZ63" s="26">
        <f t="shared" si="93"/>
        <v>2011</v>
      </c>
      <c r="CA63" s="26">
        <f t="shared" si="94"/>
        <v>0.8421657406219355</v>
      </c>
      <c r="CB63" s="26">
        <f>AVERAGE(CA58:CA67)</f>
        <v>0.6883113094565263</v>
      </c>
      <c r="CC63" s="26">
        <f t="shared" si="110"/>
        <v>1438914.8136401081</v>
      </c>
      <c r="CD63" s="26">
        <f t="shared" si="95"/>
        <v>0.88941889046104494</v>
      </c>
      <c r="CE63" s="26">
        <f>AVERAGE(CD58:CD67)</f>
        <v>0.7326310991631183</v>
      </c>
      <c r="CF63" s="26">
        <f t="shared" si="96"/>
        <v>1596985.188299523</v>
      </c>
      <c r="CG63" s="26">
        <f t="shared" si="97"/>
        <v>0.743096818107295</v>
      </c>
      <c r="CH63" s="26">
        <f>AVERAGE(CG58:CG67)</f>
        <v>0.65086450048423039</v>
      </c>
      <c r="CI63" s="26">
        <f t="shared" si="98"/>
        <v>1337451.345840883</v>
      </c>
      <c r="CJ63" s="26">
        <f t="shared" si="99"/>
        <v>0.83878870380473158</v>
      </c>
      <c r="CK63" s="26">
        <f>AVERAGE(CJ58:CJ67)</f>
        <v>0.69514576181290055</v>
      </c>
      <c r="CL63" s="26">
        <f t="shared" si="100"/>
        <v>1420550.457667677</v>
      </c>
      <c r="CM63" s="26">
        <f t="shared" si="101"/>
        <v>0.96261283681662935</v>
      </c>
      <c r="CN63" s="26">
        <f>AVERAGE(CM58:CM67)</f>
        <v>0.67481417414611389</v>
      </c>
      <c r="CO63" s="26">
        <f t="shared" si="102"/>
        <v>1656032.1289564201</v>
      </c>
      <c r="CP63" s="26">
        <f t="shared" si="67"/>
        <v>-0.37589258291392547</v>
      </c>
      <c r="CQ63" s="26">
        <f t="shared" si="103"/>
        <v>0.79751095639065461</v>
      </c>
      <c r="CR63" s="26">
        <f>AVERAGE(CQ58:CQ67)</f>
        <v>0.64333734144940424</v>
      </c>
      <c r="CS63" s="26">
        <f t="shared" si="104"/>
        <v>1406864.8738817817</v>
      </c>
      <c r="CT63" s="26">
        <f t="shared" si="105"/>
        <v>1725055.512929101</v>
      </c>
      <c r="CU63" s="26">
        <f t="shared" si="106"/>
        <v>1.5854016581842949</v>
      </c>
      <c r="CV63" s="26">
        <f>AVERAGE(CU58:CU67)</f>
        <v>1.2730034385533437</v>
      </c>
      <c r="CW63" s="26">
        <f t="shared" si="107"/>
        <v>2997136.6926537724</v>
      </c>
      <c r="CX63" s="26">
        <f t="shared" si="108"/>
        <v>1.4599211579872677</v>
      </c>
      <c r="CY63" s="26">
        <f t="shared" si="113"/>
        <v>1.2776133335236375</v>
      </c>
      <c r="CZ63" s="26">
        <f t="shared" si="68"/>
        <v>2825314.9977572509</v>
      </c>
      <c r="DA63" s="50">
        <v>1982</v>
      </c>
      <c r="DB63" s="50">
        <v>0.93684562566192686</v>
      </c>
      <c r="DC63" s="50">
        <v>0.56303152452865057</v>
      </c>
      <c r="DD63" s="50">
        <v>1.1429867702319911</v>
      </c>
      <c r="DE63" s="26">
        <f t="shared" si="86"/>
        <v>-0.63946731523720035</v>
      </c>
      <c r="DN63" s="50">
        <v>29</v>
      </c>
      <c r="DO63" s="50">
        <v>0.85189531394976448</v>
      </c>
      <c r="DP63" s="50">
        <v>-0.14534221669207381</v>
      </c>
      <c r="DQ63" s="50">
        <v>-0.34384177202393917</v>
      </c>
      <c r="DR63" s="26">
        <f t="shared" si="111"/>
        <v>0.11720045825244996</v>
      </c>
      <c r="DZ63" s="50">
        <v>30</v>
      </c>
      <c r="EA63" s="50">
        <v>0.8241871650189625</v>
      </c>
      <c r="EB63" s="50">
        <v>6.0410452488449562E-2</v>
      </c>
      <c r="EC63" s="50">
        <v>0.13669998437422637</v>
      </c>
      <c r="ED63" s="26">
        <f t="shared" si="109"/>
        <v>1.0076472347401799</v>
      </c>
      <c r="EJ63" s="50">
        <v>32</v>
      </c>
      <c r="EK63" s="50">
        <v>1.0509219158703988</v>
      </c>
      <c r="EL63" s="50">
        <v>0.44895523432017859</v>
      </c>
      <c r="EM63" s="50">
        <v>1.0291908498708564</v>
      </c>
      <c r="EN63" s="26">
        <f t="shared" si="87"/>
        <v>-0.85657298603829202</v>
      </c>
      <c r="EU63" s="50">
        <v>32</v>
      </c>
      <c r="EV63" s="50">
        <v>0.93725180149547216</v>
      </c>
      <c r="EW63" s="50">
        <v>0.56262534869510528</v>
      </c>
      <c r="EX63" s="50">
        <v>1.3020928357793387</v>
      </c>
      <c r="EY63" s="26">
        <f t="shared" si="88"/>
        <v>-0.74485956767055994</v>
      </c>
      <c r="FF63" s="50">
        <v>31</v>
      </c>
      <c r="FG63" s="50">
        <v>0.88654088994168201</v>
      </c>
      <c r="FH63" s="50">
        <v>0.45490765875097172</v>
      </c>
      <c r="FI63" s="50">
        <v>1.0770876668200657</v>
      </c>
      <c r="FJ63" s="26">
        <f t="shared" si="91"/>
        <v>1.1921228328483313</v>
      </c>
      <c r="FP63" s="50">
        <v>31</v>
      </c>
      <c r="FQ63" s="50">
        <v>1.0045199974531203</v>
      </c>
      <c r="FR63" s="50">
        <v>0.33692855123953347</v>
      </c>
      <c r="FS63" s="50">
        <v>0.81539652159513287</v>
      </c>
      <c r="FT63" s="26">
        <f t="shared" si="92"/>
        <v>0.89790463010644561</v>
      </c>
      <c r="FZ63" s="50">
        <v>32</v>
      </c>
      <c r="GA63" s="50">
        <v>1.2225845857968065</v>
      </c>
      <c r="GB63" s="50">
        <v>0.27729256439377092</v>
      </c>
      <c r="GC63" s="50">
        <v>0.65038310270878708</v>
      </c>
      <c r="GD63" s="26">
        <f t="shared" si="89"/>
        <v>-1.1064150735825351</v>
      </c>
      <c r="GJ63" s="50">
        <v>30</v>
      </c>
      <c r="GK63" s="50">
        <v>0.91926407565685142</v>
      </c>
      <c r="GL63" s="50">
        <v>-3.4666458149439361E-2</v>
      </c>
      <c r="GM63" s="50">
        <v>-8.4681638356496364E-2</v>
      </c>
      <c r="GT63" s="46">
        <v>31</v>
      </c>
      <c r="GU63" s="46">
        <v>1.0113110884870931</v>
      </c>
      <c r="GV63" s="46">
        <v>0.33013746020556067</v>
      </c>
      <c r="GW63" s="46">
        <v>0.8149970181427727</v>
      </c>
      <c r="GX63"/>
      <c r="GY63"/>
      <c r="GZ63"/>
      <c r="HA63"/>
      <c r="HB63"/>
      <c r="HD63" s="46">
        <v>31</v>
      </c>
      <c r="HE63" s="46">
        <v>-7.8544878952576447E-2</v>
      </c>
      <c r="HF63" s="46">
        <v>-0.39787434373247543</v>
      </c>
      <c r="HG63" s="46">
        <v>-1.190063654902884</v>
      </c>
      <c r="HH63"/>
      <c r="HI63"/>
      <c r="HJ63"/>
      <c r="HK63"/>
      <c r="HL63"/>
    </row>
    <row r="64" spans="1:220" s="26" customFormat="1" ht="12.75" customHeight="1" x14ac:dyDescent="0.35">
      <c r="A64" s="26" t="s">
        <v>96</v>
      </c>
      <c r="B64" s="26">
        <v>2012</v>
      </c>
      <c r="C64" s="26">
        <f>'Orig data'!G66</f>
        <v>1381072</v>
      </c>
      <c r="D64" s="26">
        <f>'Orig data'!R66</f>
        <v>1702019.9096711003</v>
      </c>
      <c r="E64" s="26">
        <f>'Orig data'!W66</f>
        <v>3027578.7899983842</v>
      </c>
      <c r="F64" s="26">
        <f t="shared" si="25"/>
        <v>1381.0719999999999</v>
      </c>
      <c r="G64" s="26">
        <f t="shared" si="26"/>
        <v>3027.5787899983843</v>
      </c>
      <c r="H64" s="26">
        <f t="shared" si="27"/>
        <v>0.7849032116775021</v>
      </c>
      <c r="I64" s="26">
        <f t="shared" si="28"/>
        <v>320947.90967110032</v>
      </c>
      <c r="J64" s="26">
        <f t="shared" si="29"/>
        <v>0.18856883391753071</v>
      </c>
      <c r="K64" s="26">
        <f t="shared" si="30"/>
        <v>2012</v>
      </c>
      <c r="L64" s="26">
        <f>covariates!R72</f>
        <v>1381072</v>
      </c>
      <c r="M64" s="26">
        <f t="shared" si="31"/>
        <v>2.2082101296986836</v>
      </c>
      <c r="N64" s="26">
        <f t="shared" si="32"/>
        <v>-0.97624969677376738</v>
      </c>
      <c r="O64" s="26">
        <f t="shared" si="33"/>
        <v>0.95245405711358799</v>
      </c>
      <c r="P64" s="26">
        <f t="shared" si="34"/>
        <v>1381072</v>
      </c>
      <c r="Q64" s="26">
        <f t="shared" si="35"/>
        <v>1.5777606242600895</v>
      </c>
      <c r="R64" s="26">
        <f t="shared" si="36"/>
        <v>-0.97624969677376738</v>
      </c>
      <c r="S64" s="26">
        <f t="shared" si="37"/>
        <v>0.95245405711358799</v>
      </c>
      <c r="T64" s="26">
        <f t="shared" si="38"/>
        <v>1381072</v>
      </c>
      <c r="U64" s="26">
        <f t="shared" si="39"/>
        <v>1.9800759442088329</v>
      </c>
      <c r="V64" s="26">
        <f t="shared" si="40"/>
        <v>0.95245405711358799</v>
      </c>
      <c r="W64" s="26">
        <f t="shared" si="41"/>
        <v>2.2082101296986836</v>
      </c>
      <c r="X64" s="26">
        <f t="shared" si="42"/>
        <v>1381072</v>
      </c>
      <c r="Y64" s="26">
        <f t="shared" si="43"/>
        <v>1.0142967195826196</v>
      </c>
      <c r="Z64" s="105">
        <f t="shared" si="44"/>
        <v>0.95245405711358799</v>
      </c>
      <c r="AA64" s="105">
        <f t="shared" si="45"/>
        <v>2.2082101296986836</v>
      </c>
      <c r="AB64" s="105">
        <f t="shared" si="46"/>
        <v>1381072</v>
      </c>
      <c r="AC64" s="159">
        <f t="shared" si="47"/>
        <v>0.67542146885303633</v>
      </c>
      <c r="AD64" s="105">
        <f t="shared" si="48"/>
        <v>0.95245405711358799</v>
      </c>
      <c r="AE64" s="105">
        <f t="shared" si="49"/>
        <v>2.2082101296986836</v>
      </c>
      <c r="AF64" s="105">
        <f t="shared" si="50"/>
        <v>1381072</v>
      </c>
      <c r="AG64" s="105">
        <f>covariates!X72</f>
        <v>0.67542146885303633</v>
      </c>
      <c r="AH64" s="105">
        <f t="shared" si="51"/>
        <v>0.95245405711358799</v>
      </c>
      <c r="AI64" s="159">
        <f t="shared" si="52"/>
        <v>-0.97624969677376738</v>
      </c>
      <c r="AJ64" s="105">
        <f t="shared" si="53"/>
        <v>2.2082101296986836</v>
      </c>
      <c r="AK64" s="105"/>
      <c r="AL64" s="105"/>
      <c r="AM64" s="105"/>
      <c r="AN64" s="105"/>
      <c r="AO64" s="105"/>
      <c r="AP64" s="105">
        <f t="shared" si="54"/>
        <v>1381072</v>
      </c>
      <c r="AQ64" s="105">
        <f>covariates!T72</f>
        <v>1.0142967195826196</v>
      </c>
      <c r="AR64" s="105">
        <f t="shared" si="55"/>
        <v>0.95245405711358799</v>
      </c>
      <c r="AS64" s="105">
        <f t="shared" si="56"/>
        <v>-0.97624969677376738</v>
      </c>
      <c r="AT64" s="26">
        <f t="shared" si="57"/>
        <v>2.2082101296986836</v>
      </c>
      <c r="AU64" s="26">
        <f t="shared" si="58"/>
        <v>1381072</v>
      </c>
      <c r="AV64" s="26">
        <f t="shared" si="59"/>
        <v>0.67542146885303633</v>
      </c>
      <c r="AW64" s="26">
        <f t="shared" si="60"/>
        <v>0.95245405711358799</v>
      </c>
      <c r="AX64" s="26">
        <f t="shared" si="61"/>
        <v>-0.97624969677376738</v>
      </c>
      <c r="AY64" s="26">
        <f t="shared" si="62"/>
        <v>2.2082101296986836</v>
      </c>
      <c r="AZ64" s="26">
        <f t="shared" si="63"/>
        <v>1.5777606242600895</v>
      </c>
      <c r="BA64" s="61">
        <v>2012</v>
      </c>
      <c r="BB64" s="164">
        <f t="shared" si="4"/>
        <v>1381072</v>
      </c>
      <c r="BC64" s="105">
        <f t="shared" si="5"/>
        <v>0.67542146885303633</v>
      </c>
      <c r="BD64" s="105">
        <f t="shared" si="6"/>
        <v>0.95245405711358799</v>
      </c>
      <c r="BE64" s="105">
        <f t="shared" si="7"/>
        <v>-0.97624969677376738</v>
      </c>
      <c r="BF64" s="105">
        <f t="shared" si="8"/>
        <v>2.2082101296986836</v>
      </c>
      <c r="BG64">
        <v>317</v>
      </c>
      <c r="BH64" s="61">
        <f t="shared" si="78"/>
        <v>2012</v>
      </c>
      <c r="BI64" s="61">
        <f t="shared" si="79"/>
        <v>1381072</v>
      </c>
      <c r="BJ64" s="26">
        <f t="shared" si="80"/>
        <v>0.67542146885303633</v>
      </c>
      <c r="BK64" s="26">
        <f t="shared" si="81"/>
        <v>0.95245405711358799</v>
      </c>
      <c r="BL64" s="26">
        <f t="shared" si="82"/>
        <v>-0.97624969677376738</v>
      </c>
      <c r="BM64" s="26">
        <f t="shared" si="83"/>
        <v>2.2082101296986836</v>
      </c>
      <c r="BN64" s="61">
        <f t="shared" si="84"/>
        <v>317</v>
      </c>
      <c r="BO64" s="26">
        <f t="shared" si="85"/>
        <v>0.7849032116775021</v>
      </c>
      <c r="BR64" s="26">
        <f>covariates!V72</f>
        <v>2.2082101296986836</v>
      </c>
      <c r="BS64" s="26">
        <f>covariates!W72</f>
        <v>1.9800759442088329</v>
      </c>
      <c r="BT64" s="26">
        <f>covariates!Y72</f>
        <v>-0.97624969677376738</v>
      </c>
      <c r="BU64" s="26">
        <f>covariates!U72</f>
        <v>0.95245405711358799</v>
      </c>
      <c r="BV64" s="26">
        <f>covariates!AA72</f>
        <v>1.5777606242600895</v>
      </c>
      <c r="BW64" s="26">
        <f t="shared" si="90"/>
        <v>0.7849032116775021</v>
      </c>
      <c r="BX64" s="26">
        <f t="shared" si="76"/>
        <v>-0.76945436806962253</v>
      </c>
      <c r="BY64" s="26">
        <f t="shared" si="112"/>
        <v>-0.76057812645171086</v>
      </c>
      <c r="BZ64" s="26">
        <f t="shared" si="93"/>
        <v>2012</v>
      </c>
      <c r="CA64" s="26">
        <f t="shared" si="94"/>
        <v>0.74100832686095919</v>
      </c>
      <c r="CB64" s="26">
        <f>AVERAGE(CA59:CA68)</f>
        <v>0.63164463982792218</v>
      </c>
      <c r="CC64" s="26">
        <f t="shared" si="110"/>
        <v>1425237.8523417586</v>
      </c>
      <c r="CD64" s="26">
        <f t="shared" si="95"/>
        <v>0.87487349150459726</v>
      </c>
      <c r="CE64" s="26">
        <f>AVERAGE(CD59:CD68)</f>
        <v>0.70246217276236289</v>
      </c>
      <c r="CF64" s="26">
        <f t="shared" si="96"/>
        <v>1752643.1601602947</v>
      </c>
      <c r="CG64" s="26">
        <f t="shared" si="97"/>
        <v>0.59720956660622815</v>
      </c>
      <c r="CH64" s="26">
        <f>AVERAGE(CG59:CG68)</f>
        <v>0.59555352535086981</v>
      </c>
      <c r="CI64" s="26">
        <f t="shared" si="98"/>
        <v>1276021.4154860517</v>
      </c>
      <c r="CJ64" s="26">
        <f t="shared" si="99"/>
        <v>0.77657199957947998</v>
      </c>
      <c r="CK64" s="26">
        <f>AVERAGE(CJ59:CJ68)</f>
        <v>0.64095809985747609</v>
      </c>
      <c r="CL64" s="26">
        <f t="shared" si="100"/>
        <v>1459048.99977073</v>
      </c>
      <c r="CM64" s="26">
        <f t="shared" si="101"/>
        <v>0.80614775178678877</v>
      </c>
      <c r="CN64" s="26">
        <f>AVERAGE(CM59:CM68)</f>
        <v>0.62426580307576829</v>
      </c>
      <c r="CO64" s="26">
        <f t="shared" si="102"/>
        <v>1560784.2749839099</v>
      </c>
      <c r="CP64" s="26">
        <f t="shared" si="67"/>
        <v>0.66257478557470861</v>
      </c>
      <c r="CQ64" s="26">
        <f t="shared" si="103"/>
        <v>0.73423306407337618</v>
      </c>
      <c r="CR64" s="26">
        <f>AVERAGE(CQ59:CQ68)</f>
        <v>0.60617555297595205</v>
      </c>
      <c r="CS64" s="26">
        <f t="shared" si="104"/>
        <v>1456281.3625281251</v>
      </c>
      <c r="CT64" s="26">
        <f t="shared" si="105"/>
        <v>1830073.395894184</v>
      </c>
      <c r="CU64" s="26">
        <f t="shared" si="106"/>
        <v>1.4738779531259945</v>
      </c>
      <c r="CV64" s="26">
        <f>AVERAGE(CU59:CU68)</f>
        <v>1.2581247594733487</v>
      </c>
      <c r="CW64" s="26">
        <f t="shared" si="107"/>
        <v>2930258.9765179837</v>
      </c>
      <c r="CX64" s="26">
        <f t="shared" si="108"/>
        <v>1.4107058344558925</v>
      </c>
      <c r="CY64" s="26">
        <f t="shared" si="113"/>
        <v>1.2585154576553408</v>
      </c>
      <c r="CZ64" s="26">
        <f t="shared" si="68"/>
        <v>2995039.3458168637</v>
      </c>
      <c r="DA64" s="50">
        <v>1983</v>
      </c>
      <c r="DB64" s="50">
        <v>0.90867691580312782</v>
      </c>
      <c r="DC64" s="50">
        <v>-0.31499949672310468</v>
      </c>
      <c r="DD64" s="50">
        <v>-0.63946731523720035</v>
      </c>
      <c r="DE64" s="26">
        <f t="shared" si="86"/>
        <v>-0.41744666573306732</v>
      </c>
      <c r="DN64" s="50">
        <v>30</v>
      </c>
      <c r="DO64" s="50">
        <v>0.83505688166408942</v>
      </c>
      <c r="DP64" s="50">
        <v>4.9540735843322636E-2</v>
      </c>
      <c r="DQ64" s="50">
        <v>0.11720045825244996</v>
      </c>
      <c r="DR64" s="26">
        <f t="shared" si="111"/>
        <v>1.0637533420906118</v>
      </c>
      <c r="DZ64" s="50">
        <v>31</v>
      </c>
      <c r="EA64" s="50">
        <v>0.89614911666970321</v>
      </c>
      <c r="EB64" s="50">
        <v>0.44529943202295053</v>
      </c>
      <c r="EC64" s="50">
        <v>1.0076472347401799</v>
      </c>
      <c r="ED64" s="26">
        <f t="shared" si="109"/>
        <v>1.1814513924041432</v>
      </c>
      <c r="EJ64" s="50">
        <v>33</v>
      </c>
      <c r="EK64" s="50">
        <v>0.96733302018395029</v>
      </c>
      <c r="EL64" s="50">
        <v>-0.37365560110392715</v>
      </c>
      <c r="EM64" s="50">
        <v>-0.85657298603829202</v>
      </c>
      <c r="EN64" s="26">
        <f t="shared" si="87"/>
        <v>-0.66355071642862995</v>
      </c>
      <c r="EU64" s="50">
        <v>33</v>
      </c>
      <c r="EV64" s="50">
        <v>0.91552610949133706</v>
      </c>
      <c r="EW64" s="50">
        <v>-0.32184869041131392</v>
      </c>
      <c r="EX64" s="50">
        <v>-0.74485956767055994</v>
      </c>
      <c r="EY64" s="26">
        <f t="shared" si="88"/>
        <v>-0.68208462483643495</v>
      </c>
      <c r="FF64" s="50">
        <v>32</v>
      </c>
      <c r="FG64" s="50">
        <v>0.99638442295911245</v>
      </c>
      <c r="FH64" s="50">
        <v>0.50349272723146499</v>
      </c>
      <c r="FI64" s="50">
        <v>1.1921228328483313</v>
      </c>
      <c r="FJ64" s="26">
        <f t="shared" si="91"/>
        <v>-0.48727385076822083</v>
      </c>
      <c r="FP64" s="50">
        <v>32</v>
      </c>
      <c r="FQ64" s="50">
        <v>1.1288555696947407</v>
      </c>
      <c r="FR64" s="50">
        <v>0.37102158049583678</v>
      </c>
      <c r="FS64" s="50">
        <v>0.89790463010644561</v>
      </c>
      <c r="FT64" s="26">
        <f t="shared" si="92"/>
        <v>-0.69534734460129599</v>
      </c>
      <c r="FZ64" s="50">
        <v>33</v>
      </c>
      <c r="GA64" s="50">
        <v>1.0654004262735168</v>
      </c>
      <c r="GB64" s="50">
        <v>-0.47172300719349369</v>
      </c>
      <c r="GC64" s="50">
        <v>-1.1064150735825351</v>
      </c>
      <c r="GD64" s="26">
        <f t="shared" si="89"/>
        <v>-0.58699755119353247</v>
      </c>
      <c r="GJ64" s="50">
        <v>31</v>
      </c>
      <c r="GK64" s="50">
        <v>0.98273667819031252</v>
      </c>
      <c r="GL64" s="50">
        <v>0.35871187050234121</v>
      </c>
      <c r="GM64" s="50">
        <v>0.87624495012199199</v>
      </c>
      <c r="GT64" s="46">
        <v>32</v>
      </c>
      <c r="GU64" s="46">
        <v>1.1280702243291658</v>
      </c>
      <c r="GV64" s="46">
        <v>0.37180692586141162</v>
      </c>
      <c r="GW64" s="46">
        <v>0.91786474553116304</v>
      </c>
      <c r="GX64"/>
      <c r="GY64"/>
      <c r="GZ64"/>
      <c r="HA64"/>
      <c r="HB64"/>
      <c r="HD64" s="46">
        <v>32</v>
      </c>
      <c r="HE64" s="46">
        <v>-0.38808220797740889</v>
      </c>
      <c r="HF64" s="46">
        <v>-0.71602139614648275</v>
      </c>
      <c r="HG64" s="46">
        <v>-2.1416586746786952</v>
      </c>
      <c r="HH64"/>
      <c r="HI64"/>
      <c r="HJ64"/>
      <c r="HK64"/>
      <c r="HL64"/>
    </row>
    <row r="65" spans="1:220" s="26" customFormat="1" ht="12.75" customHeight="1" x14ac:dyDescent="0.35">
      <c r="A65" s="26" t="s">
        <v>96</v>
      </c>
      <c r="B65" s="26">
        <v>2013</v>
      </c>
      <c r="C65" s="26">
        <f>'Orig data'!G67</f>
        <v>1167839</v>
      </c>
      <c r="D65" s="26">
        <f>'Orig data'!R67</f>
        <v>1601307.957646556</v>
      </c>
      <c r="E65" s="26">
        <f>'Orig data'!W67</f>
        <v>805154.93228744587</v>
      </c>
      <c r="F65" s="26">
        <f t="shared" si="25"/>
        <v>1167.8389999999999</v>
      </c>
      <c r="G65" s="26">
        <f t="shared" si="26"/>
        <v>805.15493228744583</v>
      </c>
      <c r="H65" s="26">
        <f t="shared" si="27"/>
        <v>-0.37187559005235787</v>
      </c>
      <c r="I65" s="26">
        <f t="shared" si="28"/>
        <v>433468.95764655597</v>
      </c>
      <c r="J65" s="26">
        <f t="shared" si="29"/>
        <v>0.27069681105165166</v>
      </c>
      <c r="K65" s="26">
        <f t="shared" si="30"/>
        <v>2013</v>
      </c>
      <c r="L65" s="26">
        <f>covariates!R73</f>
        <v>1167839</v>
      </c>
      <c r="M65" s="26">
        <f t="shared" si="31"/>
        <v>2.4203010242976566</v>
      </c>
      <c r="N65" s="26">
        <f t="shared" si="32"/>
        <v>-0.32163814392981888</v>
      </c>
      <c r="O65" s="26">
        <f t="shared" si="33"/>
        <v>-0.67839888030260287</v>
      </c>
      <c r="P65" s="26">
        <f t="shared" si="34"/>
        <v>1167839</v>
      </c>
      <c r="Q65" s="26">
        <f t="shared" si="35"/>
        <v>0.97528552296599291</v>
      </c>
      <c r="R65" s="26">
        <f t="shared" si="36"/>
        <v>-0.32163814392981888</v>
      </c>
      <c r="S65" s="26">
        <f t="shared" si="37"/>
        <v>-0.67839888030260287</v>
      </c>
      <c r="T65" s="26">
        <f t="shared" si="38"/>
        <v>1167839</v>
      </c>
      <c r="U65" s="26">
        <f t="shared" si="39"/>
        <v>0.69707987068050337</v>
      </c>
      <c r="V65" s="26">
        <f t="shared" si="40"/>
        <v>-0.67839888030260287</v>
      </c>
      <c r="W65" s="26">
        <f t="shared" si="41"/>
        <v>2.4203010242976566</v>
      </c>
      <c r="X65" s="26">
        <f t="shared" si="42"/>
        <v>1167839</v>
      </c>
      <c r="Y65" s="26">
        <f t="shared" si="43"/>
        <v>0.66615029725931241</v>
      </c>
      <c r="Z65" s="105">
        <f t="shared" si="44"/>
        <v>-0.67839888030260287</v>
      </c>
      <c r="AA65" s="105">
        <f t="shared" si="45"/>
        <v>2.4203010242976566</v>
      </c>
      <c r="AB65" s="105">
        <f t="shared" si="46"/>
        <v>1167839</v>
      </c>
      <c r="AC65" s="159">
        <f t="shared" si="47"/>
        <v>7.4628104676789861E-2</v>
      </c>
      <c r="AD65" s="105">
        <f t="shared" si="48"/>
        <v>-0.67839888030260287</v>
      </c>
      <c r="AE65" s="105">
        <f t="shared" si="49"/>
        <v>2.4203010242976566</v>
      </c>
      <c r="AF65" s="105">
        <f t="shared" si="50"/>
        <v>1167839</v>
      </c>
      <c r="AG65" s="105">
        <f>covariates!X73</f>
        <v>7.4628104676789861E-2</v>
      </c>
      <c r="AH65" s="105">
        <f t="shared" si="51"/>
        <v>-0.67839888030260287</v>
      </c>
      <c r="AI65" s="159">
        <f t="shared" si="52"/>
        <v>-0.32163814392981888</v>
      </c>
      <c r="AJ65" s="105">
        <f t="shared" si="53"/>
        <v>2.4203010242976566</v>
      </c>
      <c r="AK65" s="105"/>
      <c r="AL65" s="105"/>
      <c r="AM65" s="105"/>
      <c r="AN65" s="105"/>
      <c r="AO65" s="105"/>
      <c r="AP65" s="105">
        <f t="shared" si="54"/>
        <v>1167839</v>
      </c>
      <c r="AQ65" s="105">
        <f>covariates!T73</f>
        <v>0.66615029725931241</v>
      </c>
      <c r="AR65" s="105">
        <f t="shared" si="55"/>
        <v>-0.67839888030260287</v>
      </c>
      <c r="AS65" s="105">
        <f t="shared" si="56"/>
        <v>-0.32163814392981888</v>
      </c>
      <c r="AT65" s="26">
        <f t="shared" si="57"/>
        <v>2.4203010242976566</v>
      </c>
      <c r="AU65" s="26">
        <f t="shared" si="58"/>
        <v>1167839</v>
      </c>
      <c r="AV65" s="26">
        <f t="shared" si="59"/>
        <v>7.4628104676789861E-2</v>
      </c>
      <c r="AW65" s="26">
        <f t="shared" si="60"/>
        <v>-0.67839888030260287</v>
      </c>
      <c r="AX65" s="26">
        <f t="shared" si="61"/>
        <v>-0.32163814392981888</v>
      </c>
      <c r="AY65" s="26">
        <f t="shared" si="62"/>
        <v>2.4203010242976566</v>
      </c>
      <c r="AZ65" s="26">
        <f t="shared" si="63"/>
        <v>0.97528552296599291</v>
      </c>
      <c r="BA65" s="61">
        <v>2013</v>
      </c>
      <c r="BB65" s="164">
        <f t="shared" si="4"/>
        <v>1167839</v>
      </c>
      <c r="BC65" s="105">
        <f t="shared" si="5"/>
        <v>7.4628104676789861E-2</v>
      </c>
      <c r="BD65" s="105">
        <f t="shared" si="6"/>
        <v>-0.67839888030260287</v>
      </c>
      <c r="BE65" s="105">
        <f t="shared" si="7"/>
        <v>-0.32163814392981888</v>
      </c>
      <c r="BF65" s="105">
        <f t="shared" si="8"/>
        <v>2.4203010242976566</v>
      </c>
      <c r="BG65">
        <v>316</v>
      </c>
      <c r="BH65" s="61">
        <f t="shared" si="78"/>
        <v>2013</v>
      </c>
      <c r="BI65" s="61">
        <f t="shared" si="79"/>
        <v>1167839</v>
      </c>
      <c r="BJ65" s="26">
        <f t="shared" si="80"/>
        <v>7.4628104676789861E-2</v>
      </c>
      <c r="BK65" s="26">
        <f t="shared" si="81"/>
        <v>-0.67839888030260287</v>
      </c>
      <c r="BL65" s="26">
        <f t="shared" si="82"/>
        <v>-0.32163814392981888</v>
      </c>
      <c r="BM65" s="26">
        <f t="shared" si="83"/>
        <v>2.4203010242976566</v>
      </c>
      <c r="BN65" s="61">
        <f t="shared" si="84"/>
        <v>316</v>
      </c>
      <c r="BO65" s="26">
        <f t="shared" si="85"/>
        <v>-0.37187559005235787</v>
      </c>
      <c r="BR65" s="26">
        <f>covariates!V73</f>
        <v>2.4203010242976566</v>
      </c>
      <c r="BS65" s="26">
        <f>covariates!W73</f>
        <v>0.69707987068050337</v>
      </c>
      <c r="BT65" s="26">
        <f>covariates!Y73</f>
        <v>-0.32163814392981888</v>
      </c>
      <c r="BU65" s="26">
        <f>covariates!U73</f>
        <v>-0.67839888030260287</v>
      </c>
      <c r="BV65" s="26">
        <f>covariates!AA73</f>
        <v>0.97528552296599291</v>
      </c>
      <c r="BW65" s="26">
        <f t="shared" si="90"/>
        <v>-0.37187559005235787</v>
      </c>
      <c r="BX65" s="26">
        <f t="shared" si="76"/>
        <v>-0.76945436806962253</v>
      </c>
      <c r="BY65" s="26">
        <f t="shared" si="112"/>
        <v>-0.76057812645171086</v>
      </c>
      <c r="BZ65" s="26">
        <f t="shared" si="93"/>
        <v>2013</v>
      </c>
      <c r="CA65" s="26">
        <f t="shared" si="94"/>
        <v>0.43129812121910216</v>
      </c>
      <c r="CB65" s="26">
        <f>AVERAGE(CA59:CA68)</f>
        <v>0.63164463982792218</v>
      </c>
      <c r="CC65" s="26">
        <f t="shared" si="110"/>
        <v>986563.66879449773</v>
      </c>
      <c r="CD65" s="26">
        <f t="shared" si="95"/>
        <v>0.7380095238309301</v>
      </c>
      <c r="CE65" s="26">
        <f>AVERAGE(CD59:CD68)</f>
        <v>0.70246217276236289</v>
      </c>
      <c r="CF65" s="26">
        <f t="shared" si="96"/>
        <v>1425961.5352822798</v>
      </c>
      <c r="CG65" s="26">
        <f t="shared" si="97"/>
        <v>0.42038914202341948</v>
      </c>
      <c r="CH65" s="26">
        <f>AVERAGE(CG59:CG68)</f>
        <v>0.59555352535086981</v>
      </c>
      <c r="CI65" s="26">
        <f t="shared" si="98"/>
        <v>1003650.2113050796</v>
      </c>
      <c r="CJ65" s="26">
        <f t="shared" si="99"/>
        <v>0.43191935714785878</v>
      </c>
      <c r="CK65" s="26">
        <f>AVERAGE(CJ59:CJ68)</f>
        <v>0.64095809985747609</v>
      </c>
      <c r="CL65" s="26">
        <f t="shared" si="100"/>
        <v>977113.16449442692</v>
      </c>
      <c r="CM65" s="26">
        <f t="shared" si="101"/>
        <v>0.46603376969388977</v>
      </c>
      <c r="CN65" s="26">
        <f>AVERAGE(CM59:CM68)</f>
        <v>0.62426580307576829</v>
      </c>
      <c r="CO65" s="26">
        <f t="shared" si="102"/>
        <v>1043884.596815276</v>
      </c>
      <c r="CP65" s="26">
        <f t="shared" si="67"/>
        <v>-0.25966950151476453</v>
      </c>
      <c r="CQ65" s="26">
        <f t="shared" si="103"/>
        <v>0.45372538137000074</v>
      </c>
      <c r="CR65" s="26">
        <f>AVERAGE(CQ59:CQ68)</f>
        <v>0.60617555297595205</v>
      </c>
      <c r="CS65" s="26">
        <f t="shared" si="104"/>
        <v>1033395.1384117916</v>
      </c>
      <c r="CT65" s="26">
        <f t="shared" si="105"/>
        <v>1766772.0958272002</v>
      </c>
      <c r="CU65" s="26">
        <f t="shared" si="106"/>
        <v>1.1813245662105996</v>
      </c>
      <c r="CV65" s="26">
        <f>AVERAGE(CU59:CU68)</f>
        <v>1.2581247594733487</v>
      </c>
      <c r="CW65" s="26">
        <f t="shared" si="107"/>
        <v>2067318.5973444046</v>
      </c>
      <c r="CX65" s="26">
        <f t="shared" si="108"/>
        <v>1.1357841773230035</v>
      </c>
      <c r="CY65" s="26">
        <f>AVERAGE(CX59:CX68)</f>
        <v>1.2585154576553408</v>
      </c>
      <c r="CZ65" s="26">
        <f t="shared" si="68"/>
        <v>2122555.9542134204</v>
      </c>
      <c r="DA65" s="50">
        <v>1984</v>
      </c>
      <c r="DB65" s="50">
        <v>0.80322026554795878</v>
      </c>
      <c r="DC65" s="50">
        <v>-0.20563285484869254</v>
      </c>
      <c r="DD65" s="50">
        <v>-0.41744666573306732</v>
      </c>
      <c r="DE65" s="26">
        <f t="shared" si="86"/>
        <v>-0.93538333772616833</v>
      </c>
      <c r="DN65" s="50">
        <v>31</v>
      </c>
      <c r="DO65" s="50">
        <v>0.89179908393161478</v>
      </c>
      <c r="DP65" s="50">
        <v>0.44964946476103895</v>
      </c>
      <c r="DQ65" s="50">
        <v>1.0637533420906118</v>
      </c>
      <c r="DR65" s="26">
        <f t="shared" si="111"/>
        <v>1.2615073161596455</v>
      </c>
      <c r="DZ65" s="50">
        <v>32</v>
      </c>
      <c r="EA65" s="50">
        <v>0.97777019066922977</v>
      </c>
      <c r="EB65" s="50">
        <v>0.52210695952134767</v>
      </c>
      <c r="EC65" s="50">
        <v>1.1814513924041432</v>
      </c>
      <c r="ED65" s="26">
        <f t="shared" si="109"/>
        <v>-0.51199123560930837</v>
      </c>
      <c r="EJ65" s="50">
        <v>34</v>
      </c>
      <c r="EK65" s="50">
        <v>0.88704253694229418</v>
      </c>
      <c r="EL65" s="50">
        <v>-0.28945512624302794</v>
      </c>
      <c r="EM65" s="50">
        <v>-0.66355071642862995</v>
      </c>
      <c r="EN65" s="26">
        <f t="shared" si="87"/>
        <v>-1.2307143415825148</v>
      </c>
      <c r="EU65" s="50">
        <v>34</v>
      </c>
      <c r="EV65" s="50">
        <v>0.89231148055291798</v>
      </c>
      <c r="EW65" s="50">
        <v>-0.29472406985365174</v>
      </c>
      <c r="EX65" s="50">
        <v>-0.68208462483643495</v>
      </c>
      <c r="EY65" s="26">
        <f t="shared" si="88"/>
        <v>-1.2766364747796475</v>
      </c>
      <c r="FF65" s="50">
        <v>33</v>
      </c>
      <c r="FG65" s="50">
        <v>0.79947738639185029</v>
      </c>
      <c r="FH65" s="50">
        <v>-0.20579996731182715</v>
      </c>
      <c r="FI65" s="50">
        <v>-0.48727385076822083</v>
      </c>
      <c r="FJ65" s="26">
        <f t="shared" si="91"/>
        <v>-0.57185200675878467</v>
      </c>
      <c r="FP65" s="50">
        <v>33</v>
      </c>
      <c r="FQ65" s="50">
        <v>0.88100066270442878</v>
      </c>
      <c r="FR65" s="50">
        <v>-0.28732324362440564</v>
      </c>
      <c r="FS65" s="50">
        <v>-0.69534734460129599</v>
      </c>
      <c r="FT65" s="26">
        <f t="shared" si="92"/>
        <v>-0.45159381612116961</v>
      </c>
      <c r="FZ65" s="50">
        <v>34</v>
      </c>
      <c r="GA65" s="50">
        <v>0.84785537674173539</v>
      </c>
      <c r="GB65" s="50">
        <v>-0.25026796604246915</v>
      </c>
      <c r="GC65" s="50">
        <v>-0.58699755119353247</v>
      </c>
      <c r="GD65" s="26">
        <f t="shared" si="89"/>
        <v>-1.0512649200798787</v>
      </c>
      <c r="GJ65" s="50">
        <v>32</v>
      </c>
      <c r="GK65" s="50">
        <v>1.1056723725353161</v>
      </c>
      <c r="GL65" s="50">
        <v>0.3942047776552613</v>
      </c>
      <c r="GM65" s="50">
        <v>0.96294540030319664</v>
      </c>
      <c r="GT65" s="46">
        <v>33</v>
      </c>
      <c r="GU65" s="46">
        <v>0.87650829334213476</v>
      </c>
      <c r="GV65" s="46">
        <v>-0.28283087426211162</v>
      </c>
      <c r="GW65" s="46">
        <v>-0.69821315950879759</v>
      </c>
      <c r="GX65"/>
      <c r="GY65"/>
      <c r="GZ65"/>
      <c r="HA65"/>
      <c r="HB65"/>
      <c r="HD65" s="46">
        <v>33</v>
      </c>
      <c r="HE65" s="46">
        <v>0.3689929420883491</v>
      </c>
      <c r="HF65" s="46">
        <v>0.22718750471809857</v>
      </c>
      <c r="HG65" s="46">
        <v>0.67953009906785433</v>
      </c>
      <c r="HH65"/>
      <c r="HI65"/>
      <c r="HJ65"/>
      <c r="HK65"/>
      <c r="HL65"/>
    </row>
    <row r="66" spans="1:220" s="26" customFormat="1" ht="12.75" customHeight="1" x14ac:dyDescent="0.35">
      <c r="A66" s="26" t="s">
        <v>96</v>
      </c>
      <c r="B66" s="26">
        <v>2014</v>
      </c>
      <c r="C66" s="26">
        <f>'Orig data'!G68</f>
        <v>1165580</v>
      </c>
      <c r="D66" s="26">
        <f>'Orig data'!R68</f>
        <v>1507866.1449047895</v>
      </c>
      <c r="E66" s="26">
        <f>'Orig data'!W68</f>
        <v>920933.05007688294</v>
      </c>
      <c r="F66" s="26">
        <f t="shared" si="25"/>
        <v>1165.58</v>
      </c>
      <c r="G66" s="26">
        <f t="shared" si="26"/>
        <v>920.93305007688298</v>
      </c>
      <c r="H66" s="26">
        <f t="shared" si="27"/>
        <v>-0.23558675521758243</v>
      </c>
      <c r="I66" s="26">
        <f t="shared" si="28"/>
        <v>342286.14490478951</v>
      </c>
      <c r="J66" s="26">
        <f t="shared" si="29"/>
        <v>0.22700035149764725</v>
      </c>
      <c r="K66" s="26">
        <f t="shared" si="30"/>
        <v>2014</v>
      </c>
      <c r="L66" s="26">
        <f>covariates!R74</f>
        <v>1165580</v>
      </c>
      <c r="M66" s="26">
        <f t="shared" si="31"/>
        <v>2.6137121885812094</v>
      </c>
      <c r="N66" s="26">
        <f t="shared" si="32"/>
        <v>1.8375409144983164</v>
      </c>
      <c r="O66" s="26">
        <f t="shared" si="33"/>
        <v>-0.9254978102141469</v>
      </c>
      <c r="P66" s="26">
        <f t="shared" si="34"/>
        <v>1165580</v>
      </c>
      <c r="Q66" s="26">
        <f t="shared" si="35"/>
        <v>2.1342758698851205</v>
      </c>
      <c r="R66" s="26">
        <f t="shared" si="36"/>
        <v>1.8375409144983164</v>
      </c>
      <c r="S66" s="26">
        <f t="shared" si="37"/>
        <v>-0.9254978102141469</v>
      </c>
      <c r="T66" s="26">
        <f t="shared" si="38"/>
        <v>1165580</v>
      </c>
      <c r="U66" s="26">
        <f t="shared" si="39"/>
        <v>1.3076104733316418</v>
      </c>
      <c r="V66" s="26">
        <f t="shared" si="40"/>
        <v>-0.9254978102141469</v>
      </c>
      <c r="W66" s="26">
        <f t="shared" si="41"/>
        <v>2.6137121885812094</v>
      </c>
      <c r="X66" s="26">
        <f t="shared" si="42"/>
        <v>1165580</v>
      </c>
      <c r="Y66" s="26">
        <f t="shared" si="43"/>
        <v>2.3533214208261133</v>
      </c>
      <c r="Z66" s="105">
        <f t="shared" si="44"/>
        <v>-0.9254978102141469</v>
      </c>
      <c r="AA66" s="105">
        <f t="shared" si="45"/>
        <v>2.6137121885812094</v>
      </c>
      <c r="AB66" s="105">
        <f t="shared" si="46"/>
        <v>1165580</v>
      </c>
      <c r="AC66" s="159">
        <f t="shared" si="47"/>
        <v>-0.33057418006754624</v>
      </c>
      <c r="AD66" s="105">
        <f t="shared" si="48"/>
        <v>-0.9254978102141469</v>
      </c>
      <c r="AE66" s="105">
        <f t="shared" si="49"/>
        <v>2.6137121885812094</v>
      </c>
      <c r="AF66" s="105">
        <f t="shared" si="50"/>
        <v>1165580</v>
      </c>
      <c r="AG66" s="105">
        <f>covariates!X74</f>
        <v>-0.33057418006754624</v>
      </c>
      <c r="AH66" s="105">
        <f t="shared" si="51"/>
        <v>-0.9254978102141469</v>
      </c>
      <c r="AI66" s="159">
        <f t="shared" si="52"/>
        <v>1.8375409144983164</v>
      </c>
      <c r="AJ66" s="105">
        <f t="shared" si="53"/>
        <v>2.6137121885812094</v>
      </c>
      <c r="AK66" s="105"/>
      <c r="AL66" s="105"/>
      <c r="AM66" s="105"/>
      <c r="AN66" s="105"/>
      <c r="AO66" s="105"/>
      <c r="AP66" s="105">
        <f t="shared" si="54"/>
        <v>1165580</v>
      </c>
      <c r="AQ66" s="105">
        <f>covariates!T74</f>
        <v>2.3533214208261133</v>
      </c>
      <c r="AR66" s="105">
        <f t="shared" si="55"/>
        <v>-0.9254978102141469</v>
      </c>
      <c r="AS66" s="105">
        <f t="shared" si="56"/>
        <v>1.8375409144983164</v>
      </c>
      <c r="AT66" s="26">
        <f t="shared" si="57"/>
        <v>2.6137121885812094</v>
      </c>
      <c r="AU66" s="26">
        <f t="shared" si="58"/>
        <v>1165580</v>
      </c>
      <c r="AV66" s="26">
        <f t="shared" si="59"/>
        <v>-0.33057418006754624</v>
      </c>
      <c r="AW66" s="26">
        <f t="shared" si="60"/>
        <v>-0.9254978102141469</v>
      </c>
      <c r="AX66" s="26">
        <f t="shared" si="61"/>
        <v>1.8375409144983164</v>
      </c>
      <c r="AY66" s="26">
        <f t="shared" si="62"/>
        <v>2.6137121885812094</v>
      </c>
      <c r="AZ66" s="26">
        <f t="shared" si="63"/>
        <v>2.1342758698851205</v>
      </c>
      <c r="BA66" s="61">
        <v>2014</v>
      </c>
      <c r="BB66" s="164">
        <f t="shared" si="4"/>
        <v>1165580</v>
      </c>
      <c r="BC66" s="105">
        <f t="shared" si="5"/>
        <v>-0.33057418006754624</v>
      </c>
      <c r="BD66" s="105">
        <f t="shared" si="6"/>
        <v>-0.9254978102141469</v>
      </c>
      <c r="BE66" s="105">
        <f t="shared" si="7"/>
        <v>1.8375409144983164</v>
      </c>
      <c r="BF66" s="105">
        <f t="shared" si="8"/>
        <v>2.6137121885812094</v>
      </c>
      <c r="BG66">
        <v>324</v>
      </c>
      <c r="BH66" s="61">
        <f t="shared" si="78"/>
        <v>2014</v>
      </c>
      <c r="BI66" s="61">
        <f t="shared" si="79"/>
        <v>1165580</v>
      </c>
      <c r="BJ66" s="26">
        <f t="shared" si="80"/>
        <v>-0.33057418006754624</v>
      </c>
      <c r="BK66" s="26">
        <f t="shared" si="81"/>
        <v>-0.9254978102141469</v>
      </c>
      <c r="BL66" s="26">
        <f t="shared" si="82"/>
        <v>1.8375409144983164</v>
      </c>
      <c r="BM66" s="26">
        <f t="shared" si="83"/>
        <v>2.6137121885812094</v>
      </c>
      <c r="BN66" s="61">
        <f t="shared" si="84"/>
        <v>324</v>
      </c>
      <c r="BO66" s="26">
        <f t="shared" si="85"/>
        <v>-0.23558675521758243</v>
      </c>
      <c r="BR66" s="26">
        <f>covariates!V74</f>
        <v>2.6137121885812094</v>
      </c>
      <c r="BS66" s="26">
        <f>covariates!W74</f>
        <v>1.3076104733316418</v>
      </c>
      <c r="BT66" s="26">
        <f>covariates!Y74</f>
        <v>1.8375409144983164</v>
      </c>
      <c r="BU66" s="26">
        <f>covariates!U74</f>
        <v>-0.9254978102141469</v>
      </c>
      <c r="BV66" s="26">
        <f>covariates!AA74</f>
        <v>2.1342758698851205</v>
      </c>
      <c r="BW66" s="26">
        <f t="shared" si="90"/>
        <v>-0.23558675521758243</v>
      </c>
      <c r="BX66" s="26">
        <f t="shared" si="76"/>
        <v>-0.76945436806962253</v>
      </c>
      <c r="BY66" s="26">
        <f t="shared" si="112"/>
        <v>-0.76057812645171086</v>
      </c>
      <c r="BZ66" s="26">
        <f t="shared" si="93"/>
        <v>2014</v>
      </c>
      <c r="CA66" s="26">
        <f t="shared" si="94"/>
        <v>0.11608724239985867</v>
      </c>
      <c r="CB66" s="26">
        <f>AVERAGE(CA59:CA68)</f>
        <v>0.63164463982792218</v>
      </c>
      <c r="CC66" s="26">
        <f t="shared" si="110"/>
        <v>719273.25702457759</v>
      </c>
      <c r="CD66" s="26">
        <f t="shared" si="95"/>
        <v>0.2012343647604648</v>
      </c>
      <c r="CE66" s="26">
        <f>AVERAGE(CD59:CD68)</f>
        <v>0.70246217276236289</v>
      </c>
      <c r="CF66" s="26">
        <f t="shared" si="96"/>
        <v>832914.95653502643</v>
      </c>
      <c r="CG66" s="26">
        <f t="shared" si="97"/>
        <v>0.22779628380968087</v>
      </c>
      <c r="CH66" s="26">
        <f>AVERAGE(CG59:CG68)</f>
        <v>0.59555352535086981</v>
      </c>
      <c r="CI66" s="26">
        <f t="shared" si="98"/>
        <v>827141.6998304181</v>
      </c>
      <c r="CJ66" s="26">
        <f t="shared" si="99"/>
        <v>0.12392393251183198</v>
      </c>
      <c r="CK66" s="26">
        <f>AVERAGE(CJ59:CJ68)</f>
        <v>0.64095809985747609</v>
      </c>
      <c r="CL66" s="26">
        <f t="shared" si="100"/>
        <v>717556.1641246879</v>
      </c>
      <c r="CM66" s="26">
        <f t="shared" si="101"/>
        <v>0.13087593777832862</v>
      </c>
      <c r="CN66" s="26">
        <f>AVERAGE(CM59:CM68)</f>
        <v>0.62426580307576829</v>
      </c>
      <c r="CO66" s="26">
        <f t="shared" si="102"/>
        <v>746002.30451873061</v>
      </c>
      <c r="CP66" s="26">
        <f t="shared" si="67"/>
        <v>0.21065865160506014</v>
      </c>
      <c r="CQ66" s="26">
        <f t="shared" si="103"/>
        <v>0.34547602266110133</v>
      </c>
      <c r="CR66" s="26">
        <f>AVERAGE(CQ59:CQ68)</f>
        <v>0.60617555297595205</v>
      </c>
      <c r="CS66" s="26">
        <f t="shared" si="104"/>
        <v>926610.75323625514</v>
      </c>
      <c r="CT66" s="26">
        <f t="shared" si="105"/>
        <v>1765831.5907861548</v>
      </c>
      <c r="CU66" s="26">
        <f t="shared" si="106"/>
        <v>0.88953846934614955</v>
      </c>
      <c r="CV66" s="26">
        <f>AVERAGE(CU59:CU68)</f>
        <v>1.2581247594733487</v>
      </c>
      <c r="CW66" s="26">
        <f t="shared" si="107"/>
        <v>1542972.082085609</v>
      </c>
      <c r="CX66" s="26">
        <f t="shared" si="108"/>
        <v>0.86459265657635598</v>
      </c>
      <c r="CY66" s="26">
        <f>AVERAGE(CX59:CX68)</f>
        <v>1.2585154576553408</v>
      </c>
      <c r="CZ66" s="26">
        <f t="shared" si="68"/>
        <v>1616938.5166820846</v>
      </c>
      <c r="DA66" s="50">
        <v>1985</v>
      </c>
      <c r="DB66" s="50">
        <v>0.27979591189676634</v>
      </c>
      <c r="DC66" s="50">
        <v>-0.46076675633941799</v>
      </c>
      <c r="DD66" s="50">
        <v>-0.93538333772616833</v>
      </c>
      <c r="DE66" s="26">
        <f t="shared" si="86"/>
        <v>-0.19670330822567428</v>
      </c>
      <c r="DN66" s="50">
        <v>32</v>
      </c>
      <c r="DO66" s="50">
        <v>0.96663690824828563</v>
      </c>
      <c r="DP66" s="50">
        <v>0.5332402419422918</v>
      </c>
      <c r="DQ66" s="50">
        <v>1.2615073161596455</v>
      </c>
      <c r="DR66" s="26">
        <f t="shared" si="111"/>
        <v>-0.49001005174558643</v>
      </c>
      <c r="DZ66" s="50">
        <v>33</v>
      </c>
      <c r="EA66" s="50">
        <v>0.8199365686685598</v>
      </c>
      <c r="EB66" s="50">
        <v>-0.22625914958853666</v>
      </c>
      <c r="EC66" s="50">
        <v>-0.51199123560930837</v>
      </c>
      <c r="ED66" s="26">
        <f t="shared" si="109"/>
        <v>-0.62745807426349476</v>
      </c>
      <c r="EJ66" s="50">
        <v>35</v>
      </c>
      <c r="EK66" s="50">
        <v>0.3558932810747048</v>
      </c>
      <c r="EL66" s="50">
        <v>-0.53686412551735652</v>
      </c>
      <c r="EM66" s="50">
        <v>-1.2307143415825148</v>
      </c>
      <c r="EN66" s="26">
        <f t="shared" si="87"/>
        <v>-0.65546374782672501</v>
      </c>
      <c r="EU66" s="50">
        <v>35</v>
      </c>
      <c r="EV66" s="50">
        <v>0.37065498594592106</v>
      </c>
      <c r="EW66" s="50">
        <v>-0.55162583038857271</v>
      </c>
      <c r="EX66" s="50">
        <v>-1.2766364747796475</v>
      </c>
      <c r="EY66" s="26">
        <f t="shared" si="88"/>
        <v>-0.42704787599872801</v>
      </c>
      <c r="FF66" s="50">
        <v>34</v>
      </c>
      <c r="FG66" s="50">
        <v>0.83910893727537694</v>
      </c>
      <c r="FH66" s="50">
        <v>-0.2415215265761107</v>
      </c>
      <c r="FI66" s="50">
        <v>-0.57185200675878467</v>
      </c>
      <c r="FJ66" s="26">
        <f t="shared" si="91"/>
        <v>-0.86990642502567672</v>
      </c>
      <c r="FP66" s="50">
        <v>34</v>
      </c>
      <c r="FQ66" s="50">
        <v>0.78418969092089696</v>
      </c>
      <c r="FR66" s="50">
        <v>-0.18660228022163072</v>
      </c>
      <c r="FS66" s="50">
        <v>-0.45159381612116961</v>
      </c>
      <c r="FT66" s="26">
        <f t="shared" si="92"/>
        <v>-0.84752030546504142</v>
      </c>
      <c r="FZ66" s="50">
        <v>35</v>
      </c>
      <c r="GA66" s="50">
        <v>0.26723874822981769</v>
      </c>
      <c r="GB66" s="50">
        <v>-0.44820959267246935</v>
      </c>
      <c r="GC66" s="50">
        <v>-1.0512649200798787</v>
      </c>
      <c r="GD66" s="26">
        <f t="shared" si="89"/>
        <v>-0.30826348541607801</v>
      </c>
      <c r="GJ66" s="50">
        <v>33</v>
      </c>
      <c r="GK66" s="50">
        <v>0.85641350771392155</v>
      </c>
      <c r="GL66" s="50">
        <v>-0.26273608863389841</v>
      </c>
      <c r="GM66" s="50">
        <v>-0.6417997000150989</v>
      </c>
      <c r="GT66" s="46">
        <v>34</v>
      </c>
      <c r="GU66" s="46">
        <v>0.80719344411398775</v>
      </c>
      <c r="GV66" s="46">
        <v>-0.2096060334147215</v>
      </c>
      <c r="GW66" s="46">
        <v>-0.51744595148749817</v>
      </c>
      <c r="GX66"/>
      <c r="GY66"/>
      <c r="GZ66"/>
      <c r="HA66"/>
      <c r="HB66"/>
      <c r="HD66" s="46">
        <v>34</v>
      </c>
      <c r="HE66" s="46">
        <v>0.33523103853333858</v>
      </c>
      <c r="HF66" s="46">
        <v>-2.3238692212442347E-2</v>
      </c>
      <c r="HG66" s="46">
        <v>-6.9508183739782611E-2</v>
      </c>
      <c r="HH66"/>
      <c r="HI66"/>
      <c r="HJ66"/>
      <c r="HK66"/>
      <c r="HL66"/>
    </row>
    <row r="67" spans="1:220" s="26" customFormat="1" ht="12.75" customHeight="1" x14ac:dyDescent="0.35">
      <c r="A67" s="26" t="s">
        <v>96</v>
      </c>
      <c r="B67" s="26">
        <v>2015</v>
      </c>
      <c r="C67" s="26">
        <f>'Orig data'!G69</f>
        <v>950865</v>
      </c>
      <c r="D67" s="26">
        <f>'Orig data'!R69</f>
        <v>1452703.6357440299</v>
      </c>
      <c r="E67" s="26">
        <f>'Orig data'!W69</f>
        <v>390127.06417119328</v>
      </c>
      <c r="F67" s="26">
        <f t="shared" si="25"/>
        <v>950.86500000000001</v>
      </c>
      <c r="G67" s="26">
        <f t="shared" si="26"/>
        <v>390.1270641711933</v>
      </c>
      <c r="H67" s="26">
        <f t="shared" si="27"/>
        <v>-0.8908996050049991</v>
      </c>
      <c r="I67" s="26">
        <f t="shared" si="28"/>
        <v>501838.63574402989</v>
      </c>
      <c r="J67" s="26">
        <f t="shared" si="29"/>
        <v>0.34545149017060434</v>
      </c>
      <c r="K67" s="26">
        <f t="shared" si="30"/>
        <v>2015</v>
      </c>
      <c r="L67" s="26">
        <f>covariates!R75</f>
        <v>950865</v>
      </c>
      <c r="M67" s="26">
        <f t="shared" si="31"/>
        <v>2.6378516138507848</v>
      </c>
      <c r="N67" s="26">
        <f t="shared" si="32"/>
        <v>1.1081166127579165</v>
      </c>
      <c r="O67" s="26">
        <f t="shared" si="33"/>
        <v>0.13702758840549265</v>
      </c>
      <c r="P67" s="26">
        <f t="shared" si="34"/>
        <v>950865</v>
      </c>
      <c r="Q67" s="26">
        <f t="shared" si="35"/>
        <v>2.0743738298117465</v>
      </c>
      <c r="R67" s="26">
        <f t="shared" si="36"/>
        <v>1.1081166127579165</v>
      </c>
      <c r="S67" s="26">
        <f t="shared" si="37"/>
        <v>0.13702758840549265</v>
      </c>
      <c r="T67" s="26">
        <f t="shared" si="38"/>
        <v>950865</v>
      </c>
      <c r="U67" s="26">
        <f t="shared" si="39"/>
        <v>2.5158185682806886</v>
      </c>
      <c r="V67" s="26">
        <f t="shared" si="40"/>
        <v>0.13702758840549265</v>
      </c>
      <c r="W67" s="26">
        <f t="shared" si="41"/>
        <v>2.6378516138507848</v>
      </c>
      <c r="X67" s="26">
        <f t="shared" si="42"/>
        <v>950865</v>
      </c>
      <c r="Y67" s="26">
        <f t="shared" si="43"/>
        <v>2.6517326399603784</v>
      </c>
      <c r="Z67" s="105">
        <f t="shared" si="44"/>
        <v>0.13702758840549265</v>
      </c>
      <c r="AA67" s="105">
        <f t="shared" si="45"/>
        <v>2.6378516138507848</v>
      </c>
      <c r="AB67" s="105">
        <f t="shared" si="46"/>
        <v>950865</v>
      </c>
      <c r="AC67" s="159">
        <f t="shared" si="47"/>
        <v>-0.90509417160994998</v>
      </c>
      <c r="AD67" s="105">
        <f t="shared" si="48"/>
        <v>0.13702758840549265</v>
      </c>
      <c r="AE67" s="105">
        <f t="shared" si="49"/>
        <v>2.6378516138507848</v>
      </c>
      <c r="AF67" s="105">
        <f t="shared" si="50"/>
        <v>950865</v>
      </c>
      <c r="AG67" s="105">
        <f>covariates!X75</f>
        <v>-0.90509417160994998</v>
      </c>
      <c r="AH67" s="105">
        <f t="shared" si="51"/>
        <v>0.13702758840549265</v>
      </c>
      <c r="AI67" s="159">
        <f t="shared" si="52"/>
        <v>1.1081166127579165</v>
      </c>
      <c r="AJ67" s="105">
        <f t="shared" si="53"/>
        <v>2.6378516138507848</v>
      </c>
      <c r="AK67" s="105"/>
      <c r="AL67" s="105"/>
      <c r="AM67" s="105"/>
      <c r="AN67" s="105"/>
      <c r="AO67" s="105"/>
      <c r="AP67" s="105">
        <f t="shared" si="54"/>
        <v>950865</v>
      </c>
      <c r="AQ67" s="105">
        <f>covariates!T75</f>
        <v>2.6517326399603784</v>
      </c>
      <c r="AR67" s="105">
        <f t="shared" si="55"/>
        <v>0.13702758840549265</v>
      </c>
      <c r="AS67" s="105">
        <f t="shared" si="56"/>
        <v>1.1081166127579165</v>
      </c>
      <c r="AT67" s="26">
        <f t="shared" si="57"/>
        <v>2.6378516138507848</v>
      </c>
      <c r="AU67" s="26">
        <f t="shared" si="58"/>
        <v>950865</v>
      </c>
      <c r="AV67" s="26">
        <f t="shared" si="59"/>
        <v>-0.90509417160994998</v>
      </c>
      <c r="AW67" s="26">
        <f t="shared" si="60"/>
        <v>0.13702758840549265</v>
      </c>
      <c r="AX67" s="26">
        <f t="shared" si="61"/>
        <v>1.1081166127579165</v>
      </c>
      <c r="AY67" s="26">
        <f t="shared" si="62"/>
        <v>2.6378516138507848</v>
      </c>
      <c r="AZ67" s="26">
        <f t="shared" si="63"/>
        <v>2.0743738298117465</v>
      </c>
      <c r="BA67" s="61">
        <v>2015</v>
      </c>
      <c r="BB67" s="164">
        <f t="shared" ref="BB67:BB68" si="114">AF67</f>
        <v>950865</v>
      </c>
      <c r="BC67" s="105">
        <f t="shared" ref="BC67:BC68" si="115">AG67</f>
        <v>-0.90509417160994998</v>
      </c>
      <c r="BD67" s="105">
        <f t="shared" ref="BD67:BD68" si="116">AH67</f>
        <v>0.13702758840549265</v>
      </c>
      <c r="BE67" s="105">
        <f t="shared" ref="BE67:BE68" si="117">AI67</f>
        <v>1.1081166127579165</v>
      </c>
      <c r="BF67" s="105">
        <f t="shared" ref="BF67:BF68" si="118">AJ67</f>
        <v>2.6378516138507848</v>
      </c>
      <c r="BG67">
        <v>325</v>
      </c>
      <c r="BH67" s="61">
        <f t="shared" si="78"/>
        <v>2015</v>
      </c>
      <c r="BI67" s="61">
        <f t="shared" si="79"/>
        <v>950865</v>
      </c>
      <c r="BJ67" s="26">
        <f t="shared" si="80"/>
        <v>-0.90509417160994998</v>
      </c>
      <c r="BK67" s="26">
        <f t="shared" si="81"/>
        <v>0.13702758840549265</v>
      </c>
      <c r="BL67" s="26">
        <f t="shared" si="82"/>
        <v>1.1081166127579165</v>
      </c>
      <c r="BM67" s="26">
        <f t="shared" si="83"/>
        <v>2.6378516138507848</v>
      </c>
      <c r="BN67" s="61">
        <f t="shared" si="84"/>
        <v>325</v>
      </c>
      <c r="BO67" s="26">
        <f t="shared" si="85"/>
        <v>-0.8908996050049991</v>
      </c>
      <c r="BR67" s="26">
        <f>covariates!V75</f>
        <v>2.6378516138507848</v>
      </c>
      <c r="BS67" s="26">
        <f>covariates!W75</f>
        <v>2.5158185682806886</v>
      </c>
      <c r="BT67" s="26">
        <f>covariates!Y75</f>
        <v>1.1081166127579165</v>
      </c>
      <c r="BU67" s="26">
        <f>covariates!U75</f>
        <v>0.13702758840549265</v>
      </c>
      <c r="BV67" s="26">
        <f>covariates!AA75</f>
        <v>2.0743738298117465</v>
      </c>
      <c r="BW67" s="26">
        <f t="shared" si="90"/>
        <v>-0.8908996050049991</v>
      </c>
      <c r="BX67" s="26">
        <f t="shared" si="76"/>
        <v>-0.76945436806962253</v>
      </c>
      <c r="BY67" s="26">
        <f t="shared" si="112"/>
        <v>-0.76057812645171086</v>
      </c>
      <c r="BZ67" s="26">
        <f t="shared" si="93"/>
        <v>2015</v>
      </c>
      <c r="CA67" s="26">
        <f t="shared" si="94"/>
        <v>0.31276402821922694</v>
      </c>
      <c r="CB67" s="26">
        <f>AVERAGE(CA59:CA68)</f>
        <v>0.63164463982792218</v>
      </c>
      <c r="CC67" s="26">
        <f t="shared" si="110"/>
        <v>797615.42530851322</v>
      </c>
      <c r="CD67" s="26">
        <f t="shared" si="95"/>
        <v>0.42783137552797668</v>
      </c>
      <c r="CE67" s="26">
        <f>AVERAGE(CD59:CD68)</f>
        <v>0.70246217276236289</v>
      </c>
      <c r="CF67" s="26">
        <f t="shared" si="96"/>
        <v>940959.36245418619</v>
      </c>
      <c r="CG67" s="26">
        <f t="shared" si="97"/>
        <v>0.30432296931728819</v>
      </c>
      <c r="CH67" s="26">
        <f>AVERAGE(CG59:CG68)</f>
        <v>0.59555352535086981</v>
      </c>
      <c r="CI67" s="26">
        <f t="shared" si="98"/>
        <v>809201.90131390141</v>
      </c>
      <c r="CJ67" s="26">
        <f t="shared" si="99"/>
        <v>0.34878771871014513</v>
      </c>
      <c r="CK67" s="26">
        <f>AVERAGE(CJ59:CJ68)</f>
        <v>0.64095809985747609</v>
      </c>
      <c r="CL67" s="26">
        <f t="shared" si="100"/>
        <v>820002.47136327322</v>
      </c>
      <c r="CM67" s="26">
        <f t="shared" si="101"/>
        <v>0.25837916488662593</v>
      </c>
      <c r="CN67" s="26">
        <f>AVERAGE(CM59:CM68)</f>
        <v>0.62426580307576829</v>
      </c>
      <c r="CO67" s="26">
        <f t="shared" si="102"/>
        <v>768886.35584255366</v>
      </c>
      <c r="CP67" s="26">
        <f t="shared" si="67"/>
        <v>-0.67847068521789922</v>
      </c>
      <c r="CQ67" s="26">
        <f t="shared" si="103"/>
        <v>0.39727830657113983</v>
      </c>
      <c r="CR67" s="26">
        <f>AVERAGE(CQ59:CQ68)</f>
        <v>0.60617555297595205</v>
      </c>
      <c r="CS67" s="26">
        <f t="shared" si="104"/>
        <v>885047.19273902848</v>
      </c>
      <c r="CT67" s="26">
        <f t="shared" si="105"/>
        <v>1646157.4642085521</v>
      </c>
      <c r="CU67" s="26">
        <f t="shared" si="106"/>
        <v>1.0224548728910625</v>
      </c>
      <c r="CV67" s="26">
        <f>AVERAGE(CU59:CU68)</f>
        <v>1.2581247594733487</v>
      </c>
      <c r="CW67" s="26">
        <f t="shared" si="107"/>
        <v>1608366.7599736731</v>
      </c>
      <c r="CX67" s="26">
        <f t="shared" si="108"/>
        <v>1.0774630631594619</v>
      </c>
      <c r="CY67" s="26">
        <f>AVERAGE(CX59:CX68)</f>
        <v>1.2585154576553408</v>
      </c>
      <c r="CZ67" s="26">
        <f t="shared" si="68"/>
        <v>1801782.3362795594</v>
      </c>
      <c r="DA67" s="50">
        <v>1986</v>
      </c>
      <c r="DB67" s="50">
        <v>0.51995543087800467</v>
      </c>
      <c r="DC67" s="50">
        <v>-9.6895402811750464E-2</v>
      </c>
      <c r="DD67" s="50">
        <v>-0.19670330822567428</v>
      </c>
      <c r="DE67" s="26">
        <f t="shared" si="86"/>
        <v>0.9981060051675783</v>
      </c>
      <c r="DN67" s="50">
        <v>33</v>
      </c>
      <c r="DO67" s="50">
        <v>0.80080509499585939</v>
      </c>
      <c r="DP67" s="50">
        <v>-0.20712767591583625</v>
      </c>
      <c r="DQ67" s="50">
        <v>-0.49001005174558643</v>
      </c>
      <c r="DR67" s="26">
        <f t="shared" si="111"/>
        <v>-0.57838331674070409</v>
      </c>
      <c r="DZ67" s="50">
        <v>34</v>
      </c>
      <c r="EA67" s="50">
        <v>0.87487366173511916</v>
      </c>
      <c r="EB67" s="50">
        <v>-0.27728625103585292</v>
      </c>
      <c r="EC67" s="50">
        <v>-0.62745807426349476</v>
      </c>
      <c r="ED67" s="26">
        <f t="shared" si="109"/>
        <v>-1.0530106067129716</v>
      </c>
      <c r="EJ67" s="50">
        <v>36</v>
      </c>
      <c r="EK67" s="50">
        <v>0.70898744427954008</v>
      </c>
      <c r="EL67" s="50">
        <v>-0.28592741621328588</v>
      </c>
      <c r="EM67" s="50">
        <v>-0.65546374782672501</v>
      </c>
      <c r="EN67" s="26">
        <f t="shared" si="87"/>
        <v>0.75237428682119056</v>
      </c>
      <c r="EU67" s="50">
        <v>36</v>
      </c>
      <c r="EV67" s="50">
        <v>0.60758447481930111</v>
      </c>
      <c r="EW67" s="50">
        <v>-0.18452444675304691</v>
      </c>
      <c r="EX67" s="50">
        <v>-0.42704787599872801</v>
      </c>
      <c r="EY67" s="26">
        <f t="shared" si="88"/>
        <v>0.98749721991984996</v>
      </c>
      <c r="FF67" s="50">
        <v>35</v>
      </c>
      <c r="FG67" s="50">
        <v>0.18643387787598856</v>
      </c>
      <c r="FH67" s="50">
        <v>-0.36740472231864019</v>
      </c>
      <c r="FI67" s="50">
        <v>-0.86990642502567672</v>
      </c>
      <c r="FJ67" s="26">
        <f t="shared" si="91"/>
        <v>-0.14479973257752829</v>
      </c>
      <c r="FP67" s="50">
        <v>35</v>
      </c>
      <c r="FQ67" s="50">
        <v>0.16923151858411717</v>
      </c>
      <c r="FR67" s="50">
        <v>-0.35020236302676883</v>
      </c>
      <c r="FS67" s="50">
        <v>-0.84752030546504142</v>
      </c>
      <c r="FT67" s="26">
        <f t="shared" si="92"/>
        <v>0.12883872086225601</v>
      </c>
      <c r="FZ67" s="50">
        <v>36</v>
      </c>
      <c r="GA67" s="50">
        <v>0.55448898435981875</v>
      </c>
      <c r="GB67" s="50">
        <v>-0.13142895629356455</v>
      </c>
      <c r="GC67" s="50">
        <v>-0.30826348541607801</v>
      </c>
      <c r="GD67" s="26">
        <f t="shared" si="89"/>
        <v>0.77865057474119848</v>
      </c>
      <c r="GJ67" s="50">
        <v>34</v>
      </c>
      <c r="GK67" s="50">
        <v>0.73972169196724824</v>
      </c>
      <c r="GL67" s="50">
        <v>-0.142134281267982</v>
      </c>
      <c r="GM67" s="50">
        <v>-0.34719912119405372</v>
      </c>
      <c r="GT67" s="46">
        <v>35</v>
      </c>
      <c r="GU67" s="46">
        <v>0.1260507079822899</v>
      </c>
      <c r="GV67" s="46">
        <v>-0.30702155242494156</v>
      </c>
      <c r="GW67" s="46">
        <v>-0.75793170994921744</v>
      </c>
      <c r="GX67"/>
      <c r="GY67"/>
      <c r="GZ67"/>
      <c r="HA67"/>
      <c r="HB67"/>
      <c r="HD67" s="46">
        <v>35</v>
      </c>
      <c r="HE67" s="46">
        <v>0.9068659700008328</v>
      </c>
      <c r="HF67" s="46">
        <v>0.31187476042567708</v>
      </c>
      <c r="HG67" s="46">
        <v>0.93283425561538258</v>
      </c>
      <c r="HH67"/>
      <c r="HI67"/>
      <c r="HJ67"/>
      <c r="HK67"/>
      <c r="HL67"/>
    </row>
    <row r="68" spans="1:220" s="26" customFormat="1" ht="12.75" customHeight="1" x14ac:dyDescent="0.35">
      <c r="A68" s="26" t="s">
        <v>96</v>
      </c>
      <c r="B68" s="26">
        <v>2016</v>
      </c>
      <c r="C68" s="26">
        <f>'Orig data'!G70</f>
        <v>1975386</v>
      </c>
      <c r="D68" s="26">
        <f>'Orig data'!R70</f>
        <v>2944872.5193175911</v>
      </c>
      <c r="E68" s="26">
        <f>'Orig data'!W70</f>
        <v>720301.20758067002</v>
      </c>
      <c r="F68" s="26">
        <f t="shared" ref="F68:F69" si="119">C68/1000</f>
        <v>1975.386</v>
      </c>
      <c r="G68" s="26">
        <f t="shared" ref="G68:G69" si="120">E68/1000</f>
        <v>720.30120758067005</v>
      </c>
      <c r="H68" s="26">
        <f t="shared" ref="H68:H69" si="121">LN(E68/C68)</f>
        <v>-1.008849632885948</v>
      </c>
      <c r="I68" s="26">
        <f t="shared" ref="I68:I69" si="122">D68-C68</f>
        <v>969486.5193175911</v>
      </c>
      <c r="J68" s="26">
        <f t="shared" ref="J68:J69" si="123">I68/D68</f>
        <v>0.32921171050971271</v>
      </c>
      <c r="K68" s="26">
        <f t="shared" ref="K68:K69" si="124">B68</f>
        <v>2016</v>
      </c>
      <c r="L68" s="26">
        <f>covariates!R76</f>
        <v>1975386</v>
      </c>
      <c r="M68" s="26">
        <f t="shared" ref="M68" si="125">BR68</f>
        <v>2.6378516138507848</v>
      </c>
      <c r="N68" s="26">
        <f t="shared" ref="N68:O68" si="126">BT68</f>
        <v>0.59897429387928969</v>
      </c>
      <c r="O68" s="26">
        <f t="shared" si="126"/>
        <v>-0.85136813124068367</v>
      </c>
      <c r="P68" s="26">
        <f t="shared" ref="P68" si="127">L68</f>
        <v>1975386</v>
      </c>
      <c r="Q68" s="26">
        <f t="shared" ref="Q68" si="128">BV68</f>
        <v>1.9281042757293887</v>
      </c>
      <c r="R68" s="26">
        <f t="shared" ref="R68" si="129">BT68</f>
        <v>0.59897429387928969</v>
      </c>
      <c r="S68" s="26">
        <f t="shared" ref="S68" si="130">BU68</f>
        <v>-0.85136813124068367</v>
      </c>
      <c r="T68" s="26">
        <f t="shared" ref="T68" si="131">L68</f>
        <v>1975386</v>
      </c>
      <c r="U68" s="26">
        <f t="shared" ref="U68" si="132">BS68</f>
        <v>1.9272459314137895</v>
      </c>
      <c r="V68" s="26">
        <f t="shared" ref="V68" si="133">BU68</f>
        <v>-0.85136813124068367</v>
      </c>
      <c r="W68" s="26">
        <f t="shared" ref="W68" si="134">BR68</f>
        <v>2.6378516138507848</v>
      </c>
      <c r="X68" s="26">
        <f t="shared" ref="X68" si="135">T68</f>
        <v>1975386</v>
      </c>
      <c r="Y68" s="26">
        <f t="shared" ref="Y68" si="136">AQ68</f>
        <v>2.0204781379455889</v>
      </c>
      <c r="Z68" s="105">
        <f t="shared" ref="Z68:AB68" si="137">V68</f>
        <v>-0.85136813124068367</v>
      </c>
      <c r="AA68" s="105">
        <f t="shared" si="137"/>
        <v>2.6378516138507848</v>
      </c>
      <c r="AB68" s="105">
        <f t="shared" si="137"/>
        <v>1975386</v>
      </c>
      <c r="AC68" s="159">
        <f t="shared" ref="AC68" si="138">AG68</f>
        <v>-1.3051184806509919</v>
      </c>
      <c r="AD68" s="105">
        <f t="shared" ref="AD68" si="139">Z68</f>
        <v>-0.85136813124068367</v>
      </c>
      <c r="AE68" s="105">
        <f t="shared" ref="AE68" si="140">AA68</f>
        <v>2.6378516138507848</v>
      </c>
      <c r="AF68" s="105">
        <f t="shared" ref="AF68" si="141">AP68</f>
        <v>1975386</v>
      </c>
      <c r="AG68" s="105">
        <f>covariates!X76</f>
        <v>-1.3051184806509919</v>
      </c>
      <c r="AH68" s="105">
        <f t="shared" ref="AH68" si="142">AR68</f>
        <v>-0.85136813124068367</v>
      </c>
      <c r="AI68" s="159">
        <f t="shared" ref="AI68" si="143">AS68</f>
        <v>0.59897429387928969</v>
      </c>
      <c r="AJ68" s="105">
        <f t="shared" ref="AJ68" si="144">AT68</f>
        <v>2.6378516138507848</v>
      </c>
      <c r="AK68" s="105"/>
      <c r="AL68" s="105"/>
      <c r="AM68" s="105"/>
      <c r="AN68" s="105"/>
      <c r="AO68" s="105"/>
      <c r="AP68" s="105">
        <f t="shared" ref="AP68" si="145">T68</f>
        <v>1975386</v>
      </c>
      <c r="AQ68" s="105">
        <f>covariates!T76</f>
        <v>2.0204781379455889</v>
      </c>
      <c r="AR68" s="105">
        <f t="shared" ref="AR68" si="146">V68</f>
        <v>-0.85136813124068367</v>
      </c>
      <c r="AS68" s="105">
        <f t="shared" ref="AS68" si="147">R68</f>
        <v>0.59897429387928969</v>
      </c>
      <c r="AT68" s="26">
        <f t="shared" ref="AT68" si="148">W68</f>
        <v>2.6378516138507848</v>
      </c>
      <c r="AU68" s="26">
        <f t="shared" ref="AU68" si="149">AF68</f>
        <v>1975386</v>
      </c>
      <c r="AV68" s="26">
        <f t="shared" ref="AV68" si="150">AG68</f>
        <v>-1.3051184806509919</v>
      </c>
      <c r="AW68" s="26">
        <f t="shared" ref="AW68" si="151">AH68</f>
        <v>-0.85136813124068367</v>
      </c>
      <c r="AX68" s="26">
        <f t="shared" ref="AX68" si="152">AI68</f>
        <v>0.59897429387928969</v>
      </c>
      <c r="AY68" s="26">
        <f t="shared" ref="AY68" si="153">AJ68</f>
        <v>2.6378516138507848</v>
      </c>
      <c r="AZ68" s="26">
        <f t="shared" ref="AZ68" si="154">Q68</f>
        <v>1.9281042757293887</v>
      </c>
      <c r="BA68" s="61">
        <v>2016</v>
      </c>
      <c r="BB68" s="164">
        <f t="shared" si="114"/>
        <v>1975386</v>
      </c>
      <c r="BC68" s="105">
        <f t="shared" si="115"/>
        <v>-1.3051184806509919</v>
      </c>
      <c r="BD68" s="105">
        <f t="shared" si="116"/>
        <v>-0.85136813124068367</v>
      </c>
      <c r="BE68" s="105">
        <f t="shared" si="117"/>
        <v>0.59897429387928969</v>
      </c>
      <c r="BF68" s="105">
        <f t="shared" si="118"/>
        <v>2.6378516138507848</v>
      </c>
      <c r="BG68">
        <v>331</v>
      </c>
      <c r="BH68" s="61">
        <f t="shared" si="78"/>
        <v>2016</v>
      </c>
      <c r="BI68" s="61">
        <f t="shared" si="79"/>
        <v>1975386</v>
      </c>
      <c r="BJ68" s="26">
        <f t="shared" si="80"/>
        <v>-1.3051184806509919</v>
      </c>
      <c r="BK68" s="26">
        <f t="shared" si="81"/>
        <v>-0.85136813124068367</v>
      </c>
      <c r="BL68" s="26">
        <f t="shared" si="82"/>
        <v>0.59897429387928969</v>
      </c>
      <c r="BM68" s="26">
        <f t="shared" si="83"/>
        <v>2.6378516138507848</v>
      </c>
      <c r="BN68" s="61">
        <f t="shared" si="84"/>
        <v>331</v>
      </c>
      <c r="BO68" s="26">
        <f t="shared" si="85"/>
        <v>-1.008849632885948</v>
      </c>
      <c r="BR68" s="26">
        <f>covariates!V76</f>
        <v>2.6378516138507848</v>
      </c>
      <c r="BS68" s="26">
        <f>covariates!W76</f>
        <v>1.9272459314137895</v>
      </c>
      <c r="BT68" s="26">
        <f>covariates!Y76</f>
        <v>0.59897429387928969</v>
      </c>
      <c r="BU68" s="26">
        <f>covariates!U76</f>
        <v>-0.85136813124068367</v>
      </c>
      <c r="BV68" s="26">
        <f>covariates!AA76</f>
        <v>1.9281042757293887</v>
      </c>
      <c r="BW68" s="26">
        <f t="shared" si="90"/>
        <v>-1.008849632885948</v>
      </c>
      <c r="BX68" s="26">
        <f t="shared" si="76"/>
        <v>-0.76945436806962253</v>
      </c>
      <c r="BY68" s="26">
        <f t="shared" si="112"/>
        <v>-0.76057812645171086</v>
      </c>
      <c r="BZ68" s="26">
        <f t="shared" si="93"/>
        <v>2016</v>
      </c>
      <c r="CA68" s="26">
        <f t="shared" si="94"/>
        <v>0.25683862421062498</v>
      </c>
      <c r="CB68" s="26">
        <f>AVERAGE(CA59:CA68)</f>
        <v>0.63164463982792218</v>
      </c>
      <c r="CC68" s="26">
        <f t="shared" si="110"/>
        <v>925651.31583413843</v>
      </c>
      <c r="CD68" s="26">
        <f t="shared" si="95"/>
        <v>0.39566804269888556</v>
      </c>
      <c r="CE68" s="26">
        <f>AVERAGE(CD59:CD68)</f>
        <v>0.70246217276236289</v>
      </c>
      <c r="CF68" s="26">
        <f t="shared" si="96"/>
        <v>1180423.0791255266</v>
      </c>
      <c r="CG68" s="26">
        <f t="shared" si="97"/>
        <v>0.25553552057041928</v>
      </c>
      <c r="CH68" s="26">
        <f>AVERAGE(CG59:CG68)</f>
        <v>0.59555352535086981</v>
      </c>
      <c r="CI68" s="26">
        <f t="shared" si="98"/>
        <v>969413.68014641362</v>
      </c>
      <c r="CJ68" s="26">
        <f t="shared" si="99"/>
        <v>0.27654137345157226</v>
      </c>
      <c r="CK68" s="26">
        <f>AVERAGE(CJ59:CJ68)</f>
        <v>0.64095809985747609</v>
      </c>
      <c r="CL68" s="26">
        <f t="shared" si="100"/>
        <v>927848.36261495389</v>
      </c>
      <c r="CM68" s="26">
        <f t="shared" si="101"/>
        <v>0.17371489483451719</v>
      </c>
      <c r="CN68" s="26">
        <f>AVERAGE(CM59:CM68)</f>
        <v>0.62426580307576829</v>
      </c>
      <c r="CO68" s="26">
        <f t="shared" si="102"/>
        <v>883726.86945157847</v>
      </c>
      <c r="CP68" s="26">
        <f t="shared" ref="CP68" si="155">LN(E68)-LN(CO68)</f>
        <v>-0.20447857529683588</v>
      </c>
      <c r="CQ68" s="26">
        <f t="shared" si="103"/>
        <v>0.25113116312908879</v>
      </c>
      <c r="CR68" s="26">
        <f>AVERAGE(CQ59:CQ68)</f>
        <v>0.60617555297595205</v>
      </c>
      <c r="CS68" s="26">
        <f t="shared" si="104"/>
        <v>958434.22719490994</v>
      </c>
      <c r="CT68" s="26">
        <f t="shared" si="105"/>
        <v>1809323.1402919195</v>
      </c>
      <c r="CU68" s="26">
        <f t="shared" si="106"/>
        <v>0.93779060283895377</v>
      </c>
      <c r="CV68" s="26">
        <f>AVERAGE(CU59:CU68)</f>
        <v>1.2581247594733487</v>
      </c>
      <c r="CW68" s="26">
        <f t="shared" si="107"/>
        <v>1797437.9098001549</v>
      </c>
      <c r="CX68" s="26">
        <f t="shared" si="108"/>
        <v>1.0117819357668021</v>
      </c>
      <c r="CY68" s="26">
        <f>AVERAGE(CX59:CX68)</f>
        <v>1.2585154576553408</v>
      </c>
      <c r="CZ68" s="26">
        <f t="shared" ref="CZ68" si="156">$L68*EXP(CX68+$L68*$EA$24)</f>
        <v>2185810.7424818431</v>
      </c>
      <c r="DA68" s="50">
        <v>1987</v>
      </c>
      <c r="DB68" s="50">
        <v>0.9137096391303523</v>
      </c>
      <c r="DC68" s="50">
        <v>0.49166373606987701</v>
      </c>
      <c r="DD68" s="50">
        <v>0.9981060051675783</v>
      </c>
      <c r="DE68" s="26">
        <f t="shared" si="86"/>
        <v>0.51826985147982885</v>
      </c>
      <c r="DN68" s="50">
        <v>34</v>
      </c>
      <c r="DO68" s="50">
        <v>0.84207054274569793</v>
      </c>
      <c r="DP68" s="50">
        <v>-0.24448313204643168</v>
      </c>
      <c r="DQ68" s="50">
        <v>-0.57838331674070409</v>
      </c>
      <c r="DR68" s="26">
        <f t="shared" si="111"/>
        <v>-0.94648717584404463</v>
      </c>
      <c r="DZ68" s="50">
        <v>35</v>
      </c>
      <c r="EA68" s="50">
        <v>0.28437556739396214</v>
      </c>
      <c r="EB68" s="50">
        <v>-0.46534641183661379</v>
      </c>
      <c r="EC68" s="50">
        <v>-1.0530106067129716</v>
      </c>
      <c r="ED68" s="26">
        <f t="shared" si="109"/>
        <v>-0.26052686964187494</v>
      </c>
      <c r="EJ68" s="50">
        <v>37</v>
      </c>
      <c r="EK68" s="50">
        <v>1.0771714928392755</v>
      </c>
      <c r="EL68" s="50">
        <v>0.32820188236095382</v>
      </c>
      <c r="EM68" s="50">
        <v>0.75237428682119056</v>
      </c>
      <c r="EN68" s="26">
        <f t="shared" si="87"/>
        <v>0.13638358058117728</v>
      </c>
      <c r="EU68" s="50">
        <v>37</v>
      </c>
      <c r="EV68" s="50">
        <v>0.97868262594937727</v>
      </c>
      <c r="EW68" s="50">
        <v>0.42669074925085204</v>
      </c>
      <c r="EX68" s="50">
        <v>0.98749721991984996</v>
      </c>
      <c r="EY68" s="26">
        <f t="shared" si="88"/>
        <v>0.31229627726240161</v>
      </c>
      <c r="FF68" s="50">
        <v>36</v>
      </c>
      <c r="FG68" s="50">
        <v>0.48421615245962196</v>
      </c>
      <c r="FH68" s="50">
        <v>-6.1156124393367761E-2</v>
      </c>
      <c r="FI68" s="50">
        <v>-0.14479973257752829</v>
      </c>
      <c r="FJ68" s="26">
        <f t="shared" si="91"/>
        <v>0.98093369977858746</v>
      </c>
      <c r="FP68" s="50">
        <v>36</v>
      </c>
      <c r="FQ68" s="50">
        <v>0.36982280861043149</v>
      </c>
      <c r="FR68" s="50">
        <v>5.3237219455822715E-2</v>
      </c>
      <c r="FS68" s="50">
        <v>0.12883872086225601</v>
      </c>
      <c r="FT68" s="26">
        <f t="shared" si="92"/>
        <v>1.0350032612991755</v>
      </c>
      <c r="FZ68" s="50">
        <v>37</v>
      </c>
      <c r="GA68" s="50">
        <v>1.0733936332029232</v>
      </c>
      <c r="GB68" s="50">
        <v>0.33197974199730607</v>
      </c>
      <c r="GC68" s="50">
        <v>0.77865057474119848</v>
      </c>
      <c r="GD68" s="26">
        <f t="shared" si="89"/>
        <v>7.3086014219113676E-2</v>
      </c>
      <c r="GJ68" s="50">
        <v>35</v>
      </c>
      <c r="GK68" s="50">
        <v>8.2309602837612128E-2</v>
      </c>
      <c r="GL68" s="50">
        <v>-0.26328044728026379</v>
      </c>
      <c r="GM68" s="50">
        <v>-0.64312943441799142</v>
      </c>
      <c r="GT68" s="46">
        <v>36</v>
      </c>
      <c r="GU68" s="46">
        <v>0.42278249841198423</v>
      </c>
      <c r="GV68" s="46">
        <v>2.7752965426997012E-4</v>
      </c>
      <c r="GW68" s="46">
        <v>6.851262517600555E-4</v>
      </c>
      <c r="GX68"/>
      <c r="GY68"/>
      <c r="GZ68"/>
      <c r="HA68"/>
      <c r="HB68"/>
      <c r="HD68" s="46">
        <v>36</v>
      </c>
      <c r="HE68" s="46">
        <v>0.7429728030565812</v>
      </c>
      <c r="HF68" s="46">
        <v>0.22154509144970835</v>
      </c>
      <c r="HG68" s="46">
        <v>0.66265333618422406</v>
      </c>
      <c r="HH68"/>
      <c r="HI68"/>
      <c r="HJ68"/>
      <c r="HK68"/>
      <c r="HL68"/>
    </row>
    <row r="69" spans="1:220" x14ac:dyDescent="0.35">
      <c r="A69" t="s">
        <v>96</v>
      </c>
      <c r="B69">
        <v>2017</v>
      </c>
      <c r="C69" s="5">
        <f>'Orig data'!G71</f>
        <v>659667</v>
      </c>
      <c r="D69" s="5">
        <f>'Orig data'!R71</f>
        <v>1072321.8899999999</v>
      </c>
      <c r="E69" s="5">
        <f>'Orig data'!W71</f>
        <v>502191.09895925201</v>
      </c>
      <c r="F69" s="5">
        <f t="shared" si="119"/>
        <v>659.66700000000003</v>
      </c>
      <c r="G69" s="5">
        <f t="shared" si="120"/>
        <v>502.19109895925203</v>
      </c>
      <c r="H69" s="44">
        <f t="shared" si="121"/>
        <v>-0.2727544397691033</v>
      </c>
      <c r="I69" s="5">
        <f t="shared" si="122"/>
        <v>412654.8899999999</v>
      </c>
      <c r="J69" s="26">
        <f t="shared" si="123"/>
        <v>0.38482371184271913</v>
      </c>
      <c r="K69" s="61">
        <f t="shared" si="124"/>
        <v>2017</v>
      </c>
      <c r="L69">
        <f>covariates!R77</f>
        <v>659667</v>
      </c>
      <c r="AB69" s="9"/>
      <c r="AC69" s="9"/>
      <c r="AD69" s="9"/>
      <c r="AE69" s="9"/>
      <c r="AH69" s="9"/>
      <c r="AI69" s="9"/>
      <c r="AJ69" s="9"/>
      <c r="AK69" s="9"/>
      <c r="AL69" s="9"/>
      <c r="AM69" s="9"/>
      <c r="AN69" s="9"/>
      <c r="AO69" s="9"/>
      <c r="BG69">
        <v>337</v>
      </c>
      <c r="BH69" s="26"/>
      <c r="BI69" s="61"/>
      <c r="BJ69" s="26"/>
      <c r="BK69" s="26"/>
      <c r="BL69" s="26"/>
      <c r="BM69" s="26"/>
      <c r="BN69" s="61">
        <f t="shared" si="84"/>
        <v>337</v>
      </c>
      <c r="BO69" s="26">
        <f t="shared" si="85"/>
        <v>-0.2727544397691033</v>
      </c>
      <c r="BW69" t="s">
        <v>12</v>
      </c>
      <c r="CA69" s="26"/>
      <c r="CB69" s="26"/>
      <c r="CC69" s="5"/>
      <c r="CD69" s="26"/>
      <c r="CE69" s="26"/>
      <c r="CF69" s="5"/>
      <c r="CG69" s="26"/>
      <c r="CH69" s="26"/>
      <c r="CI69" s="5"/>
      <c r="CJ69" s="26"/>
      <c r="CK69" s="26"/>
      <c r="CL69" s="5"/>
      <c r="CM69" s="26"/>
      <c r="CN69" s="26"/>
      <c r="CO69" s="5"/>
      <c r="CP69" s="8"/>
      <c r="CQ69" s="26"/>
      <c r="CR69" s="26"/>
      <c r="CS69" s="5"/>
      <c r="CT69" s="5"/>
      <c r="CU69" s="26"/>
      <c r="CV69" s="26"/>
      <c r="CW69" s="5"/>
      <c r="CX69" s="26"/>
      <c r="CY69" s="26"/>
      <c r="CZ69" s="5"/>
      <c r="DA69" s="46">
        <v>1988</v>
      </c>
      <c r="DB69" s="46">
        <v>0.81130530854221949</v>
      </c>
      <c r="DC69" s="46">
        <v>0.25529802461029227</v>
      </c>
      <c r="DD69" s="46">
        <v>0.51826985147982885</v>
      </c>
      <c r="DE69">
        <f t="shared" si="86"/>
        <v>0.17764386915113087</v>
      </c>
      <c r="DN69" s="46">
        <v>35</v>
      </c>
      <c r="DO69" s="46">
        <v>0.21911010964868693</v>
      </c>
      <c r="DP69" s="46">
        <v>-0.40008095409133859</v>
      </c>
      <c r="DQ69" s="46">
        <v>-0.94648717584404463</v>
      </c>
      <c r="DR69">
        <f t="shared" si="111"/>
        <v>-0.14674519692136462</v>
      </c>
      <c r="DZ69" s="46">
        <v>36</v>
      </c>
      <c r="EA69" s="46">
        <v>0.5381920535197432</v>
      </c>
      <c r="EB69" s="46">
        <v>-0.115132025453489</v>
      </c>
      <c r="EC69" s="46">
        <v>-0.26052686964187494</v>
      </c>
      <c r="ED69">
        <f t="shared" si="109"/>
        <v>0.97474101015000525</v>
      </c>
      <c r="EJ69" s="46">
        <v>38</v>
      </c>
      <c r="EK69" s="46">
        <v>1.0071098753697005</v>
      </c>
      <c r="EL69" s="46">
        <v>5.9493457782811232E-2</v>
      </c>
      <c r="EM69" s="46">
        <v>0.13638358058117728</v>
      </c>
      <c r="EN69">
        <f t="shared" si="87"/>
        <v>-0.14213239183953327</v>
      </c>
      <c r="EU69" s="46">
        <v>38</v>
      </c>
      <c r="EV69" s="46">
        <v>0.93166226208381397</v>
      </c>
      <c r="EW69" s="46">
        <v>0.13494107106869779</v>
      </c>
      <c r="EX69" s="46">
        <v>0.31229627726240161</v>
      </c>
      <c r="EY69">
        <f t="shared" si="88"/>
        <v>0.11725935253931632</v>
      </c>
      <c r="FF69" s="46">
        <v>37</v>
      </c>
      <c r="FG69" s="46">
        <v>0.99107631610044111</v>
      </c>
      <c r="FH69" s="46">
        <v>0.4142970590997882</v>
      </c>
      <c r="FI69" s="46">
        <v>0.98093369977858746</v>
      </c>
      <c r="FJ69">
        <f t="shared" si="91"/>
        <v>-3.708805218239225E-2</v>
      </c>
      <c r="FP69" s="46">
        <v>37</v>
      </c>
      <c r="FQ69" s="46">
        <v>0.9777015123432109</v>
      </c>
      <c r="FR69" s="46">
        <v>0.42767186285701841</v>
      </c>
      <c r="FS69" s="46">
        <v>1.0350032612991755</v>
      </c>
      <c r="FT69">
        <f t="shared" si="92"/>
        <v>-6.728362528613388E-2</v>
      </c>
      <c r="FZ69" s="46">
        <v>38</v>
      </c>
      <c r="GA69" s="46">
        <v>1.0354429167460419</v>
      </c>
      <c r="GB69" s="46">
        <v>3.1160416406469826E-2</v>
      </c>
      <c r="GC69" s="46">
        <v>7.3086014219113676E-2</v>
      </c>
      <c r="GD69">
        <f t="shared" si="89"/>
        <v>-0.22883408455564358</v>
      </c>
      <c r="GJ69" s="46">
        <v>36</v>
      </c>
      <c r="GK69" s="46">
        <v>0.30197845975950877</v>
      </c>
      <c r="GL69" s="46">
        <v>0.12108156830674544</v>
      </c>
      <c r="GM69" s="46">
        <v>0.29577251690349138</v>
      </c>
      <c r="GT69" s="46">
        <v>37</v>
      </c>
      <c r="GU69" s="46">
        <v>1.1062575080783692</v>
      </c>
      <c r="GV69" s="46">
        <v>0.29911586712186011</v>
      </c>
      <c r="GW69" s="46">
        <v>0.73841526384711587</v>
      </c>
      <c r="HD69" s="46">
        <v>37</v>
      </c>
      <c r="HE69" s="46">
        <v>0.3741500823496402</v>
      </c>
      <c r="HF69" s="46">
        <v>-0.32171591355124546</v>
      </c>
      <c r="HG69" s="46">
        <v>-0.96226967622382353</v>
      </c>
    </row>
    <row r="70" spans="1:220" x14ac:dyDescent="0.35">
      <c r="BG70">
        <v>329</v>
      </c>
      <c r="BH70" s="26"/>
      <c r="BI70" s="61"/>
      <c r="BJ70" s="26"/>
      <c r="BK70" s="26"/>
      <c r="BL70" s="26"/>
      <c r="BM70" s="26"/>
      <c r="BN70" s="61">
        <f t="shared" si="84"/>
        <v>329</v>
      </c>
      <c r="BO70" s="26">
        <f t="shared" si="85"/>
        <v>0</v>
      </c>
      <c r="DA70" s="46">
        <v>1989</v>
      </c>
      <c r="DB70" s="46">
        <v>0.68007793328067256</v>
      </c>
      <c r="DC70" s="46">
        <v>8.7506785796854447E-2</v>
      </c>
      <c r="DD70" s="46">
        <v>0.17764386915113087</v>
      </c>
      <c r="DE70">
        <f t="shared" si="86"/>
        <v>0.62578752756033729</v>
      </c>
      <c r="DN70" s="46">
        <v>36</v>
      </c>
      <c r="DO70" s="46">
        <v>0.48508935069311959</v>
      </c>
      <c r="DP70" s="46">
        <v>-6.2029322626865391E-2</v>
      </c>
      <c r="DQ70" s="46">
        <v>-0.14674519692136462</v>
      </c>
      <c r="DR70">
        <f t="shared" si="111"/>
        <v>1.025920773765499</v>
      </c>
      <c r="DZ70" s="46">
        <v>37</v>
      </c>
      <c r="EA70" s="46">
        <v>0.9746158608393688</v>
      </c>
      <c r="EB70" s="46">
        <v>0.43075751436086052</v>
      </c>
      <c r="EC70" s="46">
        <v>0.97474101015000525</v>
      </c>
      <c r="ED70">
        <f t="shared" si="109"/>
        <v>8.1199005129780982E-2</v>
      </c>
      <c r="EJ70" s="46">
        <v>39</v>
      </c>
      <c r="EK70" s="46">
        <v>0.82958593225466726</v>
      </c>
      <c r="EL70" s="46">
        <v>-6.2001213177140246E-2</v>
      </c>
      <c r="EM70" s="46">
        <v>-0.14213239183953327</v>
      </c>
      <c r="EN70">
        <f t="shared" si="87"/>
        <v>0.57468005529723798</v>
      </c>
      <c r="EU70" s="46">
        <v>39</v>
      </c>
      <c r="EV70" s="46">
        <v>0.71691776024220832</v>
      </c>
      <c r="EW70" s="46">
        <v>5.0666958835318687E-2</v>
      </c>
      <c r="EX70" s="46">
        <v>0.11725935253931632</v>
      </c>
      <c r="EY70">
        <f t="shared" si="88"/>
        <v>0.70426797640036098</v>
      </c>
      <c r="FF70" s="46">
        <v>38</v>
      </c>
      <c r="FG70" s="46">
        <v>1.0822674610649006</v>
      </c>
      <c r="FH70" s="46">
        <v>-1.5664127912388803E-2</v>
      </c>
      <c r="FI70" s="46">
        <v>-3.708805218239225E-2</v>
      </c>
      <c r="FJ70">
        <f t="shared" si="91"/>
        <v>-0.30570335101251872</v>
      </c>
      <c r="FP70" s="46">
        <v>38</v>
      </c>
      <c r="FQ70" s="46">
        <v>1.094405480683694</v>
      </c>
      <c r="FR70" s="46">
        <v>-2.7802147531182264E-2</v>
      </c>
      <c r="FS70" s="46">
        <v>-6.728362528613388E-2</v>
      </c>
      <c r="FT70">
        <f t="shared" si="92"/>
        <v>-0.36970496364513361</v>
      </c>
      <c r="FZ70" s="46">
        <v>39</v>
      </c>
      <c r="GA70" s="46">
        <v>0.86514873921097646</v>
      </c>
      <c r="GB70" s="46">
        <v>-9.7564020133449447E-2</v>
      </c>
      <c r="GC70" s="46">
        <v>-0.22883408455564358</v>
      </c>
      <c r="GD70">
        <f t="shared" si="89"/>
        <v>0.73419406368153339</v>
      </c>
      <c r="GJ70" s="46">
        <v>37</v>
      </c>
      <c r="GK70" s="46">
        <v>0.96436165798452977</v>
      </c>
      <c r="GL70" s="46">
        <v>0.44101171721569954</v>
      </c>
      <c r="GM70" s="46">
        <v>1.0772832513563628</v>
      </c>
      <c r="GT70" s="46">
        <v>38</v>
      </c>
      <c r="GU70" s="46">
        <v>1.2307439652386667</v>
      </c>
      <c r="GV70" s="46">
        <v>-0.16414063208615493</v>
      </c>
      <c r="GW70" s="46">
        <v>-0.40520735097129384</v>
      </c>
      <c r="HD70" s="46">
        <v>38</v>
      </c>
      <c r="HE70" s="46">
        <v>0.1750235731227634</v>
      </c>
      <c r="HF70" s="46">
        <v>0.6098796385547387</v>
      </c>
      <c r="HG70" s="46">
        <v>1.8241829440435493</v>
      </c>
    </row>
    <row r="71" spans="1:220" x14ac:dyDescent="0.35">
      <c r="BG71">
        <v>333</v>
      </c>
      <c r="BH71" s="26"/>
      <c r="BI71" s="61"/>
      <c r="BJ71" s="26"/>
      <c r="BK71" s="26"/>
      <c r="BL71" s="26"/>
      <c r="BM71" s="26"/>
      <c r="BN71" s="61">
        <f t="shared" si="84"/>
        <v>333</v>
      </c>
      <c r="BO71" s="26">
        <f t="shared" si="85"/>
        <v>0</v>
      </c>
      <c r="DA71" s="46">
        <v>1990</v>
      </c>
      <c r="DB71" s="46">
        <v>0.60406510688201398</v>
      </c>
      <c r="DC71" s="46">
        <v>0.3082608782967784</v>
      </c>
      <c r="DD71" s="46">
        <v>0.62578752756033729</v>
      </c>
      <c r="DE71">
        <f t="shared" si="86"/>
        <v>8.4970397973693851E-2</v>
      </c>
      <c r="DN71" s="46">
        <v>37</v>
      </c>
      <c r="DO71" s="46">
        <v>0.97171577004123832</v>
      </c>
      <c r="DP71" s="46">
        <v>0.43365760515899099</v>
      </c>
      <c r="DQ71" s="46">
        <v>1.025920773765499</v>
      </c>
      <c r="DR71">
        <f t="shared" si="111"/>
        <v>3.4508875208086827E-2</v>
      </c>
      <c r="DZ71" s="46">
        <v>38</v>
      </c>
      <c r="EA71" s="46">
        <v>1.0307198715416204</v>
      </c>
      <c r="EB71" s="46">
        <v>3.5883461610891398E-2</v>
      </c>
      <c r="EC71" s="46">
        <v>8.1199005129780982E-2</v>
      </c>
      <c r="ED71">
        <f t="shared" si="109"/>
        <v>-0.10992526684897885</v>
      </c>
      <c r="EJ71" s="46">
        <v>40</v>
      </c>
      <c r="EK71" s="46">
        <v>0.66163815704907336</v>
      </c>
      <c r="EL71" s="46">
        <v>0.25068782812971901</v>
      </c>
      <c r="EM71" s="46">
        <v>0.57468005529723798</v>
      </c>
      <c r="EN71">
        <f t="shared" si="87"/>
        <v>-0.18449164971004808</v>
      </c>
      <c r="EU71" s="46">
        <v>40</v>
      </c>
      <c r="EV71" s="46">
        <v>0.60801664185928228</v>
      </c>
      <c r="EW71" s="46">
        <v>0.30430934331951009</v>
      </c>
      <c r="EX71" s="46">
        <v>0.70426797640036098</v>
      </c>
      <c r="EY71">
        <f t="shared" si="88"/>
        <v>0.11266320752409491</v>
      </c>
      <c r="FF71" s="46">
        <v>39</v>
      </c>
      <c r="FG71" s="46">
        <v>0.89669843931165105</v>
      </c>
      <c r="FH71" s="46">
        <v>-0.12911372023412404</v>
      </c>
      <c r="FI71" s="46">
        <v>-0.30570335101251872</v>
      </c>
      <c r="FJ71">
        <f t="shared" si="91"/>
        <v>0.18898508935593311</v>
      </c>
      <c r="FP71" s="46">
        <v>39</v>
      </c>
      <c r="FQ71" s="46">
        <v>0.92034985173143946</v>
      </c>
      <c r="FR71" s="46">
        <v>-0.15276513265391245</v>
      </c>
      <c r="FS71" s="46">
        <v>-0.36970496364513361</v>
      </c>
      <c r="FT71">
        <f t="shared" si="92"/>
        <v>0.36436831191227653</v>
      </c>
      <c r="FZ71" s="46">
        <v>40</v>
      </c>
      <c r="GA71" s="46">
        <v>0.59930039482594299</v>
      </c>
      <c r="GB71" s="46">
        <v>0.31302559035284938</v>
      </c>
      <c r="GC71" s="46">
        <v>0.73419406368153339</v>
      </c>
      <c r="GD71">
        <f t="shared" si="89"/>
        <v>-0.36199169533944131</v>
      </c>
      <c r="GJ71" s="46">
        <v>38</v>
      </c>
      <c r="GK71" s="46">
        <v>1.0905623131565676</v>
      </c>
      <c r="GL71" s="46">
        <v>-2.395898000405583E-2</v>
      </c>
      <c r="GM71" s="46">
        <v>-5.8525900492860002E-2</v>
      </c>
      <c r="GT71" s="46">
        <v>39</v>
      </c>
      <c r="GU71" s="46">
        <v>1.0421644669268255</v>
      </c>
      <c r="GV71" s="46">
        <v>-0.27457974784929851</v>
      </c>
      <c r="GW71" s="46">
        <v>-0.67784393688687927</v>
      </c>
      <c r="HD71" s="46">
        <v>39</v>
      </c>
      <c r="HE71" s="46">
        <v>-0.34567817789628252</v>
      </c>
      <c r="HF71" s="46">
        <v>-2.619741215607535E-2</v>
      </c>
      <c r="HG71" s="46">
        <v>-7.8357874918466547E-2</v>
      </c>
    </row>
    <row r="72" spans="1:220" x14ac:dyDescent="0.35">
      <c r="BG72">
        <v>338</v>
      </c>
      <c r="BH72" s="26"/>
      <c r="BI72" s="61"/>
      <c r="BJ72" s="26"/>
      <c r="BK72" s="26"/>
      <c r="BL72" s="26"/>
      <c r="BM72" s="26"/>
      <c r="BN72" s="61">
        <f t="shared" si="84"/>
        <v>338</v>
      </c>
      <c r="BO72" s="26">
        <f t="shared" si="85"/>
        <v>0</v>
      </c>
      <c r="DA72" s="46">
        <v>1991</v>
      </c>
      <c r="DB72" s="46">
        <v>0.45220971784462505</v>
      </c>
      <c r="DC72" s="46">
        <v>4.1856138633367346E-2</v>
      </c>
      <c r="DD72" s="46">
        <v>8.4970397973693851E-2</v>
      </c>
      <c r="DE72">
        <f t="shared" si="86"/>
        <v>-0.54354731390728317</v>
      </c>
      <c r="DN72" s="46">
        <v>38</v>
      </c>
      <c r="DO72" s="46">
        <v>1.0520164015276239</v>
      </c>
      <c r="DP72" s="46">
        <v>1.4586931624887889E-2</v>
      </c>
      <c r="DQ72" s="46">
        <v>3.4508875208086827E-2</v>
      </c>
      <c r="DR72">
        <f t="shared" si="111"/>
        <v>-0.21431536248070809</v>
      </c>
      <c r="DZ72" s="46">
        <v>39</v>
      </c>
      <c r="EA72" s="46">
        <v>0.81616288929941339</v>
      </c>
      <c r="EB72" s="46">
        <v>-4.8578170221886374E-2</v>
      </c>
      <c r="EC72" s="46">
        <v>-0.10992526684897885</v>
      </c>
      <c r="ED72">
        <f t="shared" si="109"/>
        <v>0.55672052065018962</v>
      </c>
      <c r="EJ72" s="46">
        <v>41</v>
      </c>
      <c r="EK72" s="46">
        <v>0.57454509104958262</v>
      </c>
      <c r="EL72" s="46">
        <v>-8.047923457159023E-2</v>
      </c>
      <c r="EM72" s="46">
        <v>-0.18449164971004808</v>
      </c>
      <c r="EN72">
        <f t="shared" si="87"/>
        <v>-0.36261665628020556</v>
      </c>
      <c r="EU72" s="46">
        <v>41</v>
      </c>
      <c r="EV72" s="46">
        <v>0.4453848602566946</v>
      </c>
      <c r="EW72" s="46">
        <v>4.868099622129779E-2</v>
      </c>
      <c r="EX72" s="46">
        <v>0.11266320752409491</v>
      </c>
      <c r="EY72">
        <f t="shared" si="88"/>
        <v>-0.16126705206708325</v>
      </c>
      <c r="FF72" s="46">
        <v>40</v>
      </c>
      <c r="FG72" s="46">
        <v>0.83250818836791063</v>
      </c>
      <c r="FH72" s="46">
        <v>7.9817796810881747E-2</v>
      </c>
      <c r="FI72" s="46">
        <v>0.18898508935593311</v>
      </c>
      <c r="FJ72">
        <f t="shared" si="91"/>
        <v>-0.15151592899138833</v>
      </c>
      <c r="FP72" s="46">
        <v>40</v>
      </c>
      <c r="FQ72" s="46">
        <v>0.76176600092716151</v>
      </c>
      <c r="FR72" s="46">
        <v>0.15055998425163086</v>
      </c>
      <c r="FS72" s="46">
        <v>0.36436831191227653</v>
      </c>
      <c r="FT72">
        <f t="shared" si="92"/>
        <v>-0.2679270797357261</v>
      </c>
      <c r="FZ72" s="46">
        <v>41</v>
      </c>
      <c r="GA72" s="46">
        <v>0.64840197786838316</v>
      </c>
      <c r="GB72" s="46">
        <v>-0.15433612139039077</v>
      </c>
      <c r="GC72" s="46">
        <v>-0.36199169533944131</v>
      </c>
      <c r="GD72">
        <f t="shared" si="89"/>
        <v>-0.56066520362282413</v>
      </c>
      <c r="GJ72" s="46">
        <v>39</v>
      </c>
      <c r="GK72" s="46">
        <v>0.92740890433897416</v>
      </c>
      <c r="GL72" s="46">
        <v>-0.15982418526144715</v>
      </c>
      <c r="GM72" s="46">
        <v>-0.39041120954984043</v>
      </c>
      <c r="GT72" s="46">
        <v>40</v>
      </c>
      <c r="GU72" s="46">
        <v>0.9384505830375961</v>
      </c>
      <c r="GV72" s="46">
        <v>-2.6124597858803722E-2</v>
      </c>
      <c r="GW72" s="46">
        <v>-6.4492739908542721E-2</v>
      </c>
      <c r="HD72" s="46">
        <v>40</v>
      </c>
      <c r="HE72" s="46">
        <v>-0.51886721765234745</v>
      </c>
      <c r="HF72" s="46">
        <v>0.28328046243476501</v>
      </c>
      <c r="HG72" s="46">
        <v>0.84730716568739362</v>
      </c>
    </row>
    <row r="73" spans="1:220" x14ac:dyDescent="0.35">
      <c r="A73" t="s">
        <v>102</v>
      </c>
      <c r="BG73">
        <v>350</v>
      </c>
      <c r="BH73" s="26"/>
      <c r="BI73" s="61"/>
      <c r="BJ73" s="26"/>
      <c r="BK73" s="26"/>
      <c r="BL73" s="26"/>
      <c r="BM73" s="26"/>
      <c r="BN73" s="61">
        <f t="shared" si="84"/>
        <v>350</v>
      </c>
      <c r="BO73" s="26">
        <f t="shared" si="85"/>
        <v>0</v>
      </c>
      <c r="DA73" s="46">
        <v>1992</v>
      </c>
      <c r="DB73" s="46">
        <v>0.49601162358764606</v>
      </c>
      <c r="DC73" s="46">
        <v>-0.26774961948208298</v>
      </c>
      <c r="DD73" s="46">
        <v>-0.54354731390728317</v>
      </c>
      <c r="DE73">
        <f t="shared" si="86"/>
        <v>-0.16924176204082345</v>
      </c>
      <c r="DN73" s="46">
        <v>39</v>
      </c>
      <c r="DO73" s="46">
        <v>0.85817600957361817</v>
      </c>
      <c r="DP73" s="46">
        <v>-9.0591290496091159E-2</v>
      </c>
      <c r="DQ73" s="46">
        <v>-0.21431536248070809</v>
      </c>
      <c r="DR73">
        <f t="shared" si="111"/>
        <v>0.26873970994772306</v>
      </c>
      <c r="DZ73" s="46">
        <v>40</v>
      </c>
      <c r="EA73" s="46">
        <v>0.66630007145217629</v>
      </c>
      <c r="EB73" s="46">
        <v>0.24602591372661609</v>
      </c>
      <c r="EC73" s="46">
        <v>0.55672052065018962</v>
      </c>
      <c r="ED73">
        <f t="shared" si="109"/>
        <v>9.4716149598860946E-2</v>
      </c>
      <c r="EJ73" s="46">
        <v>42</v>
      </c>
      <c r="EK73" s="46">
        <v>0.38644320626948381</v>
      </c>
      <c r="EL73" s="46">
        <v>-0.15818120216392076</v>
      </c>
      <c r="EM73" s="46">
        <v>-0.36261665628020556</v>
      </c>
      <c r="EN73">
        <f t="shared" si="87"/>
        <v>9.8711978677720174E-3</v>
      </c>
      <c r="EU73" s="46">
        <v>42</v>
      </c>
      <c r="EV73" s="46">
        <v>0.29794438688894442</v>
      </c>
      <c r="EW73" s="46">
        <v>-6.9682382783381375E-2</v>
      </c>
      <c r="EX73" s="46">
        <v>-0.16126705206708325</v>
      </c>
      <c r="EY73">
        <f t="shared" si="88"/>
        <v>0.20741044674033327</v>
      </c>
      <c r="FF73" s="46">
        <v>41</v>
      </c>
      <c r="FG73" s="46">
        <v>0.55805856444803492</v>
      </c>
      <c r="FH73" s="46">
        <v>-6.3992707970042528E-2</v>
      </c>
      <c r="FI73" s="46">
        <v>-0.15151592899138833</v>
      </c>
      <c r="FJ73">
        <f t="shared" si="91"/>
        <v>-0.21613560835833853</v>
      </c>
      <c r="FP73" s="46">
        <v>41</v>
      </c>
      <c r="FQ73" s="46">
        <v>0.60477553014277641</v>
      </c>
      <c r="FR73" s="46">
        <v>-0.11070967366478401</v>
      </c>
      <c r="FS73" s="46">
        <v>-0.2679270797357261</v>
      </c>
      <c r="FT73">
        <f t="shared" si="92"/>
        <v>-0.44495039167278977</v>
      </c>
      <c r="FZ73" s="46">
        <v>42</v>
      </c>
      <c r="GA73" s="46">
        <v>0.46730310377653728</v>
      </c>
      <c r="GB73" s="46">
        <v>-0.23904109967097423</v>
      </c>
      <c r="GC73" s="46">
        <v>-0.56066520362282413</v>
      </c>
      <c r="GD73">
        <f t="shared" si="89"/>
        <v>-0.22631996996348303</v>
      </c>
      <c r="GJ73" s="46">
        <v>40</v>
      </c>
      <c r="GK73" s="46">
        <v>0.83388955328987546</v>
      </c>
      <c r="GL73" s="46">
        <v>7.8436431888916913E-2</v>
      </c>
      <c r="GM73" s="46">
        <v>0.19160092821015925</v>
      </c>
      <c r="GT73" s="46">
        <v>41</v>
      </c>
      <c r="GU73" s="46">
        <v>0.74798283049081515</v>
      </c>
      <c r="GV73" s="46">
        <v>-0.25391697401282276</v>
      </c>
      <c r="GW73" s="46">
        <v>-0.62683458141173654</v>
      </c>
      <c r="HD73" s="46">
        <v>41</v>
      </c>
      <c r="HE73" s="46">
        <v>-0.17436650031033762</v>
      </c>
      <c r="HF73" s="46">
        <v>-0.71653310469466147</v>
      </c>
      <c r="HG73" s="46">
        <v>-2.143189222588314</v>
      </c>
    </row>
    <row r="74" spans="1:220" ht="15" thickBot="1" x14ac:dyDescent="0.4">
      <c r="BG74">
        <v>354</v>
      </c>
      <c r="BH74" s="26"/>
      <c r="BI74" s="61"/>
      <c r="BJ74" s="26"/>
      <c r="BK74" s="26"/>
      <c r="BL74" s="26"/>
      <c r="BM74" s="26"/>
      <c r="BN74" s="61">
        <f t="shared" si="84"/>
        <v>354</v>
      </c>
      <c r="BO74" s="26">
        <f t="shared" si="85"/>
        <v>0</v>
      </c>
      <c r="DA74" s="46">
        <v>1993</v>
      </c>
      <c r="DB74" s="46">
        <v>0.5273177849934455</v>
      </c>
      <c r="DC74" s="46">
        <v>-8.3367935462996923E-2</v>
      </c>
      <c r="DD74" s="46">
        <v>-0.16924176204082345</v>
      </c>
      <c r="DE74">
        <f t="shared" si="86"/>
        <v>1.3632164420445982</v>
      </c>
      <c r="DN74" s="46">
        <v>40</v>
      </c>
      <c r="DO74" s="46">
        <v>0.79872947557766216</v>
      </c>
      <c r="DP74" s="46">
        <v>0.11359650960113021</v>
      </c>
      <c r="DQ74" s="46">
        <v>0.26873970994772306</v>
      </c>
      <c r="DR74">
        <f t="shared" si="111"/>
        <v>-6.4451486510470335E-2</v>
      </c>
      <c r="DZ74" s="46">
        <v>41</v>
      </c>
      <c r="EA74" s="46">
        <v>0.4522088988387955</v>
      </c>
      <c r="EB74" s="46">
        <v>4.185695763919689E-2</v>
      </c>
      <c r="EC74" s="46">
        <v>9.4716149598860946E-2</v>
      </c>
      <c r="ED74">
        <f t="shared" si="109"/>
        <v>7.7661864983068929E-2</v>
      </c>
      <c r="EJ74" s="46">
        <v>43</v>
      </c>
      <c r="EK74" s="46">
        <v>0.43964382023345033</v>
      </c>
      <c r="EL74" s="46">
        <v>4.3060292969982483E-3</v>
      </c>
      <c r="EM74" s="46">
        <v>9.8711978677720174E-3</v>
      </c>
      <c r="EN74">
        <f t="shared" si="87"/>
        <v>1.5431912021684318</v>
      </c>
      <c r="EU74" s="46">
        <v>43</v>
      </c>
      <c r="EV74" s="46">
        <v>0.3543292236321095</v>
      </c>
      <c r="EW74" s="46">
        <v>8.9620625898339079E-2</v>
      </c>
      <c r="EX74" s="46">
        <v>0.20741044674033327</v>
      </c>
      <c r="EY74">
        <f t="shared" si="88"/>
        <v>1.6657348157873224</v>
      </c>
      <c r="FF74" s="46">
        <v>42</v>
      </c>
      <c r="FG74" s="46">
        <v>0.31954681461805218</v>
      </c>
      <c r="FH74" s="46">
        <v>-9.1284810512489128E-2</v>
      </c>
      <c r="FI74" s="46">
        <v>-0.21613560835833853</v>
      </c>
      <c r="FJ74">
        <f t="shared" si="91"/>
        <v>0.36514956949180755</v>
      </c>
      <c r="FP74" s="46">
        <v>42</v>
      </c>
      <c r="FQ74" s="46">
        <v>0.41211916668763959</v>
      </c>
      <c r="FR74" s="46">
        <v>-0.18385716258207654</v>
      </c>
      <c r="FS74" s="46">
        <v>-0.44495039167278977</v>
      </c>
      <c r="FT74">
        <f t="shared" si="92"/>
        <v>-1.1524001567970895E-3</v>
      </c>
      <c r="FZ74" s="46">
        <v>43</v>
      </c>
      <c r="GA74" s="46">
        <v>0.54044197022564933</v>
      </c>
      <c r="GB74" s="46">
        <v>-9.6492120695200745E-2</v>
      </c>
      <c r="GC74" s="46">
        <v>-0.22631996996348303</v>
      </c>
      <c r="GD74">
        <f t="shared" si="89"/>
        <v>1.7122298849701814</v>
      </c>
      <c r="GJ74" s="46">
        <v>41</v>
      </c>
      <c r="GK74" s="46">
        <v>0.62802317091060511</v>
      </c>
      <c r="GL74" s="46">
        <v>-0.13395731443261272</v>
      </c>
      <c r="GM74" s="46">
        <v>-0.32722480061533016</v>
      </c>
      <c r="GT74" s="46">
        <v>42</v>
      </c>
      <c r="GU74" s="46">
        <v>0.51951194452191585</v>
      </c>
      <c r="GV74" s="46">
        <v>-0.29124994041635277</v>
      </c>
      <c r="GW74" s="46">
        <v>-0.71899696818952386</v>
      </c>
      <c r="HD74" s="47">
        <v>42</v>
      </c>
      <c r="HE74" s="47">
        <v>-0.96092919929356579</v>
      </c>
      <c r="HF74" s="47">
        <v>-4.7920433592382183E-2</v>
      </c>
      <c r="HG74" s="47">
        <v>-0.14333260549171342</v>
      </c>
    </row>
    <row r="75" spans="1:220" x14ac:dyDescent="0.35">
      <c r="A75" s="49" t="s">
        <v>103</v>
      </c>
      <c r="B75" s="49"/>
      <c r="DA75" s="46">
        <v>1994</v>
      </c>
      <c r="DB75" s="46">
        <v>0.10439254774082296</v>
      </c>
      <c r="DC75" s="46">
        <v>0.67151593668149567</v>
      </c>
      <c r="DD75" s="46">
        <v>1.3632164420445982</v>
      </c>
      <c r="DE75">
        <f t="shared" si="86"/>
        <v>0.90635896661938764</v>
      </c>
      <c r="DN75" s="46">
        <v>41</v>
      </c>
      <c r="DO75" s="46">
        <v>0.52130955599533568</v>
      </c>
      <c r="DP75" s="46">
        <v>-2.7243699517343289E-2</v>
      </c>
      <c r="DQ75" s="46">
        <v>-6.4451486510470335E-2</v>
      </c>
      <c r="DR75">
        <f t="shared" si="111"/>
        <v>-0.18327934530093332</v>
      </c>
      <c r="DZ75" s="46">
        <v>42</v>
      </c>
      <c r="EA75" s="46">
        <v>0.19394167534912005</v>
      </c>
      <c r="EB75" s="46">
        <v>3.4320328756443003E-2</v>
      </c>
      <c r="EC75" s="46">
        <v>7.7661864983068929E-2</v>
      </c>
      <c r="ED75">
        <f t="shared" si="109"/>
        <v>0.52014189505410136</v>
      </c>
      <c r="EJ75" s="46">
        <v>44</v>
      </c>
      <c r="EK75" s="46">
        <v>0.10273521645428096</v>
      </c>
      <c r="EL75" s="46">
        <v>0.67317326796803767</v>
      </c>
      <c r="EM75" s="46">
        <v>1.5431912021684318</v>
      </c>
      <c r="EN75">
        <f t="shared" si="87"/>
        <v>0.99403149903719135</v>
      </c>
      <c r="EU75" s="46">
        <v>44</v>
      </c>
      <c r="EV75" s="46">
        <v>5.6155940046334736E-2</v>
      </c>
      <c r="EW75" s="46">
        <v>0.7197525443759839</v>
      </c>
      <c r="EX75" s="46">
        <v>1.6657348157873224</v>
      </c>
      <c r="EY75">
        <f t="shared" si="88"/>
        <v>1.1149199198796291</v>
      </c>
      <c r="FF75" s="46">
        <v>43</v>
      </c>
      <c r="FG75" s="46">
        <v>0.2897290364355819</v>
      </c>
      <c r="FH75" s="46">
        <v>0.15422081309486668</v>
      </c>
      <c r="FI75" s="46">
        <v>0.36514956949180755</v>
      </c>
      <c r="FJ75">
        <f t="shared" si="91"/>
        <v>1.3648898670753944</v>
      </c>
      <c r="FP75" s="46">
        <v>43</v>
      </c>
      <c r="FQ75" s="46">
        <v>0.44442603075638548</v>
      </c>
      <c r="FR75" s="46">
        <v>-4.7618122593690027E-4</v>
      </c>
      <c r="FS75" s="46">
        <v>-1.1524001567970895E-3</v>
      </c>
      <c r="FT75">
        <f t="shared" si="92"/>
        <v>1.5635933821641543</v>
      </c>
      <c r="FZ75" s="46">
        <v>44</v>
      </c>
      <c r="GA75" s="46">
        <v>4.589472229107449E-2</v>
      </c>
      <c r="GB75" s="46">
        <v>0.73001376213124414</v>
      </c>
      <c r="GC75" s="46">
        <v>1.7122298849701814</v>
      </c>
      <c r="GD75">
        <f t="shared" si="89"/>
        <v>1.2238171547804846</v>
      </c>
      <c r="GJ75" s="46">
        <v>42</v>
      </c>
      <c r="GK75" s="46">
        <v>0.48341540993099591</v>
      </c>
      <c r="GL75" s="46">
        <v>-0.25515340582543289</v>
      </c>
      <c r="GM75" s="46">
        <v>-0.62327706927530746</v>
      </c>
      <c r="GT75" s="46">
        <v>43</v>
      </c>
      <c r="GU75" s="46">
        <v>0.54777337786404767</v>
      </c>
      <c r="GV75" s="46">
        <v>-0.10382352833359909</v>
      </c>
      <c r="GW75" s="46">
        <v>-0.25630495234396822</v>
      </c>
    </row>
    <row r="76" spans="1:220" x14ac:dyDescent="0.35">
      <c r="A76" s="46" t="s">
        <v>104</v>
      </c>
      <c r="B76" s="46">
        <v>0.69688329947102834</v>
      </c>
      <c r="DA76" s="46">
        <v>1995</v>
      </c>
      <c r="DB76" s="46">
        <v>0.12771806145041986</v>
      </c>
      <c r="DC76" s="46">
        <v>0.44646944657316479</v>
      </c>
      <c r="DD76" s="46">
        <v>0.90635896661938764</v>
      </c>
      <c r="DE76">
        <f t="shared" si="86"/>
        <v>-0.47144005843739806</v>
      </c>
      <c r="DN76" s="46">
        <v>42</v>
      </c>
      <c r="DO76" s="46">
        <v>0.30573434309192404</v>
      </c>
      <c r="DP76" s="46">
        <v>-7.7472338986360995E-2</v>
      </c>
      <c r="DQ76" s="46">
        <v>-0.18327934530093332</v>
      </c>
      <c r="DR76">
        <f t="shared" si="111"/>
        <v>0.35737188419825489</v>
      </c>
      <c r="DZ76" s="46">
        <v>43</v>
      </c>
      <c r="EA76" s="46">
        <v>0.21408876079471159</v>
      </c>
      <c r="EB76" s="46">
        <v>0.22986108873573699</v>
      </c>
      <c r="EC76" s="46">
        <v>0.52014189505410136</v>
      </c>
      <c r="ED76">
        <f t="shared" si="109"/>
        <v>1.4515469552950657</v>
      </c>
      <c r="EJ76" s="46">
        <v>45</v>
      </c>
      <c r="EK76" s="46">
        <v>0.14056954044460782</v>
      </c>
      <c r="EL76" s="46">
        <v>0.43361796757897686</v>
      </c>
      <c r="EM76" s="46">
        <v>0.99403149903719135</v>
      </c>
      <c r="EN76">
        <f t="shared" si="87"/>
        <v>-0.3419644664836895</v>
      </c>
      <c r="EU76" s="46">
        <v>45</v>
      </c>
      <c r="EV76" s="46">
        <v>9.2438287497423416E-2</v>
      </c>
      <c r="EW76" s="46">
        <v>0.4817492205261612</v>
      </c>
      <c r="EX76" s="46">
        <v>1.1149199198796291</v>
      </c>
      <c r="EY76">
        <f t="shared" si="88"/>
        <v>-0.15711363780940407</v>
      </c>
      <c r="FF76" s="46">
        <v>44</v>
      </c>
      <c r="FG76" s="46">
        <v>0.19944765118550309</v>
      </c>
      <c r="FH76" s="46">
        <v>0.57646083323681552</v>
      </c>
      <c r="FI76" s="46">
        <v>1.3648898670753944</v>
      </c>
      <c r="FJ76">
        <f t="shared" si="91"/>
        <v>1.1733854494309339</v>
      </c>
      <c r="FP76" s="46">
        <v>44</v>
      </c>
      <c r="FQ76" s="46">
        <v>0.12981883475139303</v>
      </c>
      <c r="FR76" s="46">
        <v>0.64608964967092564</v>
      </c>
      <c r="FS76" s="46">
        <v>1.5635933821641543</v>
      </c>
      <c r="FT76">
        <f t="shared" si="92"/>
        <v>1.4787993938411363</v>
      </c>
      <c r="FZ76" s="46">
        <v>45</v>
      </c>
      <c r="GA76" s="46">
        <v>5.2409811486290925E-2</v>
      </c>
      <c r="GB76" s="46">
        <v>0.52177769653729378</v>
      </c>
      <c r="GC76" s="46">
        <v>1.2238171547804846</v>
      </c>
      <c r="GD76">
        <f t="shared" si="89"/>
        <v>-0.32431716733505522</v>
      </c>
      <c r="GJ76" s="46">
        <v>43</v>
      </c>
      <c r="GK76" s="46">
        <v>0.49658569142078895</v>
      </c>
      <c r="GL76" s="46">
        <v>-5.2635841890340374E-2</v>
      </c>
      <c r="GM76" s="46">
        <v>-0.12857642705618055</v>
      </c>
      <c r="GT76" s="46">
        <v>44</v>
      </c>
      <c r="GU76" s="46">
        <v>0.26111140773263442</v>
      </c>
      <c r="GV76" s="46">
        <v>0.51479707668968422</v>
      </c>
      <c r="GW76" s="46">
        <v>1.270858757408112</v>
      </c>
    </row>
    <row r="77" spans="1:220" x14ac:dyDescent="0.35">
      <c r="A77" s="46" t="s">
        <v>105</v>
      </c>
      <c r="B77" s="46">
        <v>0.48564633308162702</v>
      </c>
      <c r="DA77" s="46">
        <v>1996</v>
      </c>
      <c r="DB77" s="46">
        <v>0.40260206644828156</v>
      </c>
      <c r="DC77" s="46">
        <v>-0.2322298225481727</v>
      </c>
      <c r="DD77" s="46">
        <v>-0.47144005843739806</v>
      </c>
      <c r="DE77">
        <f t="shared" si="86"/>
        <v>1.1624821757692585</v>
      </c>
      <c r="DN77" s="46">
        <v>43</v>
      </c>
      <c r="DO77" s="46">
        <v>0.29288844263082037</v>
      </c>
      <c r="DP77" s="46">
        <v>0.15106140689962821</v>
      </c>
      <c r="DQ77" s="46">
        <v>0.35737188419825489</v>
      </c>
      <c r="DR77">
        <f t="shared" si="111"/>
        <v>1.42323162843857</v>
      </c>
      <c r="DZ77" s="46">
        <v>44</v>
      </c>
      <c r="EA77" s="46">
        <v>0.13444090284928709</v>
      </c>
      <c r="EB77" s="46">
        <v>0.64146758157303152</v>
      </c>
      <c r="EC77" s="46">
        <v>1.4515469552950657</v>
      </c>
      <c r="ED77">
        <f t="shared" si="109"/>
        <v>1.1968153220469115</v>
      </c>
      <c r="EJ77" s="46">
        <v>46</v>
      </c>
      <c r="EK77" s="46">
        <v>0.31954451568879055</v>
      </c>
      <c r="EL77" s="46">
        <v>-0.1491722717886817</v>
      </c>
      <c r="EM77" s="46">
        <v>-0.3419644664836895</v>
      </c>
      <c r="EN77">
        <f t="shared" si="87"/>
        <v>1.0892941685484274</v>
      </c>
      <c r="EU77" s="46">
        <v>46</v>
      </c>
      <c r="EV77" s="46">
        <v>0.23825996498135182</v>
      </c>
      <c r="EW77" s="46">
        <v>-6.7887721081242969E-2</v>
      </c>
      <c r="EX77" s="46">
        <v>-0.15711363780940407</v>
      </c>
      <c r="EY77">
        <f t="shared" si="88"/>
        <v>1.312119664539416</v>
      </c>
      <c r="FF77" s="46">
        <v>45</v>
      </c>
      <c r="FG77" s="46">
        <v>7.8608509158068454E-2</v>
      </c>
      <c r="FH77" s="46">
        <v>0.49557899886551621</v>
      </c>
      <c r="FI77" s="46">
        <v>1.1733854494309339</v>
      </c>
      <c r="FJ77">
        <f t="shared" si="91"/>
        <v>-0.25393206410043273</v>
      </c>
      <c r="FP77" s="46">
        <v>45</v>
      </c>
      <c r="FQ77" s="46">
        <v>-3.6864568046209092E-2</v>
      </c>
      <c r="FR77" s="46">
        <v>0.61105207606979373</v>
      </c>
      <c r="FS77" s="46">
        <v>1.4787993938411363</v>
      </c>
      <c r="FT77">
        <f t="shared" si="92"/>
        <v>-0.20701463451424224</v>
      </c>
      <c r="FZ77" s="46">
        <v>46</v>
      </c>
      <c r="GA77" s="46">
        <v>0.30864573014645774</v>
      </c>
      <c r="GB77" s="46">
        <v>-0.13827348624634889</v>
      </c>
      <c r="GC77" s="46">
        <v>-0.32431716733505522</v>
      </c>
      <c r="GD77">
        <f t="shared" si="89"/>
        <v>1.1993187132114078</v>
      </c>
      <c r="GJ77" s="46">
        <v>44</v>
      </c>
      <c r="GK77" s="46">
        <v>0.12726062112015443</v>
      </c>
      <c r="GL77" s="46">
        <v>0.64864786330216417</v>
      </c>
      <c r="GM77" s="46">
        <v>1.5844873319357629</v>
      </c>
      <c r="GT77" s="46">
        <v>45</v>
      </c>
      <c r="GU77" s="46">
        <v>9.3833605811969312E-2</v>
      </c>
      <c r="GV77" s="46">
        <v>0.48035390221161534</v>
      </c>
      <c r="GW77" s="46">
        <v>1.1858302832764007</v>
      </c>
    </row>
    <row r="78" spans="1:220" x14ac:dyDescent="0.35">
      <c r="A78" s="46" t="s">
        <v>106</v>
      </c>
      <c r="B78" s="46">
        <v>0.4777331997444213</v>
      </c>
      <c r="DA78" s="46">
        <v>1997</v>
      </c>
      <c r="DB78" s="46">
        <v>0.48982495937652781</v>
      </c>
      <c r="DC78" s="46">
        <v>0.57263489718949434</v>
      </c>
      <c r="DD78" s="46">
        <v>1.1624821757692585</v>
      </c>
      <c r="DE78">
        <f t="shared" si="86"/>
        <v>1.4952516162616589</v>
      </c>
      <c r="DN78" s="46">
        <v>44</v>
      </c>
      <c r="DO78" s="46">
        <v>0.17430723473724571</v>
      </c>
      <c r="DP78" s="46">
        <v>0.60160124968507289</v>
      </c>
      <c r="DQ78" s="46">
        <v>1.42323162843857</v>
      </c>
      <c r="DR78">
        <f t="shared" si="111"/>
        <v>1.202050052209731</v>
      </c>
      <c r="DZ78" s="46">
        <v>45</v>
      </c>
      <c r="EA78" s="46">
        <v>4.5290921232203907E-2</v>
      </c>
      <c r="EB78" s="46">
        <v>0.52889658679138074</v>
      </c>
      <c r="EC78" s="46">
        <v>1.1968153220469115</v>
      </c>
      <c r="ED78">
        <f t="shared" si="109"/>
        <v>9.5240904127082242E-3</v>
      </c>
      <c r="EJ78" s="46">
        <v>47</v>
      </c>
      <c r="EK78" s="46">
        <v>0.58728625903002674</v>
      </c>
      <c r="EL78" s="46">
        <v>0.47517359753599542</v>
      </c>
      <c r="EM78" s="46">
        <v>1.0892941685484274</v>
      </c>
      <c r="EN78">
        <f t="shared" si="87"/>
        <v>0.64261595100125679</v>
      </c>
      <c r="EU78" s="46">
        <v>47</v>
      </c>
      <c r="EV78" s="46">
        <v>0.49550198420407082</v>
      </c>
      <c r="EW78" s="46">
        <v>0.56695787236195128</v>
      </c>
      <c r="EX78" s="46">
        <v>1.312119664539416</v>
      </c>
      <c r="EY78">
        <f t="shared" si="88"/>
        <v>0.45946139791204932</v>
      </c>
      <c r="FF78" s="46">
        <v>46</v>
      </c>
      <c r="FG78" s="46">
        <v>0.27762037635971776</v>
      </c>
      <c r="FH78" s="46">
        <v>-0.1072481324596089</v>
      </c>
      <c r="FI78" s="46">
        <v>-0.25393206410043273</v>
      </c>
      <c r="FJ78">
        <f t="shared" si="91"/>
        <v>1.4619540361351802</v>
      </c>
      <c r="FP78" s="46">
        <v>46</v>
      </c>
      <c r="FQ78" s="46">
        <v>0.25591239405406985</v>
      </c>
      <c r="FR78" s="46">
        <v>-8.5540150153960992E-2</v>
      </c>
      <c r="FS78" s="46">
        <v>-0.20701463451424224</v>
      </c>
      <c r="FT78">
        <f t="shared" si="92"/>
        <v>1.645503050703284</v>
      </c>
      <c r="FZ78" s="46">
        <v>47</v>
      </c>
      <c r="GA78" s="46">
        <v>0.55112713570236915</v>
      </c>
      <c r="GB78" s="46">
        <v>0.511332720863653</v>
      </c>
      <c r="GC78" s="46">
        <v>1.1993187132114078</v>
      </c>
      <c r="GD78">
        <f t="shared" si="89"/>
        <v>0.29588991579298091</v>
      </c>
      <c r="GJ78" s="46">
        <v>45</v>
      </c>
      <c r="GK78" s="46">
        <v>-4.5791579810514738E-2</v>
      </c>
      <c r="GL78" s="46">
        <v>0.61997908783409938</v>
      </c>
      <c r="GM78" s="46">
        <v>1.5144565585050045</v>
      </c>
      <c r="GT78" s="46">
        <v>46</v>
      </c>
      <c r="GU78" s="46">
        <v>0.39183336977717742</v>
      </c>
      <c r="GV78" s="46">
        <v>-0.22146112587706857</v>
      </c>
      <c r="GW78" s="46">
        <v>-0.54671213957958475</v>
      </c>
    </row>
    <row r="79" spans="1:220" x14ac:dyDescent="0.35">
      <c r="A79" s="46" t="s">
        <v>107</v>
      </c>
      <c r="B79" s="46">
        <v>0.5078140815619453</v>
      </c>
      <c r="DA79" s="46">
        <v>1998</v>
      </c>
      <c r="DB79" s="46">
        <v>-1.0731391879118051</v>
      </c>
      <c r="DC79" s="46">
        <v>0.73655602932906761</v>
      </c>
      <c r="DD79" s="46">
        <v>1.4952516162616589</v>
      </c>
      <c r="DE79">
        <f t="shared" si="86"/>
        <v>1.5154778547900729</v>
      </c>
      <c r="DN79" s="46">
        <v>45</v>
      </c>
      <c r="DO79" s="46">
        <v>6.6079903369832174E-2</v>
      </c>
      <c r="DP79" s="46">
        <v>0.50810760465375249</v>
      </c>
      <c r="DQ79" s="46">
        <v>1.202050052209731</v>
      </c>
      <c r="DR79">
        <f t="shared" si="111"/>
        <v>-0.20753488994261113</v>
      </c>
      <c r="DZ79" s="46">
        <v>46</v>
      </c>
      <c r="EA79" s="46">
        <v>0.16616335818584621</v>
      </c>
      <c r="EB79" s="46">
        <v>4.2088857142626446E-3</v>
      </c>
      <c r="EC79" s="46">
        <v>9.5240904127082242E-3</v>
      </c>
      <c r="ED79">
        <f t="shared" si="109"/>
        <v>1.6509498272944376</v>
      </c>
      <c r="EJ79" s="46">
        <v>48</v>
      </c>
      <c r="EK79" s="46">
        <v>-0.61690608886904497</v>
      </c>
      <c r="EL79" s="46">
        <v>0.2803229302863075</v>
      </c>
      <c r="EM79" s="46">
        <v>0.64261595100125679</v>
      </c>
      <c r="EN79">
        <f t="shared" si="87"/>
        <v>0.82044816453929803</v>
      </c>
      <c r="EU79" s="46">
        <v>48</v>
      </c>
      <c r="EV79" s="46">
        <v>-0.53511326496911127</v>
      </c>
      <c r="EW79" s="46">
        <v>0.19853010638637381</v>
      </c>
      <c r="EX79" s="46">
        <v>0.45946139791204932</v>
      </c>
      <c r="EY79">
        <f t="shared" si="88"/>
        <v>0.75328208364663729</v>
      </c>
      <c r="FF79" s="46">
        <v>47</v>
      </c>
      <c r="FG79" s="46">
        <v>0.44500400012375391</v>
      </c>
      <c r="FH79" s="46">
        <v>0.6174558564422683</v>
      </c>
      <c r="FI79" s="46">
        <v>1.4619540361351802</v>
      </c>
      <c r="FJ79">
        <f t="shared" si="91"/>
        <v>0.56506948327445672</v>
      </c>
      <c r="FP79" s="46">
        <v>47</v>
      </c>
      <c r="FQ79" s="46">
        <v>0.38252445795884782</v>
      </c>
      <c r="FR79" s="46">
        <v>0.67993539860717433</v>
      </c>
      <c r="FS79" s="46">
        <v>1.645503050703284</v>
      </c>
      <c r="FT79">
        <f t="shared" si="92"/>
        <v>0.15730683719871255</v>
      </c>
      <c r="FZ79" s="46">
        <v>48</v>
      </c>
      <c r="GA79" s="46">
        <v>-0.46273661058167437</v>
      </c>
      <c r="GB79" s="46">
        <v>0.12615345199893691</v>
      </c>
      <c r="GC79" s="46">
        <v>0.29588991579298091</v>
      </c>
      <c r="GD79">
        <f t="shared" si="89"/>
        <v>0.76695758159341121</v>
      </c>
      <c r="GJ79" s="46">
        <v>46</v>
      </c>
      <c r="GK79" s="46">
        <v>0.32090486179806577</v>
      </c>
      <c r="GL79" s="46">
        <v>-0.15053261789795691</v>
      </c>
      <c r="GM79" s="46">
        <v>-0.36771419378179521</v>
      </c>
      <c r="GT79" s="46">
        <v>47</v>
      </c>
      <c r="GU79" s="46">
        <v>0.54004599265473285</v>
      </c>
      <c r="GV79" s="46">
        <v>0.5224138639112893</v>
      </c>
      <c r="GW79" s="46">
        <v>1.289662012481229</v>
      </c>
    </row>
    <row r="80" spans="1:220" ht="15" thickBot="1" x14ac:dyDescent="0.4">
      <c r="A80" s="47" t="s">
        <v>108</v>
      </c>
      <c r="B80" s="47">
        <v>67</v>
      </c>
      <c r="DA80" s="46">
        <v>1999</v>
      </c>
      <c r="DB80" s="46">
        <v>-0.71658761120379677</v>
      </c>
      <c r="DC80" s="46">
        <v>0.7465194079181493</v>
      </c>
      <c r="DD80" s="46">
        <v>1.5154778547900729</v>
      </c>
      <c r="DE80">
        <f t="shared" si="86"/>
        <v>0.96883490708634612</v>
      </c>
      <c r="DN80" s="46">
        <v>46</v>
      </c>
      <c r="DO80" s="46">
        <v>0.25809742274517544</v>
      </c>
      <c r="DP80" s="46">
        <v>-8.7725178845066587E-2</v>
      </c>
      <c r="DQ80" s="46">
        <v>-0.20753488994261113</v>
      </c>
      <c r="DR80">
        <f t="shared" si="111"/>
        <v>1.4968845241779114</v>
      </c>
      <c r="DZ80" s="46">
        <v>47</v>
      </c>
      <c r="EA80" s="46">
        <v>0.33287216451805768</v>
      </c>
      <c r="EB80" s="46">
        <v>0.72958769204796448</v>
      </c>
      <c r="EC80" s="46">
        <v>1.6509498272944376</v>
      </c>
      <c r="ED80">
        <f t="shared" si="109"/>
        <v>0.45135878432862619</v>
      </c>
      <c r="EJ80" s="46">
        <v>49</v>
      </c>
      <c r="EK80" s="46">
        <v>-0.32796537853212498</v>
      </c>
      <c r="EL80" s="46">
        <v>0.35789717524647752</v>
      </c>
      <c r="EM80" s="46">
        <v>0.82044816453929803</v>
      </c>
      <c r="EN80">
        <f t="shared" si="87"/>
        <v>0.57295025058168003</v>
      </c>
      <c r="EU80" s="46">
        <v>49</v>
      </c>
      <c r="EV80" s="46">
        <v>-0.2955562048564413</v>
      </c>
      <c r="EW80" s="46">
        <v>0.32548800157079383</v>
      </c>
      <c r="EX80" s="46">
        <v>0.75328208364663729</v>
      </c>
      <c r="EY80">
        <f t="shared" si="88"/>
        <v>0.67308030889333315</v>
      </c>
      <c r="FF80" s="46">
        <v>48</v>
      </c>
      <c r="FG80" s="46">
        <v>-0.57524008836350249</v>
      </c>
      <c r="FH80" s="46">
        <v>0.23865692978076503</v>
      </c>
      <c r="FI80" s="46">
        <v>0.56506948327445672</v>
      </c>
      <c r="FJ80">
        <f t="shared" si="91"/>
        <v>0.49089918088464907</v>
      </c>
      <c r="FP80" s="46">
        <v>48</v>
      </c>
      <c r="FQ80" s="46">
        <v>-0.40158363792467894</v>
      </c>
      <c r="FR80" s="46">
        <v>6.5000479341941475E-2</v>
      </c>
      <c r="FS80" s="46">
        <v>0.15730683719871255</v>
      </c>
      <c r="FT80">
        <f t="shared" si="92"/>
        <v>0.4563636221897312</v>
      </c>
      <c r="FZ80" s="46">
        <v>49</v>
      </c>
      <c r="GA80" s="46">
        <v>-0.29706260657737443</v>
      </c>
      <c r="GB80" s="46">
        <v>0.32699440329172696</v>
      </c>
      <c r="GC80" s="46">
        <v>0.76695758159341121</v>
      </c>
      <c r="GD80">
        <f t="shared" si="89"/>
        <v>0.69875993053942353</v>
      </c>
      <c r="GJ80" s="46">
        <v>47</v>
      </c>
      <c r="GK80" s="46">
        <v>0.45583029898242156</v>
      </c>
      <c r="GL80" s="46">
        <v>0.6066295575836006</v>
      </c>
      <c r="GM80" s="46">
        <v>1.4818469366039528</v>
      </c>
      <c r="GT80" s="46">
        <v>48</v>
      </c>
      <c r="GU80" s="46">
        <v>-0.46772179842270045</v>
      </c>
      <c r="GV80" s="46">
        <v>0.13113863983996299</v>
      </c>
      <c r="GW80" s="46">
        <v>0.3237366652252105</v>
      </c>
    </row>
    <row r="81" spans="1:205" x14ac:dyDescent="0.35">
      <c r="DA81" s="46">
        <v>2000</v>
      </c>
      <c r="DB81" s="46">
        <v>0.70472951583584265</v>
      </c>
      <c r="DC81" s="46">
        <v>0.47724488940732224</v>
      </c>
      <c r="DD81" s="46">
        <v>0.96883490708634612</v>
      </c>
      <c r="DE81">
        <f t="shared" si="86"/>
        <v>0.60112586270302637</v>
      </c>
      <c r="DN81" s="46">
        <v>47</v>
      </c>
      <c r="DO81" s="46">
        <v>0.4297254636635488</v>
      </c>
      <c r="DP81" s="46">
        <v>0.63273439290247335</v>
      </c>
      <c r="DQ81" s="46">
        <v>1.4968845241779114</v>
      </c>
      <c r="DR81">
        <f t="shared" si="111"/>
        <v>0.5102853937383105</v>
      </c>
      <c r="DZ81" s="46">
        <v>48</v>
      </c>
      <c r="EA81" s="46">
        <v>-0.53604761734437101</v>
      </c>
      <c r="EB81" s="46">
        <v>0.19946445876163355</v>
      </c>
      <c r="EC81" s="46">
        <v>0.45135878432862619</v>
      </c>
      <c r="ED81">
        <f t="shared" si="109"/>
        <v>0.47083032612094283</v>
      </c>
      <c r="EJ81" s="46">
        <v>50</v>
      </c>
      <c r="EK81" s="46">
        <v>0.93204115521866215</v>
      </c>
      <c r="EL81" s="46">
        <v>0.24993325002450273</v>
      </c>
      <c r="EM81" s="46">
        <v>0.57295025058168003</v>
      </c>
      <c r="EN81">
        <f t="shared" si="87"/>
        <v>-0.22433463005099818</v>
      </c>
      <c r="EU81" s="46">
        <v>50</v>
      </c>
      <c r="EV81" s="46">
        <v>0.89114103830872271</v>
      </c>
      <c r="EW81" s="46">
        <v>0.29083336693444217</v>
      </c>
      <c r="EX81" s="46">
        <v>0.67308030889333315</v>
      </c>
      <c r="EY81">
        <f t="shared" si="88"/>
        <v>-0.25482108668369374</v>
      </c>
      <c r="FF81" s="46">
        <v>49</v>
      </c>
      <c r="FG81" s="46">
        <v>-0.17739932770405697</v>
      </c>
      <c r="FH81" s="46">
        <v>0.20733112441840951</v>
      </c>
      <c r="FI81" s="46">
        <v>0.49089918088464907</v>
      </c>
      <c r="FJ81">
        <f t="shared" si="91"/>
        <v>0.6751397878693095</v>
      </c>
      <c r="FP81" s="46">
        <v>49</v>
      </c>
      <c r="FQ81" s="46">
        <v>-0.15864140661746035</v>
      </c>
      <c r="FR81" s="46">
        <v>0.18857320333181288</v>
      </c>
      <c r="FS81" s="46">
        <v>0.4563636221897312</v>
      </c>
      <c r="FT81">
        <f t="shared" si="92"/>
        <v>0.77508391387995212</v>
      </c>
      <c r="FZ81" s="46">
        <v>50</v>
      </c>
      <c r="GA81" s="46">
        <v>0.88405625173042268</v>
      </c>
      <c r="GB81" s="46">
        <v>0.2979181535127422</v>
      </c>
      <c r="GC81" s="46">
        <v>0.69875993053942353</v>
      </c>
      <c r="GD81">
        <f t="shared" si="89"/>
        <v>-0.19146359209946279</v>
      </c>
      <c r="GJ81" s="46">
        <v>48</v>
      </c>
      <c r="GK81" s="46">
        <v>-0.4946874328526803</v>
      </c>
      <c r="GL81" s="46">
        <v>0.15810427426994283</v>
      </c>
      <c r="GM81" s="46">
        <v>0.38620988964689307</v>
      </c>
      <c r="GT81" s="46">
        <v>49</v>
      </c>
      <c r="GU81" s="46">
        <v>-0.17159660843514168</v>
      </c>
      <c r="GV81" s="46">
        <v>0.20152840514949422</v>
      </c>
      <c r="GW81" s="46">
        <v>0.49750503673723939</v>
      </c>
    </row>
    <row r="82" spans="1:205" ht="15" thickBot="1" x14ac:dyDescent="0.4">
      <c r="A82" t="s">
        <v>109</v>
      </c>
      <c r="DA82" s="46">
        <v>2001</v>
      </c>
      <c r="DB82" s="46">
        <v>-0.81889313909912431</v>
      </c>
      <c r="DC82" s="46">
        <v>0.29611262328311094</v>
      </c>
      <c r="DD82" s="46">
        <v>0.60112586270302637</v>
      </c>
      <c r="DE82">
        <f t="shared" si="86"/>
        <v>1.0070411492856284</v>
      </c>
      <c r="DN82" s="46">
        <v>48</v>
      </c>
      <c r="DO82" s="46">
        <v>-0.55228123922882633</v>
      </c>
      <c r="DP82" s="46">
        <v>0.21569808064608886</v>
      </c>
      <c r="DQ82" s="46">
        <v>0.5102853937383105</v>
      </c>
      <c r="DR82">
        <f t="shared" si="111"/>
        <v>0.51016553653029173</v>
      </c>
      <c r="DZ82" s="46">
        <v>49</v>
      </c>
      <c r="EA82" s="46">
        <v>-0.17813752514003336</v>
      </c>
      <c r="EB82" s="46">
        <v>0.2080693218543859</v>
      </c>
      <c r="EC82" s="46">
        <v>0.47083032612094283</v>
      </c>
      <c r="ED82">
        <f t="shared" si="109"/>
        <v>1.1130992027501851</v>
      </c>
      <c r="EJ82" s="46">
        <v>51</v>
      </c>
      <c r="EK82" s="46">
        <v>-0.42492091435014878</v>
      </c>
      <c r="EL82" s="46">
        <v>-9.7859601465864587E-2</v>
      </c>
      <c r="EM82" s="46">
        <v>-0.22433463005099818</v>
      </c>
      <c r="EN82">
        <f t="shared" si="87"/>
        <v>0.69607665507954963</v>
      </c>
      <c r="EU82" s="46">
        <v>51</v>
      </c>
      <c r="EV82" s="46">
        <v>-0.41267407884720181</v>
      </c>
      <c r="EW82" s="46">
        <v>-0.11010643696881156</v>
      </c>
      <c r="EX82" s="46">
        <v>-0.25482108668369374</v>
      </c>
      <c r="EY82">
        <f t="shared" si="88"/>
        <v>0.71411834676713515</v>
      </c>
      <c r="FF82" s="46">
        <v>50</v>
      </c>
      <c r="FG82" s="46">
        <v>0.89682931474556604</v>
      </c>
      <c r="FH82" s="46">
        <v>0.28514509049759884</v>
      </c>
      <c r="FI82" s="46">
        <v>0.6751397878693095</v>
      </c>
      <c r="FJ82">
        <f t="shared" si="91"/>
        <v>-0.35053550710350362</v>
      </c>
      <c r="FP82" s="46">
        <v>50</v>
      </c>
      <c r="FQ82" s="46">
        <v>0.86170335517569008</v>
      </c>
      <c r="FR82" s="46">
        <v>0.32027105006747481</v>
      </c>
      <c r="FS82" s="46">
        <v>0.77508391387995212</v>
      </c>
      <c r="FT82">
        <f t="shared" si="92"/>
        <v>-0.38215557780822301</v>
      </c>
      <c r="FZ82" s="46">
        <v>51</v>
      </c>
      <c r="GA82" s="46">
        <v>-0.44114950446257883</v>
      </c>
      <c r="GB82" s="46">
        <v>-8.1631011353434535E-2</v>
      </c>
      <c r="GC82" s="46">
        <v>-0.19146359209946279</v>
      </c>
      <c r="GD82">
        <f t="shared" si="89"/>
        <v>0.7552309229271077</v>
      </c>
      <c r="GJ82" s="46">
        <v>49</v>
      </c>
      <c r="GK82" s="46">
        <v>-0.22840072841362838</v>
      </c>
      <c r="GL82" s="46">
        <v>0.25833252512798088</v>
      </c>
      <c r="GM82" s="46">
        <v>0.63104287649766655</v>
      </c>
      <c r="GT82" s="46">
        <v>50</v>
      </c>
      <c r="GU82" s="46">
        <v>1.0030717685763888</v>
      </c>
      <c r="GV82" s="46">
        <v>0.17890263666677608</v>
      </c>
      <c r="GW82" s="46">
        <v>0.44164971563819677</v>
      </c>
    </row>
    <row r="83" spans="1:205" x14ac:dyDescent="0.35">
      <c r="A83" s="48"/>
      <c r="B83" s="48" t="s">
        <v>113</v>
      </c>
      <c r="C83" s="48" t="s">
        <v>114</v>
      </c>
      <c r="D83" s="48" t="s">
        <v>115</v>
      </c>
      <c r="E83" s="48" t="s">
        <v>116</v>
      </c>
      <c r="F83" s="48" t="s">
        <v>117</v>
      </c>
      <c r="DA83" s="46">
        <v>2002</v>
      </c>
      <c r="DB83" s="46">
        <v>-0.29092448297947993</v>
      </c>
      <c r="DC83" s="46">
        <v>0.49606515868096096</v>
      </c>
      <c r="DD83" s="46">
        <v>1.0070411492856284</v>
      </c>
      <c r="DE83">
        <f t="shared" si="86"/>
        <v>-0.67753593210762164</v>
      </c>
      <c r="DN83" s="46">
        <v>49</v>
      </c>
      <c r="DO83" s="46">
        <v>-0.18571562018545143</v>
      </c>
      <c r="DP83" s="46">
        <v>0.21564741689980396</v>
      </c>
      <c r="DQ83" s="46">
        <v>0.51016553653029173</v>
      </c>
      <c r="DR83">
        <f t="shared" si="111"/>
        <v>0.68795458494299799</v>
      </c>
      <c r="DZ83" s="46">
        <v>50</v>
      </c>
      <c r="EA83" s="46">
        <v>0.690073643070516</v>
      </c>
      <c r="EB83" s="46">
        <v>0.49190076217264889</v>
      </c>
      <c r="EC83" s="46">
        <v>1.1130992027501851</v>
      </c>
      <c r="ED83">
        <f t="shared" si="109"/>
        <v>4.7341276551524326E-3</v>
      </c>
      <c r="EJ83" s="46">
        <v>52</v>
      </c>
      <c r="EK83" s="46">
        <v>-9.8502966121859103E-2</v>
      </c>
      <c r="EL83" s="46">
        <v>0.30364364182334014</v>
      </c>
      <c r="EM83" s="46">
        <v>0.69607665507954963</v>
      </c>
      <c r="EN83">
        <f t="shared" si="87"/>
        <v>-0.62185397053919056</v>
      </c>
      <c r="EU83" s="46">
        <v>52</v>
      </c>
      <c r="EV83" s="46">
        <v>-0.10342494482814457</v>
      </c>
      <c r="EW83" s="46">
        <v>0.30856562052962561</v>
      </c>
      <c r="EX83" s="46">
        <v>0.71411834676713515</v>
      </c>
      <c r="EY83">
        <f t="shared" si="88"/>
        <v>-0.66864644490993841</v>
      </c>
      <c r="FF83" s="46">
        <v>51</v>
      </c>
      <c r="FG83" s="46">
        <v>-0.37473194766526652</v>
      </c>
      <c r="FH83" s="46">
        <v>-0.14804856815074685</v>
      </c>
      <c r="FI83" s="46">
        <v>-0.35053550710350362</v>
      </c>
      <c r="FJ83">
        <f t="shared" si="91"/>
        <v>1.1542198921301565</v>
      </c>
      <c r="FP83" s="46">
        <v>51</v>
      </c>
      <c r="FQ83" s="46">
        <v>-0.36487068695490388</v>
      </c>
      <c r="FR83" s="46">
        <v>-0.15790982886110949</v>
      </c>
      <c r="FS83" s="46">
        <v>-0.38215557780822301</v>
      </c>
      <c r="FT83">
        <f t="shared" si="92"/>
        <v>1.2183036845586437</v>
      </c>
      <c r="FZ83" s="46">
        <v>52</v>
      </c>
      <c r="GA83" s="46">
        <v>-0.11685403550137305</v>
      </c>
      <c r="GB83" s="46">
        <v>0.32199471120285406</v>
      </c>
      <c r="GC83" s="46">
        <v>0.7552309229271077</v>
      </c>
      <c r="GD83">
        <f t="shared" si="89"/>
        <v>-0.47380579902737952</v>
      </c>
      <c r="GJ83" s="46">
        <v>50</v>
      </c>
      <c r="GK83" s="46">
        <v>1.0319639621292951</v>
      </c>
      <c r="GL83" s="46">
        <v>0.1500104431138698</v>
      </c>
      <c r="GM83" s="46">
        <v>0.36643864910300716</v>
      </c>
      <c r="GT83" s="46">
        <v>51</v>
      </c>
      <c r="GU83" s="46">
        <v>-0.50453261778913128</v>
      </c>
      <c r="GV83" s="46">
        <v>-1.8247898026882092E-2</v>
      </c>
      <c r="GW83" s="46">
        <v>-4.5047849068755252E-2</v>
      </c>
    </row>
    <row r="84" spans="1:205" x14ac:dyDescent="0.35">
      <c r="A84" s="46" t="s">
        <v>110</v>
      </c>
      <c r="B84" s="46">
        <v>1</v>
      </c>
      <c r="C84" s="46">
        <v>15.826362515694971</v>
      </c>
      <c r="D84" s="46">
        <v>15.826362515694971</v>
      </c>
      <c r="E84" s="46">
        <v>61.372191316204592</v>
      </c>
      <c r="F84" s="46">
        <v>5.7549577749928476E-11</v>
      </c>
      <c r="DA84" s="46">
        <v>2003</v>
      </c>
      <c r="DB84" s="46">
        <v>0.2110174310933105</v>
      </c>
      <c r="DC84" s="46">
        <v>-0.33375197221230041</v>
      </c>
      <c r="DD84" s="46">
        <v>-0.67753593210762164</v>
      </c>
      <c r="DE84">
        <f t="shared" si="86"/>
        <v>-0.42252883999468643</v>
      </c>
      <c r="DN84" s="46">
        <v>50</v>
      </c>
      <c r="DO84" s="46">
        <v>0.89117540263643846</v>
      </c>
      <c r="DP84" s="46">
        <v>0.29079900260672642</v>
      </c>
      <c r="DQ84" s="46">
        <v>0.68795458494299799</v>
      </c>
      <c r="DR84">
        <f t="shared" si="111"/>
        <v>-0.35654146460705766</v>
      </c>
      <c r="DZ84" s="46">
        <v>51</v>
      </c>
      <c r="EA84" s="46">
        <v>-0.52487262134985835</v>
      </c>
      <c r="EB84" s="46">
        <v>2.092105533844979E-3</v>
      </c>
      <c r="EC84" s="46">
        <v>4.7341276551524326E-3</v>
      </c>
      <c r="ED84">
        <f t="shared" si="109"/>
        <v>1.1521198425692916</v>
      </c>
      <c r="EJ84" s="46">
        <v>53</v>
      </c>
      <c r="EK84" s="46">
        <v>0.14853156573707865</v>
      </c>
      <c r="EL84" s="46">
        <v>-0.27126610685606856</v>
      </c>
      <c r="EM84" s="46">
        <v>-0.62185397053919056</v>
      </c>
      <c r="EN84">
        <f t="shared" si="87"/>
        <v>-0.1410666461082915</v>
      </c>
      <c r="EU84" s="46">
        <v>53</v>
      </c>
      <c r="EV84" s="46">
        <v>0.16618298371788703</v>
      </c>
      <c r="EW84" s="46">
        <v>-0.28891752483687694</v>
      </c>
      <c r="EX84" s="46">
        <v>-0.66864644490993841</v>
      </c>
      <c r="EY84">
        <f t="shared" si="88"/>
        <v>-0.24589692446741712</v>
      </c>
      <c r="FF84" s="46">
        <v>52</v>
      </c>
      <c r="FG84" s="46">
        <v>-0.28234375568458903</v>
      </c>
      <c r="FH84" s="46">
        <v>0.48748443138607006</v>
      </c>
      <c r="FI84" s="46">
        <v>1.1542198921301565</v>
      </c>
      <c r="FJ84">
        <f t="shared" si="91"/>
        <v>-0.7611663761677635</v>
      </c>
      <c r="FP84" s="46">
        <v>52</v>
      </c>
      <c r="FQ84" s="46">
        <v>-0.29827243011496102</v>
      </c>
      <c r="FR84" s="46">
        <v>0.50341310581644205</v>
      </c>
      <c r="FS84" s="46">
        <v>1.2183036845586437</v>
      </c>
      <c r="FT84">
        <f t="shared" si="92"/>
        <v>-0.51140800622508509</v>
      </c>
      <c r="FZ84" s="46">
        <v>53</v>
      </c>
      <c r="GA84" s="46">
        <v>7.9273820552375945E-2</v>
      </c>
      <c r="GB84" s="46">
        <v>-0.20200836167136582</v>
      </c>
      <c r="GC84" s="46">
        <v>-0.47380579902737952</v>
      </c>
      <c r="GD84">
        <f t="shared" si="89"/>
        <v>-3.5678949076322838E-2</v>
      </c>
      <c r="GJ84" s="46">
        <v>51</v>
      </c>
      <c r="GK84" s="46">
        <v>-0.29571222099409011</v>
      </c>
      <c r="GL84" s="46">
        <v>-0.22706829482192326</v>
      </c>
      <c r="GM84" s="46">
        <v>-0.55467204470230469</v>
      </c>
      <c r="GT84" s="46">
        <v>52</v>
      </c>
      <c r="GU84" s="46">
        <v>-0.42484431435254966</v>
      </c>
      <c r="GV84" s="46">
        <v>0.62998499005403064</v>
      </c>
      <c r="GW84" s="46">
        <v>1.5552185082209318</v>
      </c>
    </row>
    <row r="85" spans="1:205" x14ac:dyDescent="0.35">
      <c r="A85" s="46" t="s">
        <v>111</v>
      </c>
      <c r="B85" s="46">
        <v>65</v>
      </c>
      <c r="C85" s="46">
        <v>16.761884193119133</v>
      </c>
      <c r="D85" s="46">
        <v>0.25787514143260204</v>
      </c>
      <c r="E85" s="46"/>
      <c r="F85" s="46"/>
      <c r="DA85" s="46">
        <v>2004</v>
      </c>
      <c r="DB85" s="46">
        <v>-0.54842294244714185</v>
      </c>
      <c r="DC85" s="46">
        <v>-0.20813631717823367</v>
      </c>
      <c r="DD85" s="46">
        <v>-0.42252883999468643</v>
      </c>
      <c r="DE85">
        <f t="shared" si="86"/>
        <v>-1.6012937996783865</v>
      </c>
      <c r="DN85" s="46">
        <v>51</v>
      </c>
      <c r="DO85" s="46">
        <v>-0.37207012800129358</v>
      </c>
      <c r="DP85" s="46">
        <v>-0.15071038781471979</v>
      </c>
      <c r="DQ85" s="46">
        <v>-0.35654146460705766</v>
      </c>
      <c r="DR85">
        <f t="shared" si="111"/>
        <v>1.1120396384556648</v>
      </c>
      <c r="DZ85" s="46">
        <v>52</v>
      </c>
      <c r="EA85" s="46">
        <v>-0.3040040863051976</v>
      </c>
      <c r="EB85" s="46">
        <v>0.50914476200667869</v>
      </c>
      <c r="EC85" s="46">
        <v>1.1521198425692916</v>
      </c>
      <c r="ED85">
        <f t="shared" si="109"/>
        <v>-0.63138162713170487</v>
      </c>
      <c r="EJ85" s="46">
        <v>54</v>
      </c>
      <c r="EK85" s="46">
        <v>-0.69502294770979955</v>
      </c>
      <c r="EL85" s="46">
        <v>-6.1536311915575959E-2</v>
      </c>
      <c r="EM85" s="46">
        <v>-0.1410666461082915</v>
      </c>
      <c r="EN85">
        <f t="shared" si="87"/>
        <v>-1.2065681722218167</v>
      </c>
      <c r="EU85" s="46">
        <v>54</v>
      </c>
      <c r="EV85" s="46">
        <v>-0.65030889170231609</v>
      </c>
      <c r="EW85" s="46">
        <v>-0.10625036792305942</v>
      </c>
      <c r="EX85" s="46">
        <v>-0.24589692446741712</v>
      </c>
      <c r="EY85">
        <f t="shared" si="88"/>
        <v>-1.3139782751016347</v>
      </c>
      <c r="FF85" s="46">
        <v>53</v>
      </c>
      <c r="FG85" s="46">
        <v>0.19874385360139427</v>
      </c>
      <c r="FH85" s="46">
        <v>-0.32147839472038414</v>
      </c>
      <c r="FI85" s="46">
        <v>-0.7611663761677635</v>
      </c>
      <c r="FJ85">
        <f t="shared" si="91"/>
        <v>-0.23316807996471667</v>
      </c>
      <c r="FP85" s="46">
        <v>53</v>
      </c>
      <c r="FQ85" s="46">
        <v>8.8583454563204045E-2</v>
      </c>
      <c r="FR85" s="46">
        <v>-0.21131799568219395</v>
      </c>
      <c r="FS85" s="46">
        <v>-0.51140800622508509</v>
      </c>
      <c r="FT85">
        <f t="shared" si="92"/>
        <v>-5.7157949746006818E-2</v>
      </c>
      <c r="FZ85" s="46">
        <v>54</v>
      </c>
      <c r="GA85" s="46">
        <v>-0.74134744486105775</v>
      </c>
      <c r="GB85" s="46">
        <v>-1.5211814764317766E-2</v>
      </c>
      <c r="GC85" s="46">
        <v>-3.5678949076322838E-2</v>
      </c>
      <c r="GD85">
        <f t="shared" si="89"/>
        <v>-1.2574853234931958</v>
      </c>
      <c r="GJ85" s="46">
        <v>52</v>
      </c>
      <c r="GK85" s="46">
        <v>-0.27746578258731169</v>
      </c>
      <c r="GL85" s="46">
        <v>0.48260645828879273</v>
      </c>
      <c r="GM85" s="46">
        <v>1.1788889823456634</v>
      </c>
      <c r="GT85" s="46">
        <v>53</v>
      </c>
      <c r="GU85" s="46">
        <v>5.9774512233972676E-2</v>
      </c>
      <c r="GV85" s="46">
        <v>-0.18250905335296258</v>
      </c>
      <c r="GW85" s="46">
        <v>-0.45055273089612063</v>
      </c>
    </row>
    <row r="86" spans="1:205" ht="15" thickBot="1" x14ac:dyDescent="0.4">
      <c r="A86" s="47" t="s">
        <v>9</v>
      </c>
      <c r="B86" s="47">
        <v>66</v>
      </c>
      <c r="C86" s="47">
        <v>32.588246708814104</v>
      </c>
      <c r="D86" s="47"/>
      <c r="E86" s="47"/>
      <c r="F86" s="47"/>
      <c r="DA86" s="46">
        <v>2005</v>
      </c>
      <c r="DB86" s="46">
        <v>0.31237283749619138</v>
      </c>
      <c r="DC86" s="46">
        <v>-0.78879206018124326</v>
      </c>
      <c r="DD86" s="46">
        <v>-1.6012937996783865</v>
      </c>
      <c r="DE86">
        <f t="shared" si="86"/>
        <v>-2.0691440911161365</v>
      </c>
      <c r="DN86" s="46">
        <v>52</v>
      </c>
      <c r="DO86" s="46">
        <v>-0.2649194486144959</v>
      </c>
      <c r="DP86" s="46">
        <v>0.47006012431597693</v>
      </c>
      <c r="DQ86" s="46">
        <v>1.1120396384556648</v>
      </c>
      <c r="DR86">
        <f t="shared" si="111"/>
        <v>-0.74049174989228017</v>
      </c>
      <c r="DZ86" s="46">
        <v>53</v>
      </c>
      <c r="EA86" s="46">
        <v>0.15628560626817539</v>
      </c>
      <c r="EB86" s="46">
        <v>-0.2790201473871653</v>
      </c>
      <c r="EC86" s="46">
        <v>-0.63138162713170487</v>
      </c>
      <c r="ED86">
        <f t="shared" si="109"/>
        <v>-0.12503295780397095</v>
      </c>
      <c r="EJ86" s="46">
        <v>55</v>
      </c>
      <c r="EK86" s="46">
        <v>4.991182325369467E-2</v>
      </c>
      <c r="EL86" s="46">
        <v>-0.52633104593874658</v>
      </c>
      <c r="EM86" s="46">
        <v>-1.2065681722218167</v>
      </c>
      <c r="EN86">
        <f t="shared" si="87"/>
        <v>-1.9321948961458808</v>
      </c>
      <c r="EU86" s="46">
        <v>55</v>
      </c>
      <c r="EV86" s="46">
        <v>9.1341742503249834E-2</v>
      </c>
      <c r="EW86" s="46">
        <v>-0.56776096518830177</v>
      </c>
      <c r="EX86" s="46">
        <v>-1.3139782751016347</v>
      </c>
      <c r="EY86">
        <f t="shared" si="88"/>
        <v>-2.193321574674318</v>
      </c>
      <c r="FF86" s="46">
        <v>54</v>
      </c>
      <c r="FG86" s="46">
        <v>-0.6580807897480222</v>
      </c>
      <c r="FH86" s="46">
        <v>-9.8478469877353314E-2</v>
      </c>
      <c r="FI86" s="46">
        <v>-0.23316807996471667</v>
      </c>
      <c r="FJ86">
        <f t="shared" si="91"/>
        <v>-1.2922794083370692</v>
      </c>
      <c r="FP86" s="46">
        <v>54</v>
      </c>
      <c r="FQ86" s="46">
        <v>-0.73294112453440152</v>
      </c>
      <c r="FR86" s="46">
        <v>-2.3618135090973991E-2</v>
      </c>
      <c r="FS86" s="46">
        <v>-5.7157949746006818E-2</v>
      </c>
      <c r="FT86">
        <f t="shared" si="92"/>
        <v>-1.3218544025715682</v>
      </c>
      <c r="FZ86" s="46">
        <v>55</v>
      </c>
      <c r="GA86" s="46">
        <v>5.9712987064387851E-2</v>
      </c>
      <c r="GB86" s="46">
        <v>-0.53613220974943976</v>
      </c>
      <c r="GC86" s="46">
        <v>-1.2574853234931958</v>
      </c>
      <c r="GD86">
        <f t="shared" si="89"/>
        <v>-1.7704912259872561</v>
      </c>
      <c r="GJ86" s="46">
        <v>53</v>
      </c>
      <c r="GK86" s="46">
        <v>0.12562994232907992</v>
      </c>
      <c r="GL86" s="46">
        <v>-0.24836448344806983</v>
      </c>
      <c r="GM86" s="46">
        <v>-0.6066934002107629</v>
      </c>
      <c r="GT86" s="46">
        <v>54</v>
      </c>
      <c r="GU86" s="46">
        <v>-0.82718301764273461</v>
      </c>
      <c r="GV86" s="46">
        <v>7.0623758017359095E-2</v>
      </c>
      <c r="GW86" s="46">
        <v>0.17434601986198631</v>
      </c>
    </row>
    <row r="87" spans="1:205" ht="15" thickBot="1" x14ac:dyDescent="0.4">
      <c r="DA87" s="46">
        <v>2006</v>
      </c>
      <c r="DB87" s="46">
        <v>-8.4850028814258183E-2</v>
      </c>
      <c r="DC87" s="46">
        <v>-1.0192535753096335</v>
      </c>
      <c r="DD87" s="46">
        <v>-2.0691440911161365</v>
      </c>
      <c r="DE87">
        <f t="shared" si="86"/>
        <v>0.23033032419649077</v>
      </c>
      <c r="DN87" s="46">
        <v>53</v>
      </c>
      <c r="DO87" s="46">
        <v>0.19027196689785336</v>
      </c>
      <c r="DP87" s="46">
        <v>-0.31300650801684327</v>
      </c>
      <c r="DQ87" s="46">
        <v>-0.74049174989228017</v>
      </c>
      <c r="DR87">
        <f t="shared" si="111"/>
        <v>-0.23904701850820412</v>
      </c>
      <c r="DZ87" s="46">
        <v>54</v>
      </c>
      <c r="EA87" s="46">
        <v>-0.70130469912572402</v>
      </c>
      <c r="EB87" s="46">
        <v>-5.5254560499651495E-2</v>
      </c>
      <c r="EC87" s="46">
        <v>-0.12503295780397095</v>
      </c>
      <c r="ED87">
        <f t="shared" si="109"/>
        <v>-0.98961789203367478</v>
      </c>
      <c r="EJ87" s="46">
        <v>56</v>
      </c>
      <c r="EK87" s="46">
        <v>-0.26123853933996183</v>
      </c>
      <c r="EL87" s="46">
        <v>-0.84286506478392975</v>
      </c>
      <c r="EM87" s="46">
        <v>-1.9321948961458808</v>
      </c>
      <c r="EN87">
        <f t="shared" si="87"/>
        <v>0.69919180431708905</v>
      </c>
      <c r="EU87" s="46">
        <v>56</v>
      </c>
      <c r="EV87" s="46">
        <v>-0.15638445396587591</v>
      </c>
      <c r="EW87" s="46">
        <v>-0.94771915015801578</v>
      </c>
      <c r="EX87" s="46">
        <v>-2.193321574674318</v>
      </c>
      <c r="EY87">
        <f t="shared" si="88"/>
        <v>0.32831623802530413</v>
      </c>
      <c r="FF87" s="46">
        <v>55</v>
      </c>
      <c r="FG87" s="46">
        <v>6.9374604696052167E-2</v>
      </c>
      <c r="FH87" s="46">
        <v>-0.54579382738110405</v>
      </c>
      <c r="FI87" s="46">
        <v>-1.2922794083370692</v>
      </c>
      <c r="FJ87">
        <f t="shared" si="91"/>
        <v>-2.1139337103501572</v>
      </c>
      <c r="FP87" s="46">
        <v>55</v>
      </c>
      <c r="FQ87" s="46">
        <v>6.9781891757739911E-2</v>
      </c>
      <c r="FR87" s="46">
        <v>-0.54620111444279185</v>
      </c>
      <c r="FS87" s="46">
        <v>-1.3218544025715682</v>
      </c>
      <c r="FT87">
        <f t="shared" si="92"/>
        <v>-1.9544034457175783</v>
      </c>
      <c r="FZ87" s="46">
        <v>56</v>
      </c>
      <c r="GA87" s="46">
        <v>-0.34924996440610095</v>
      </c>
      <c r="GB87" s="46">
        <v>-0.75485363971779074</v>
      </c>
      <c r="GC87" s="46">
        <v>-1.7704912259872561</v>
      </c>
      <c r="GD87">
        <f t="shared" si="89"/>
        <v>1.0293597890230046</v>
      </c>
      <c r="GJ87" s="46">
        <v>54</v>
      </c>
      <c r="GK87" s="46">
        <v>-0.71481038734835822</v>
      </c>
      <c r="GL87" s="46">
        <v>-4.174887227701729E-2</v>
      </c>
      <c r="GM87" s="46">
        <v>-0.10198223564443114</v>
      </c>
      <c r="GT87" s="46">
        <v>55</v>
      </c>
      <c r="GU87" s="46">
        <v>8.9479684908796653E-2</v>
      </c>
      <c r="GV87" s="46">
        <v>-0.56589890759384853</v>
      </c>
      <c r="GW87" s="46">
        <v>-1.3970117840370746</v>
      </c>
    </row>
    <row r="88" spans="1:205" x14ac:dyDescent="0.35">
      <c r="A88" s="48"/>
      <c r="B88" s="48" t="s">
        <v>118</v>
      </c>
      <c r="C88" s="48" t="s">
        <v>107</v>
      </c>
      <c r="D88" s="48" t="s">
        <v>119</v>
      </c>
      <c r="E88" s="48" t="s">
        <v>120</v>
      </c>
      <c r="F88" s="48" t="s">
        <v>121</v>
      </c>
      <c r="G88" s="48" t="s">
        <v>122</v>
      </c>
      <c r="H88" s="48" t="s">
        <v>123</v>
      </c>
      <c r="I88" s="48" t="s">
        <v>124</v>
      </c>
      <c r="DA88" s="46">
        <v>2007</v>
      </c>
      <c r="DB88" s="46">
        <v>0.48272048650331412</v>
      </c>
      <c r="DC88" s="46">
        <v>0.11345996030313354</v>
      </c>
      <c r="DD88" s="46">
        <v>0.23033032419649077</v>
      </c>
      <c r="DE88">
        <f t="shared" si="86"/>
        <v>-0.44149167814160162</v>
      </c>
      <c r="DN88" s="46">
        <v>54</v>
      </c>
      <c r="DO88" s="46">
        <v>-0.65551387657286309</v>
      </c>
      <c r="DP88" s="46">
        <v>-0.10104538305251243</v>
      </c>
      <c r="DQ88" s="46">
        <v>-0.23904701850820412</v>
      </c>
      <c r="DR88">
        <f t="shared" si="111"/>
        <v>-1.309041379960314</v>
      </c>
      <c r="DZ88" s="46">
        <v>55</v>
      </c>
      <c r="EA88" s="46">
        <v>-3.9087317183447823E-2</v>
      </c>
      <c r="EB88" s="46">
        <v>-0.43733190550160406</v>
      </c>
      <c r="EC88" s="46">
        <v>-0.98961789203367478</v>
      </c>
      <c r="ED88">
        <f t="shared" si="109"/>
        <v>-2.0209505522380651</v>
      </c>
      <c r="EJ88" s="46">
        <v>57</v>
      </c>
      <c r="EK88" s="46">
        <v>0.29117790973442031</v>
      </c>
      <c r="EL88" s="46">
        <v>0.30500253707202735</v>
      </c>
      <c r="EM88" s="46">
        <v>0.69919180431708905</v>
      </c>
      <c r="EN88">
        <f t="shared" si="87"/>
        <v>0.20098178780940987</v>
      </c>
      <c r="EU88" s="46">
        <v>57</v>
      </c>
      <c r="EV88" s="46">
        <v>0.45431726099858438</v>
      </c>
      <c r="EW88" s="46">
        <v>0.14186318580786328</v>
      </c>
      <c r="EX88" s="46">
        <v>0.32831623802530413</v>
      </c>
      <c r="EY88">
        <f t="shared" si="88"/>
        <v>-5.4440913157341099E-2</v>
      </c>
      <c r="FF88" s="46">
        <v>56</v>
      </c>
      <c r="FG88" s="46">
        <v>-0.21128432436252248</v>
      </c>
      <c r="FH88" s="46">
        <v>-0.89281927976136921</v>
      </c>
      <c r="FI88" s="46">
        <v>-2.1139337103501572</v>
      </c>
      <c r="FJ88">
        <f t="shared" si="91"/>
        <v>0.41099324867602505</v>
      </c>
      <c r="FP88" s="46">
        <v>56</v>
      </c>
      <c r="FQ88" s="46">
        <v>-0.29652802087883989</v>
      </c>
      <c r="FR88" s="46">
        <v>-0.80757558324505174</v>
      </c>
      <c r="FS88" s="46">
        <v>-1.9544034457175783</v>
      </c>
      <c r="FT88">
        <f t="shared" si="92"/>
        <v>0.79201280549153141</v>
      </c>
      <c r="FZ88" s="46">
        <v>57</v>
      </c>
      <c r="GA88" s="46">
        <v>0.15731016497837769</v>
      </c>
      <c r="GB88" s="46">
        <v>0.43887028182806997</v>
      </c>
      <c r="GC88" s="46">
        <v>1.0293597890230046</v>
      </c>
      <c r="GD88">
        <f t="shared" si="89"/>
        <v>0.2880418201916255</v>
      </c>
      <c r="GJ88" s="46">
        <v>55</v>
      </c>
      <c r="GK88" s="46">
        <v>0.19127680477272113</v>
      </c>
      <c r="GL88" s="46">
        <v>-0.66769602745777301</v>
      </c>
      <c r="GM88" s="46">
        <v>-1.6310173160901011</v>
      </c>
      <c r="GT88" s="46">
        <v>56</v>
      </c>
      <c r="GU88" s="46">
        <v>-0.2814429296073433</v>
      </c>
      <c r="GV88" s="46">
        <v>-0.82266067451654834</v>
      </c>
      <c r="GW88" s="46">
        <v>-2.0308691908420271</v>
      </c>
    </row>
    <row r="89" spans="1:205" x14ac:dyDescent="0.35">
      <c r="A89" s="46" t="s">
        <v>112</v>
      </c>
      <c r="B89" s="46">
        <v>1.1218319330218014</v>
      </c>
      <c r="C89" s="46">
        <v>8.8938874494714174E-2</v>
      </c>
      <c r="D89" s="46">
        <v>12.613516186203528</v>
      </c>
      <c r="E89" s="46">
        <v>3.9433223559886904E-19</v>
      </c>
      <c r="F89" s="46">
        <v>0.94420873523868887</v>
      </c>
      <c r="G89" s="46">
        <v>1.2994551308049138</v>
      </c>
      <c r="H89" s="46">
        <v>0.94420873523868887</v>
      </c>
      <c r="I89" s="46">
        <v>1.2994551308049138</v>
      </c>
      <c r="DA89" s="46">
        <v>2008</v>
      </c>
      <c r="DB89" s="46">
        <v>0.52946969521472942</v>
      </c>
      <c r="DC89" s="46">
        <v>-0.21747734889383319</v>
      </c>
      <c r="DD89" s="46">
        <v>-0.44149167814160162</v>
      </c>
      <c r="DE89">
        <f t="shared" si="86"/>
        <v>0.75910244168368679</v>
      </c>
      <c r="DN89" s="46">
        <v>55</v>
      </c>
      <c r="DO89" s="46">
        <v>7.6913709451643136E-2</v>
      </c>
      <c r="DP89" s="46">
        <v>-0.55333293213669499</v>
      </c>
      <c r="DQ89" s="46">
        <v>-1.309041379960314</v>
      </c>
      <c r="DR89">
        <f t="shared" si="111"/>
        <v>-2.1651170081401148</v>
      </c>
      <c r="DZ89" s="46">
        <v>56</v>
      </c>
      <c r="EA89" s="46">
        <v>-0.21100520417629132</v>
      </c>
      <c r="EB89" s="46">
        <v>-0.89309839994760032</v>
      </c>
      <c r="EC89" s="46">
        <v>-2.0209505522380651</v>
      </c>
      <c r="ED89">
        <f t="shared" si="109"/>
        <v>0.4251460093234935</v>
      </c>
      <c r="EJ89" s="46">
        <v>58</v>
      </c>
      <c r="EK89" s="46">
        <v>0.22431975804304244</v>
      </c>
      <c r="EL89" s="46">
        <v>8.7672588277853791E-2</v>
      </c>
      <c r="EM89" s="46">
        <v>0.20098178780940987</v>
      </c>
      <c r="EN89">
        <f t="shared" si="87"/>
        <v>1.3646329889161073</v>
      </c>
      <c r="EU89" s="46">
        <v>58</v>
      </c>
      <c r="EV89" s="46">
        <v>0.33551589003972498</v>
      </c>
      <c r="EW89" s="46">
        <v>-2.3523543718828754E-2</v>
      </c>
      <c r="EX89" s="46">
        <v>-5.4440913157341099E-2</v>
      </c>
      <c r="EY89">
        <f t="shared" si="88"/>
        <v>1.3881438734586917</v>
      </c>
      <c r="FF89" s="46">
        <v>57</v>
      </c>
      <c r="FG89" s="46">
        <v>0.42259756931454528</v>
      </c>
      <c r="FH89" s="46">
        <v>0.17358287749190238</v>
      </c>
      <c r="FI89" s="46">
        <v>0.41099324867602505</v>
      </c>
      <c r="FJ89">
        <f t="shared" si="91"/>
        <v>-0.30466364494918324</v>
      </c>
      <c r="FP89" s="46">
        <v>57</v>
      </c>
      <c r="FQ89" s="46">
        <v>0.26891423944590237</v>
      </c>
      <c r="FR89" s="46">
        <v>0.32726620736054529</v>
      </c>
      <c r="FS89" s="46">
        <v>0.79201280549153141</v>
      </c>
      <c r="FT89">
        <f t="shared" si="92"/>
        <v>-6.7024727315110236E-2</v>
      </c>
      <c r="FZ89" s="46">
        <v>58</v>
      </c>
      <c r="GA89" s="46">
        <v>0.18918495073985142</v>
      </c>
      <c r="GB89" s="46">
        <v>0.12280739558104481</v>
      </c>
      <c r="GC89" s="46">
        <v>0.2880418201916255</v>
      </c>
      <c r="GD89">
        <f t="shared" si="89"/>
        <v>1.4157513505507946</v>
      </c>
      <c r="GJ89" s="46">
        <v>56</v>
      </c>
      <c r="GK89" s="46">
        <v>-0.25847199875188565</v>
      </c>
      <c r="GL89" s="46">
        <v>-0.84563160537200599</v>
      </c>
      <c r="GM89" s="46">
        <v>-2.0656702072142248</v>
      </c>
      <c r="GT89" s="46">
        <v>57</v>
      </c>
      <c r="GU89" s="46">
        <v>0.40080124587664434</v>
      </c>
      <c r="GV89" s="46">
        <v>0.19537920092980332</v>
      </c>
      <c r="GW89" s="46">
        <v>0.4823247445647651</v>
      </c>
    </row>
    <row r="90" spans="1:205" ht="15" thickBot="1" x14ac:dyDescent="0.4">
      <c r="A90" s="47" t="s">
        <v>83</v>
      </c>
      <c r="B90" s="47">
        <v>-6.1781197404678159E-7</v>
      </c>
      <c r="C90" s="47">
        <v>7.8862493781927252E-8</v>
      </c>
      <c r="D90" s="47">
        <v>-7.8340405485422808</v>
      </c>
      <c r="E90" s="47">
        <v>5.7549577749928049E-11</v>
      </c>
      <c r="F90" s="47">
        <v>-7.7531124992899731E-7</v>
      </c>
      <c r="G90" s="47">
        <v>-4.6031269816456587E-7</v>
      </c>
      <c r="H90" s="47">
        <v>-7.7531124992899731E-7</v>
      </c>
      <c r="I90" s="47">
        <v>-4.6031269816456587E-7</v>
      </c>
      <c r="DA90" s="46">
        <v>2009</v>
      </c>
      <c r="DB90" s="46">
        <v>0.84480936381249516</v>
      </c>
      <c r="DC90" s="46">
        <v>0.37393136661401472</v>
      </c>
      <c r="DD90" s="46">
        <v>0.75910244168368679</v>
      </c>
      <c r="DE90">
        <f t="shared" si="86"/>
        <v>0.4122654483535842</v>
      </c>
      <c r="DN90" s="46">
        <v>56</v>
      </c>
      <c r="DO90" s="46">
        <v>-0.18890675788705319</v>
      </c>
      <c r="DP90" s="46">
        <v>-0.9151968462368385</v>
      </c>
      <c r="DQ90" s="46">
        <v>-2.1651170081401148</v>
      </c>
      <c r="DR90">
        <f t="shared" si="111"/>
        <v>0.35116546261152048</v>
      </c>
      <c r="DZ90" s="46">
        <v>57</v>
      </c>
      <c r="EA90" s="46">
        <v>0.40829993669182324</v>
      </c>
      <c r="EB90" s="46">
        <v>0.18788051011462442</v>
      </c>
      <c r="EC90" s="46">
        <v>0.4251460093234935</v>
      </c>
      <c r="ED90">
        <f t="shared" si="109"/>
        <v>-0.33860640702886324</v>
      </c>
      <c r="EJ90" s="46">
        <v>59</v>
      </c>
      <c r="EK90" s="46">
        <v>0.6234584041439224</v>
      </c>
      <c r="EL90" s="46">
        <v>0.59528232628258748</v>
      </c>
      <c r="EM90" s="46">
        <v>1.3646329889161073</v>
      </c>
      <c r="EN90">
        <f t="shared" si="87"/>
        <v>1.2319928176518935</v>
      </c>
      <c r="EU90" s="46">
        <v>59</v>
      </c>
      <c r="EV90" s="46">
        <v>0.6189333208601886</v>
      </c>
      <c r="EW90" s="46">
        <v>0.59980740956632128</v>
      </c>
      <c r="EX90" s="46">
        <v>1.3881438734586917</v>
      </c>
      <c r="EY90">
        <f t="shared" si="88"/>
        <v>1.1461179447553971</v>
      </c>
      <c r="FF90" s="46">
        <v>58</v>
      </c>
      <c r="FG90" s="46">
        <v>0.4406669470054877</v>
      </c>
      <c r="FH90" s="46">
        <v>-0.12867460068459147</v>
      </c>
      <c r="FI90" s="46">
        <v>-0.30466364494918324</v>
      </c>
      <c r="FJ90">
        <f t="shared" si="91"/>
        <v>1.4562313868060301</v>
      </c>
      <c r="FP90" s="46">
        <v>58</v>
      </c>
      <c r="FQ90" s="46">
        <v>0.33968751508041878</v>
      </c>
      <c r="FR90" s="46">
        <v>-2.7695168759522548E-2</v>
      </c>
      <c r="FS90" s="46">
        <v>-6.7024727315110236E-2</v>
      </c>
      <c r="FT90">
        <f t="shared" si="92"/>
        <v>1.516895242175218</v>
      </c>
      <c r="FZ90" s="46">
        <v>59</v>
      </c>
      <c r="GA90" s="46">
        <v>0.61513137940997031</v>
      </c>
      <c r="GB90" s="46">
        <v>0.60360935101653956</v>
      </c>
      <c r="GC90" s="46">
        <v>1.4157513505507946</v>
      </c>
      <c r="GD90">
        <f t="shared" si="89"/>
        <v>0.90046850641298948</v>
      </c>
      <c r="GJ90" s="46">
        <v>57</v>
      </c>
      <c r="GK90" s="46">
        <v>0.34811030224752071</v>
      </c>
      <c r="GL90" s="46">
        <v>0.24807014455892695</v>
      </c>
      <c r="GM90" s="46">
        <v>0.60597440263514668</v>
      </c>
      <c r="GT90" s="46">
        <v>58</v>
      </c>
      <c r="GU90" s="46">
        <v>0.44682103155606478</v>
      </c>
      <c r="GV90" s="46">
        <v>-0.13482868523516855</v>
      </c>
      <c r="GW90" s="46">
        <v>-0.33284613130043705</v>
      </c>
    </row>
    <row r="91" spans="1:205" x14ac:dyDescent="0.35">
      <c r="DA91" s="46">
        <v>2010</v>
      </c>
      <c r="DB91" s="46">
        <v>0.76143729030131413</v>
      </c>
      <c r="DC91" s="46">
        <v>0.20308060420497542</v>
      </c>
      <c r="DD91" s="46">
        <v>0.4122654483535842</v>
      </c>
      <c r="DE91">
        <f t="shared" si="86"/>
        <v>-0.84598079336337018</v>
      </c>
      <c r="DN91" s="46">
        <v>57</v>
      </c>
      <c r="DO91" s="46">
        <v>0.44774249972041857</v>
      </c>
      <c r="DP91" s="46">
        <v>0.14843794708602909</v>
      </c>
      <c r="DQ91" s="46">
        <v>0.35116546261152048</v>
      </c>
      <c r="DR91">
        <f t="shared" si="111"/>
        <v>-0.29427629294301688</v>
      </c>
      <c r="DZ91" s="46">
        <v>58</v>
      </c>
      <c r="EA91" s="46">
        <v>0.46162927830549449</v>
      </c>
      <c r="EB91" s="46">
        <v>-0.14963693198459826</v>
      </c>
      <c r="EC91" s="46">
        <v>-0.33860640702886324</v>
      </c>
      <c r="ED91">
        <f t="shared" si="109"/>
        <v>1.2744387683276837</v>
      </c>
      <c r="EJ91" s="46">
        <v>60</v>
      </c>
      <c r="EK91" s="46">
        <v>0.42709607016818207</v>
      </c>
      <c r="EL91" s="46">
        <v>0.53742182433810748</v>
      </c>
      <c r="EM91" s="46">
        <v>1.2319928176518935</v>
      </c>
      <c r="EN91">
        <f t="shared" si="87"/>
        <v>-0.20972135303183992</v>
      </c>
      <c r="EU91" s="46">
        <v>60</v>
      </c>
      <c r="EV91" s="46">
        <v>0.46928822224734412</v>
      </c>
      <c r="EW91" s="46">
        <v>0.49522967225894543</v>
      </c>
      <c r="EX91" s="46">
        <v>1.1461179447553971</v>
      </c>
      <c r="EY91">
        <f t="shared" si="88"/>
        <v>-0.3754606180024988</v>
      </c>
      <c r="FF91" s="46">
        <v>59</v>
      </c>
      <c r="FG91" s="46">
        <v>0.60370183324240689</v>
      </c>
      <c r="FH91" s="46">
        <v>0.61503889718410298</v>
      </c>
      <c r="FI91" s="46">
        <v>1.4562313868060301</v>
      </c>
      <c r="FJ91">
        <f t="shared" si="91"/>
        <v>1.0655696686562677</v>
      </c>
      <c r="FP91" s="46">
        <v>59</v>
      </c>
      <c r="FQ91" s="46">
        <v>0.59194713639888463</v>
      </c>
      <c r="FR91" s="46">
        <v>0.62679359402762524</v>
      </c>
      <c r="FS91" s="46">
        <v>1.516895242175218</v>
      </c>
      <c r="FT91">
        <f t="shared" si="92"/>
        <v>0.64435565750904678</v>
      </c>
      <c r="FZ91" s="46">
        <v>60</v>
      </c>
      <c r="GA91" s="46">
        <v>0.58060075357944685</v>
      </c>
      <c r="GB91" s="46">
        <v>0.3839171409268427</v>
      </c>
      <c r="GC91" s="46">
        <v>0.90046850641298948</v>
      </c>
      <c r="GD91">
        <f t="shared" si="89"/>
        <v>-0.49919205799400312</v>
      </c>
      <c r="GJ91" s="46">
        <v>58</v>
      </c>
      <c r="GK91" s="46">
        <v>0.3802052108402188</v>
      </c>
      <c r="GL91" s="46">
        <v>-6.8212864519322569E-2</v>
      </c>
      <c r="GM91" s="46">
        <v>-0.16662726545600026</v>
      </c>
      <c r="GT91" s="46">
        <v>59</v>
      </c>
      <c r="GU91" s="46">
        <v>0.70424647803864471</v>
      </c>
      <c r="GV91" s="46">
        <v>0.51449425238786517</v>
      </c>
      <c r="GW91" s="46">
        <v>1.2701111872812625</v>
      </c>
    </row>
    <row r="92" spans="1:205" x14ac:dyDescent="0.35">
      <c r="DA92" s="46">
        <v>2011</v>
      </c>
      <c r="DB92" s="46">
        <v>0.46916152576741599</v>
      </c>
      <c r="DC92" s="46">
        <v>-0.41672735696902125</v>
      </c>
      <c r="DD92" s="46">
        <v>-0.84598079336337018</v>
      </c>
      <c r="DE92">
        <f t="shared" si="86"/>
        <v>1.0219458145594658</v>
      </c>
      <c r="DN92" s="46">
        <v>58</v>
      </c>
      <c r="DO92" s="46">
        <v>0.43638319180922841</v>
      </c>
      <c r="DP92" s="46">
        <v>-0.12439084548833218</v>
      </c>
      <c r="DQ92" s="46">
        <v>-0.29427629294301688</v>
      </c>
      <c r="DR92">
        <f t="shared" si="111"/>
        <v>1.4548500935849404</v>
      </c>
      <c r="DZ92" s="46">
        <v>59</v>
      </c>
      <c r="EA92" s="46">
        <v>0.65554079287031064</v>
      </c>
      <c r="EB92" s="46">
        <v>0.56319993755619924</v>
      </c>
      <c r="EC92" s="46">
        <v>1.2744387683276837</v>
      </c>
      <c r="ED92">
        <f t="shared" si="109"/>
        <v>0.97696543662262214</v>
      </c>
      <c r="EJ92" s="46">
        <v>61</v>
      </c>
      <c r="EK92" s="46">
        <v>0.14391914381947007</v>
      </c>
      <c r="EL92" s="46">
        <v>-9.1484975021075332E-2</v>
      </c>
      <c r="EM92" s="46">
        <v>-0.20972135303183992</v>
      </c>
      <c r="EN92">
        <f t="shared" si="87"/>
        <v>1.8693827503816252</v>
      </c>
      <c r="EU92" s="46">
        <v>61</v>
      </c>
      <c r="EV92" s="46">
        <v>0.21466811657870061</v>
      </c>
      <c r="EW92" s="46">
        <v>-0.16223394778030586</v>
      </c>
      <c r="EX92" s="46">
        <v>-0.3754606180024988</v>
      </c>
      <c r="EY92">
        <f t="shared" si="88"/>
        <v>1.9996066216677331</v>
      </c>
      <c r="FF92" s="46">
        <v>60</v>
      </c>
      <c r="FG92" s="46">
        <v>0.51447485888637701</v>
      </c>
      <c r="FH92" s="46">
        <v>0.45004303561991255</v>
      </c>
      <c r="FI92" s="46">
        <v>1.0655696686562677</v>
      </c>
      <c r="FJ92">
        <f t="shared" si="91"/>
        <v>-0.52684437920282323</v>
      </c>
      <c r="FP92" s="46">
        <v>60</v>
      </c>
      <c r="FQ92" s="46">
        <v>0.69826483551259755</v>
      </c>
      <c r="FR92" s="46">
        <v>0.266253058993692</v>
      </c>
      <c r="FS92" s="46">
        <v>0.64435565750904678</v>
      </c>
      <c r="FT92">
        <f t="shared" si="92"/>
        <v>-0.90969288139527216</v>
      </c>
      <c r="FZ92" s="46">
        <v>61</v>
      </c>
      <c r="GA92" s="46">
        <v>0.26526602945043959</v>
      </c>
      <c r="GB92" s="46">
        <v>-0.21283186065204485</v>
      </c>
      <c r="GC92" s="46">
        <v>-0.49919205799400312</v>
      </c>
      <c r="GD92">
        <f t="shared" si="89"/>
        <v>1.7166001735418246</v>
      </c>
      <c r="GJ92" s="46">
        <v>59</v>
      </c>
      <c r="GK92" s="46">
        <v>0.64053373806920444</v>
      </c>
      <c r="GL92" s="46">
        <v>0.57820699235730544</v>
      </c>
      <c r="GM92" s="46">
        <v>1.4124175942903661</v>
      </c>
      <c r="GT92" s="46">
        <v>60</v>
      </c>
      <c r="GU92" s="46">
        <v>0.75030283355101846</v>
      </c>
      <c r="GV92" s="46">
        <v>0.2142150609552711</v>
      </c>
      <c r="GW92" s="46">
        <v>0.52882407167945378</v>
      </c>
    </row>
    <row r="93" spans="1:205" x14ac:dyDescent="0.35">
      <c r="DA93" s="46">
        <v>2012</v>
      </c>
      <c r="DB93" s="46">
        <v>0.28149606389371484</v>
      </c>
      <c r="DC93" s="46">
        <v>0.50340714778378726</v>
      </c>
      <c r="DD93" s="46">
        <v>1.0219458145594658</v>
      </c>
      <c r="DE93">
        <f t="shared" si="86"/>
        <v>-1.5953715198375762</v>
      </c>
      <c r="DN93" s="46">
        <v>59</v>
      </c>
      <c r="DO93" s="46">
        <v>0.6037743279686244</v>
      </c>
      <c r="DP93" s="46">
        <v>0.61496640245788547</v>
      </c>
      <c r="DQ93" s="46">
        <v>1.4548500935849404</v>
      </c>
      <c r="DR93">
        <f t="shared" si="111"/>
        <v>1.0417371283837797</v>
      </c>
      <c r="DZ93" s="46">
        <v>60</v>
      </c>
      <c r="EA93" s="46">
        <v>0.5327773616736039</v>
      </c>
      <c r="EB93" s="46">
        <v>0.43174053283268565</v>
      </c>
      <c r="EC93" s="46">
        <v>0.97696543662262214</v>
      </c>
      <c r="ED93">
        <f t="shared" si="109"/>
        <v>-0.76843262575861482</v>
      </c>
      <c r="EJ93" s="46">
        <v>62</v>
      </c>
      <c r="EK93" s="46">
        <v>-3.0561841122952349E-2</v>
      </c>
      <c r="EL93" s="46">
        <v>0.81546505280045445</v>
      </c>
      <c r="EM93" s="46">
        <v>1.8693827503816252</v>
      </c>
      <c r="EN93">
        <f t="shared" si="87"/>
        <v>-0.3881583148032598</v>
      </c>
      <c r="EU93" s="46">
        <v>62</v>
      </c>
      <c r="EV93" s="46">
        <v>-7.9113041123311911E-2</v>
      </c>
      <c r="EW93" s="46">
        <v>0.86401625280081396</v>
      </c>
      <c r="EX93" s="46">
        <v>1.9996066216677331</v>
      </c>
      <c r="EY93">
        <f t="shared" si="88"/>
        <v>-0.50999221163910102</v>
      </c>
      <c r="FF93" s="46">
        <v>61</v>
      </c>
      <c r="FG93" s="46">
        <v>0.27494673713634699</v>
      </c>
      <c r="FH93" s="46">
        <v>-0.22251256833795224</v>
      </c>
      <c r="FI93" s="46">
        <v>-0.52684437920282323</v>
      </c>
      <c r="FJ93">
        <f t="shared" si="91"/>
        <v>1.7283742787360297</v>
      </c>
      <c r="FP93" s="46">
        <v>61</v>
      </c>
      <c r="FQ93" s="46">
        <v>0.42832675171232132</v>
      </c>
      <c r="FR93" s="46">
        <v>-0.37589258291392658</v>
      </c>
      <c r="FS93" s="46">
        <v>-0.90969288139527216</v>
      </c>
      <c r="FT93">
        <f t="shared" si="92"/>
        <v>1.6034888508755942</v>
      </c>
      <c r="FZ93" s="46">
        <v>62</v>
      </c>
      <c r="GA93" s="46">
        <v>5.3026165398615599E-2</v>
      </c>
      <c r="GB93" s="46">
        <v>0.7318770462788865</v>
      </c>
      <c r="GC93" s="46">
        <v>1.7166001735418246</v>
      </c>
      <c r="GD93">
        <f t="shared" si="89"/>
        <v>-0.58536093414434587</v>
      </c>
      <c r="GJ93" s="46">
        <v>60</v>
      </c>
      <c r="GK93" s="46">
        <v>0.78630339511559544</v>
      </c>
      <c r="GL93" s="46">
        <v>0.17821449939069411</v>
      </c>
      <c r="GM93" s="46">
        <v>0.43533422774921893</v>
      </c>
      <c r="GT93" s="46">
        <v>61</v>
      </c>
      <c r="GU93" s="46">
        <v>0.44122413236761049</v>
      </c>
      <c r="GV93" s="46">
        <v>-0.38878996356921575</v>
      </c>
      <c r="GW93" s="46">
        <v>-0.95979008500111729</v>
      </c>
    </row>
    <row r="94" spans="1:205" x14ac:dyDescent="0.35">
      <c r="A94" t="s">
        <v>125</v>
      </c>
      <c r="DA94" s="46">
        <v>2013</v>
      </c>
      <c r="DB94" s="46">
        <v>0.41399917455355684</v>
      </c>
      <c r="DC94" s="46">
        <v>-0.78587476460591477</v>
      </c>
      <c r="DD94" s="46">
        <v>-1.5953715198375762</v>
      </c>
      <c r="DE94">
        <f t="shared" si="86"/>
        <v>-1.3215469332873444</v>
      </c>
      <c r="DN94" s="46">
        <v>60</v>
      </c>
      <c r="DO94" s="46">
        <v>0.52417470246622355</v>
      </c>
      <c r="DP94" s="46">
        <v>0.440343192040066</v>
      </c>
      <c r="DQ94" s="46">
        <v>1.0417371283837797</v>
      </c>
      <c r="DR94">
        <f t="shared" si="111"/>
        <v>-0.55679410503619675</v>
      </c>
      <c r="DZ94" s="46">
        <v>61</v>
      </c>
      <c r="EA94" s="46">
        <v>0.39201988888072781</v>
      </c>
      <c r="EB94" s="46">
        <v>-0.33958572008233306</v>
      </c>
      <c r="EC94" s="46">
        <v>-0.76843262575861482</v>
      </c>
      <c r="ED94">
        <f t="shared" si="109"/>
        <v>1.2369619769682796</v>
      </c>
      <c r="EJ94" s="46">
        <v>63</v>
      </c>
      <c r="EK94" s="46">
        <v>-0.20255256585554332</v>
      </c>
      <c r="EL94" s="46">
        <v>-0.16932302419681455</v>
      </c>
      <c r="EM94" s="46">
        <v>-0.3881583148032598</v>
      </c>
      <c r="EN94">
        <f t="shared" si="87"/>
        <v>5.164924492371082E-2</v>
      </c>
      <c r="EU94" s="46">
        <v>63</v>
      </c>
      <c r="EV94" s="46">
        <v>-0.15151146698773871</v>
      </c>
      <c r="EW94" s="46">
        <v>-0.22036412306461917</v>
      </c>
      <c r="EX94" s="46">
        <v>-0.50999221163910102</v>
      </c>
      <c r="EY94">
        <f t="shared" si="88"/>
        <v>0.24858373123986482</v>
      </c>
      <c r="FF94" s="46">
        <v>62</v>
      </c>
      <c r="FG94" s="46">
        <v>5.4924844265228367E-2</v>
      </c>
      <c r="FH94" s="46">
        <v>0.72997836741227373</v>
      </c>
      <c r="FI94" s="46">
        <v>1.7283742787360297</v>
      </c>
      <c r="FJ94">
        <f t="shared" si="91"/>
        <v>-0.45831156042299326</v>
      </c>
      <c r="FP94" s="46">
        <v>62</v>
      </c>
      <c r="FQ94" s="46">
        <v>0.1223284261027936</v>
      </c>
      <c r="FR94" s="46">
        <v>0.6625747855747085</v>
      </c>
      <c r="FS94" s="46">
        <v>1.6034888508755942</v>
      </c>
      <c r="FT94">
        <f t="shared" si="92"/>
        <v>-0.62842287339713321</v>
      </c>
      <c r="FZ94" s="46">
        <v>63</v>
      </c>
      <c r="GA94" s="46">
        <v>-0.1223054000385238</v>
      </c>
      <c r="GB94" s="46">
        <v>-0.24957019001383407</v>
      </c>
      <c r="GC94" s="46">
        <v>-0.58536093414434587</v>
      </c>
      <c r="GD94">
        <f t="shared" si="89"/>
        <v>-1.4415852414570959E-2</v>
      </c>
      <c r="GJ94" s="46">
        <v>61</v>
      </c>
      <c r="GK94" s="46">
        <v>0.43578770892942975</v>
      </c>
      <c r="GL94" s="46">
        <v>-0.38335354013103501</v>
      </c>
      <c r="GM94" s="46">
        <v>-0.93643849360434095</v>
      </c>
      <c r="GT94" s="46">
        <v>62</v>
      </c>
      <c r="GU94" s="46">
        <v>0.11246537063808604</v>
      </c>
      <c r="GV94" s="46">
        <v>0.67243784103941606</v>
      </c>
      <c r="GW94" s="46">
        <v>1.6600201473418164</v>
      </c>
    </row>
    <row r="95" spans="1:205" ht="15" thickBot="1" x14ac:dyDescent="0.4">
      <c r="DA95" s="46">
        <v>2014</v>
      </c>
      <c r="DB95" s="46">
        <v>0.41540291847208999</v>
      </c>
      <c r="DC95" s="46">
        <v>-0.65098967368967242</v>
      </c>
      <c r="DD95" s="46">
        <v>-1.3215469332873444</v>
      </c>
      <c r="DE95">
        <f t="shared" si="86"/>
        <v>-2.9227287060933209</v>
      </c>
      <c r="DN95" s="46">
        <v>61</v>
      </c>
      <c r="DO95" s="46">
        <v>0.2877915222423677</v>
      </c>
      <c r="DP95" s="46">
        <v>-0.23535735344397296</v>
      </c>
      <c r="DQ95" s="46">
        <v>-0.55679410503619675</v>
      </c>
      <c r="DR95">
        <f t="shared" si="111"/>
        <v>1.7824058523750317</v>
      </c>
      <c r="DZ95" s="46">
        <v>62</v>
      </c>
      <c r="EA95" s="46">
        <v>0.23826501649604204</v>
      </c>
      <c r="EB95" s="46">
        <v>0.54663819518146006</v>
      </c>
      <c r="EC95" s="46">
        <v>1.2369619769682796</v>
      </c>
      <c r="ED95">
        <f t="shared" si="109"/>
        <v>-1.2933719880687025</v>
      </c>
      <c r="EJ95" s="46">
        <v>64</v>
      </c>
      <c r="EK95" s="46">
        <v>-0.25811726922292416</v>
      </c>
      <c r="EL95" s="46">
        <v>2.2530514005341729E-2</v>
      </c>
      <c r="EM95" s="46">
        <v>5.164924492371082E-2</v>
      </c>
      <c r="EN95">
        <f t="shared" si="87"/>
        <v>-2.0547646577437289</v>
      </c>
      <c r="EU95" s="46">
        <v>64</v>
      </c>
      <c r="EV95" s="46">
        <v>-0.34299807384683323</v>
      </c>
      <c r="EW95" s="46">
        <v>0.1074113186292508</v>
      </c>
      <c r="EX95" s="46">
        <v>0.24858373123986482</v>
      </c>
      <c r="EY95">
        <f t="shared" si="88"/>
        <v>-1.6884693111557048</v>
      </c>
      <c r="FF95" s="46">
        <v>63</v>
      </c>
      <c r="FG95" s="46">
        <v>-0.17830783753499679</v>
      </c>
      <c r="FH95" s="46">
        <v>-0.19356775251736108</v>
      </c>
      <c r="FI95" s="46">
        <v>-0.45831156042299326</v>
      </c>
      <c r="FJ95">
        <f t="shared" si="91"/>
        <v>0.59082820633245059</v>
      </c>
      <c r="FP95" s="46">
        <v>63</v>
      </c>
      <c r="FQ95" s="46">
        <v>-0.11220608853759362</v>
      </c>
      <c r="FR95" s="46">
        <v>-0.25966950151476426</v>
      </c>
      <c r="FS95" s="46">
        <v>-0.62842287339713321</v>
      </c>
      <c r="FT95">
        <f t="shared" si="92"/>
        <v>0.50981233597080677</v>
      </c>
      <c r="FZ95" s="46">
        <v>64</v>
      </c>
      <c r="GA95" s="46">
        <v>-0.22944051822693851</v>
      </c>
      <c r="GB95" s="46">
        <v>-6.1462369906439274E-3</v>
      </c>
      <c r="GC95" s="46">
        <v>-1.4415852414570959E-2</v>
      </c>
      <c r="GD95">
        <f t="shared" si="89"/>
        <v>-1.9213401446015668</v>
      </c>
      <c r="GJ95" s="46">
        <v>62</v>
      </c>
      <c r="GK95" s="46">
        <v>5.2744264112237094E-2</v>
      </c>
      <c r="GL95" s="46">
        <v>0.73215894756526501</v>
      </c>
      <c r="GM95" s="46">
        <v>1.7884843888557866</v>
      </c>
      <c r="GT95" s="46">
        <v>63</v>
      </c>
      <c r="GU95" s="46">
        <v>-0.16890584180501533</v>
      </c>
      <c r="GV95" s="46">
        <v>-0.20296974824734254</v>
      </c>
      <c r="GW95" s="46">
        <v>-0.50106322224619571</v>
      </c>
    </row>
    <row r="96" spans="1:205" x14ac:dyDescent="0.35">
      <c r="A96" s="48" t="s">
        <v>126</v>
      </c>
      <c r="B96" s="48" t="s">
        <v>127</v>
      </c>
      <c r="C96" s="48" t="s">
        <v>128</v>
      </c>
      <c r="D96" s="48" t="s">
        <v>129</v>
      </c>
      <c r="E96" s="51" t="s">
        <v>133</v>
      </c>
      <c r="DA96" s="46">
        <v>2015</v>
      </c>
      <c r="DB96" s="46">
        <v>0.54882694479694583</v>
      </c>
      <c r="DC96" s="46">
        <v>-1.4397265498019449</v>
      </c>
      <c r="DD96" s="46">
        <v>-2.9227287060933209</v>
      </c>
      <c r="DE96">
        <f t="shared" si="86"/>
        <v>-1.8697620353956108</v>
      </c>
      <c r="DN96" s="46">
        <v>62</v>
      </c>
      <c r="DO96" s="46">
        <v>3.1478704514724828E-2</v>
      </c>
      <c r="DP96" s="46">
        <v>0.75342450716277731</v>
      </c>
      <c r="DQ96" s="46">
        <v>1.7824058523750317</v>
      </c>
      <c r="DR96">
        <f t="shared" si="111"/>
        <v>-0.4807019710569852</v>
      </c>
      <c r="DZ96" s="46">
        <v>63</v>
      </c>
      <c r="EA96" s="46">
        <v>0.19969131533382339</v>
      </c>
      <c r="EB96" s="46">
        <v>-0.57156690538618127</v>
      </c>
      <c r="EC96" s="46">
        <v>-1.2933719880687025</v>
      </c>
      <c r="ED96">
        <f t="shared" si="109"/>
        <v>0.22731671947642862</v>
      </c>
      <c r="EJ96" s="46">
        <v>65</v>
      </c>
      <c r="EK96" s="46">
        <v>5.4330319455849763E-3</v>
      </c>
      <c r="EL96" s="46">
        <v>-0.89633263695058407</v>
      </c>
      <c r="EM96" s="46">
        <v>-2.0547646577437289</v>
      </c>
      <c r="EN96">
        <f t="shared" si="87"/>
        <v>-0.82804539801850174</v>
      </c>
      <c r="EU96" s="46">
        <v>65</v>
      </c>
      <c r="EV96" s="46">
        <v>-0.16132364172018776</v>
      </c>
      <c r="EW96" s="46">
        <v>-0.72957596328481134</v>
      </c>
      <c r="EX96" s="46">
        <v>-1.6884693111557048</v>
      </c>
      <c r="EY96">
        <f t="shared" si="88"/>
        <v>-0.68740268467890897</v>
      </c>
      <c r="FF96" s="46">
        <v>64</v>
      </c>
      <c r="FG96" s="46">
        <v>-0.48512287409288213</v>
      </c>
      <c r="FH96" s="46">
        <v>0.2495361188752997</v>
      </c>
      <c r="FI96" s="46">
        <v>0.59082820633245059</v>
      </c>
      <c r="FJ96">
        <f t="shared" si="91"/>
        <v>-1.7588146813398144</v>
      </c>
      <c r="FP96" s="46">
        <v>64</v>
      </c>
      <c r="FQ96" s="46">
        <v>-0.44624540682264163</v>
      </c>
      <c r="FR96" s="46">
        <v>0.2106586516050592</v>
      </c>
      <c r="FS96" s="46">
        <v>0.50981233597080677</v>
      </c>
      <c r="FT96">
        <f t="shared" si="92"/>
        <v>-1.6419583163720586</v>
      </c>
      <c r="FZ96" s="46">
        <v>65</v>
      </c>
      <c r="GA96" s="46">
        <v>-7.1731127917703807E-2</v>
      </c>
      <c r="GB96" s="46">
        <v>-0.81916847708729534</v>
      </c>
      <c r="GC96" s="46">
        <v>-1.9213401446015668</v>
      </c>
      <c r="GD96">
        <f t="shared" si="89"/>
        <v>-0.66994180988909924</v>
      </c>
      <c r="GJ96" s="46">
        <v>63</v>
      </c>
      <c r="GK96" s="46">
        <v>-0.28251636930318341</v>
      </c>
      <c r="GL96" s="46">
        <v>-8.9359220749174462E-2</v>
      </c>
      <c r="GM96" s="46">
        <v>-0.21828261723998174</v>
      </c>
      <c r="GT96" s="46">
        <v>64</v>
      </c>
      <c r="GU96" s="46">
        <v>-0.52795409818597716</v>
      </c>
      <c r="GV96" s="46">
        <v>0.29236734296839473</v>
      </c>
      <c r="GW96" s="46">
        <v>0.72175545475270364</v>
      </c>
    </row>
    <row r="97" spans="1:205" ht="15" thickBot="1" x14ac:dyDescent="0.4">
      <c r="A97" s="46">
        <v>1</v>
      </c>
      <c r="B97" s="46">
        <v>1.0157381717786178</v>
      </c>
      <c r="C97" s="46">
        <v>-3.6933359669293564E-2</v>
      </c>
      <c r="D97" s="46">
        <v>-7.3287408541345023E-2</v>
      </c>
      <c r="E97">
        <f>D98</f>
        <v>-0.96308642878854545</v>
      </c>
      <c r="DA97" s="46">
        <v>2016</v>
      </c>
      <c r="DB97" s="47">
        <v>-8.7811002595493459E-2</v>
      </c>
      <c r="DC97" s="47">
        <v>-0.92103863029045452</v>
      </c>
      <c r="DD97" s="47">
        <v>-1.8697620353956108</v>
      </c>
      <c r="DE97" t="s">
        <v>12</v>
      </c>
      <c r="DN97" s="46">
        <v>63</v>
      </c>
      <c r="DO97" s="46">
        <v>-0.1686824479555708</v>
      </c>
      <c r="DP97" s="46">
        <v>-0.20319314209678707</v>
      </c>
      <c r="DQ97" s="46">
        <v>-0.4807019710569852</v>
      </c>
      <c r="DR97">
        <f t="shared" si="111"/>
        <v>0.58468297706802175</v>
      </c>
      <c r="DZ97" s="46">
        <v>64</v>
      </c>
      <c r="EA97" s="46">
        <v>-0.33604255222899831</v>
      </c>
      <c r="EB97" s="46">
        <v>0.10045579701141588</v>
      </c>
      <c r="EC97" s="46">
        <v>0.22731671947642862</v>
      </c>
      <c r="ED97">
        <f t="shared" si="109"/>
        <v>-1.9922780789887586</v>
      </c>
      <c r="EJ97" s="47">
        <v>66</v>
      </c>
      <c r="EK97" s="47">
        <v>-0.6476383806271564</v>
      </c>
      <c r="EL97" s="47">
        <v>-0.36121125225879158</v>
      </c>
      <c r="EM97" s="47">
        <v>-0.82804539801850174</v>
      </c>
      <c r="EN97">
        <f t="shared" ref="EN97" si="157">EM98</f>
        <v>-1.3006837636027255</v>
      </c>
      <c r="EU97" s="47">
        <v>66</v>
      </c>
      <c r="EV97" s="47">
        <v>-0.71182766599221114</v>
      </c>
      <c r="EW97" s="47">
        <v>-0.29702196689373683</v>
      </c>
      <c r="EX97" s="47">
        <v>-0.68740268467890897</v>
      </c>
      <c r="EY97">
        <f t="shared" ref="EY97" si="158">EX98</f>
        <v>-0.84848032421553821</v>
      </c>
      <c r="FF97" s="46">
        <v>65</v>
      </c>
      <c r="FG97" s="46">
        <v>-0.14806474252133761</v>
      </c>
      <c r="FH97" s="46">
        <v>-0.74283486248366148</v>
      </c>
      <c r="FI97" s="46">
        <v>-1.7588146813398144</v>
      </c>
      <c r="FJ97">
        <f t="shared" si="91"/>
        <v>-0.5995004742831419</v>
      </c>
      <c r="FP97" s="46">
        <v>65</v>
      </c>
      <c r="FQ97" s="46">
        <v>-0.21242891978709999</v>
      </c>
      <c r="FR97" s="46">
        <v>-0.67847068521789911</v>
      </c>
      <c r="FS97" s="46">
        <v>-1.6419583163720586</v>
      </c>
      <c r="FT97">
        <f t="shared" si="92"/>
        <v>-0.49485601153235287</v>
      </c>
      <c r="FZ97" s="47">
        <v>66</v>
      </c>
      <c r="GA97" s="47">
        <v>-0.72321816170375142</v>
      </c>
      <c r="GB97" s="47">
        <v>-0.28563147118219656</v>
      </c>
      <c r="GC97" s="47">
        <v>-0.66994180988909924</v>
      </c>
      <c r="GD97">
        <f t="shared" ref="GD97" si="159">GC98</f>
        <v>0</v>
      </c>
      <c r="GJ97" s="46">
        <v>64</v>
      </c>
      <c r="GK97" s="46">
        <v>-0.42288551123946683</v>
      </c>
      <c r="GL97" s="46">
        <v>0.18729875602188439</v>
      </c>
      <c r="GM97" s="46">
        <v>0.45752483434259833</v>
      </c>
      <c r="GT97" s="46">
        <v>65</v>
      </c>
      <c r="GU97" s="46">
        <v>-0.23082505811309662</v>
      </c>
      <c r="GV97" s="46">
        <v>-0.66007454689190248</v>
      </c>
      <c r="GW97" s="46">
        <v>-1.6294993822690746</v>
      </c>
    </row>
    <row r="98" spans="1:205" ht="15" thickBot="1" x14ac:dyDescent="0.4">
      <c r="A98" s="46">
        <v>2</v>
      </c>
      <c r="B98" s="46">
        <v>1.0129425725960561</v>
      </c>
      <c r="C98" s="46">
        <v>-0.48534964156900218</v>
      </c>
      <c r="D98" s="46">
        <v>-0.96308642878854545</v>
      </c>
      <c r="E98">
        <f t="shared" ref="E98:E161" si="160">D99</f>
        <v>-0.26710593562891427</v>
      </c>
      <c r="DN98" s="46">
        <v>64</v>
      </c>
      <c r="DO98" s="46">
        <v>-0.48273275917451519</v>
      </c>
      <c r="DP98" s="46">
        <v>0.24714600395693276</v>
      </c>
      <c r="DQ98" s="46">
        <v>0.58468297706802175</v>
      </c>
      <c r="DR98">
        <f t="shared" si="111"/>
        <v>-1.6918679726218255</v>
      </c>
      <c r="DZ98" s="46">
        <v>65</v>
      </c>
      <c r="EA98" s="46">
        <v>-1.0472143469591848E-2</v>
      </c>
      <c r="EB98" s="46">
        <v>-0.8804274615354073</v>
      </c>
      <c r="EC98" s="46">
        <v>-1.9922780789887586</v>
      </c>
      <c r="ED98">
        <f t="shared" si="109"/>
        <v>-1.1177560737321341</v>
      </c>
      <c r="EJ98" s="47">
        <v>66</v>
      </c>
      <c r="EK98" s="47">
        <v>-0.40800912072173667</v>
      </c>
      <c r="EL98" s="47">
        <v>-0.6008405121642113</v>
      </c>
      <c r="EM98" s="47">
        <v>-1.3006837636027255</v>
      </c>
      <c r="EN98" t="s">
        <v>12</v>
      </c>
      <c r="EU98" s="47">
        <v>66</v>
      </c>
      <c r="EV98" s="47">
        <v>-0.63862232292897514</v>
      </c>
      <c r="EW98" s="47">
        <v>-0.37022730995697284</v>
      </c>
      <c r="EX98" s="47">
        <v>-0.84848032421553821</v>
      </c>
      <c r="FF98" s="47">
        <v>66</v>
      </c>
      <c r="FG98" s="47">
        <v>-0.75565078419668863</v>
      </c>
      <c r="FH98" s="47">
        <v>-0.25319884868925935</v>
      </c>
      <c r="FI98" s="47">
        <v>-0.5995004742831419</v>
      </c>
      <c r="FJ98">
        <f t="shared" ref="FJ98" si="161">FI99</f>
        <v>0</v>
      </c>
      <c r="FP98" s="47">
        <v>66</v>
      </c>
      <c r="FQ98" s="47">
        <v>-0.80437105758911076</v>
      </c>
      <c r="FR98" s="47">
        <v>-0.20447857529683722</v>
      </c>
      <c r="FS98" s="47">
        <v>-0.49485601153235287</v>
      </c>
      <c r="FT98">
        <f t="shared" ref="FT98" si="162">FS99</f>
        <v>0</v>
      </c>
      <c r="GJ98" s="46">
        <v>65</v>
      </c>
      <c r="GK98" s="46">
        <v>-0.20346504774944341</v>
      </c>
      <c r="GL98" s="46">
        <v>-0.68743455725555569</v>
      </c>
      <c r="GM98" s="46">
        <v>-1.6792336938584713</v>
      </c>
      <c r="GT98" s="47">
        <v>66</v>
      </c>
      <c r="GU98" s="47">
        <v>-0.89203345029079273</v>
      </c>
      <c r="GV98" s="47">
        <v>-0.11681618259515525</v>
      </c>
      <c r="GW98" s="47">
        <v>-0.2883793933187519</v>
      </c>
    </row>
    <row r="99" spans="1:205" ht="15" thickBot="1" x14ac:dyDescent="0.4">
      <c r="A99" s="46">
        <v>3</v>
      </c>
      <c r="B99" s="46">
        <v>1.036805560093613</v>
      </c>
      <c r="C99" s="46">
        <v>-0.13460865633992869</v>
      </c>
      <c r="D99" s="46">
        <v>-0.26710593562891427</v>
      </c>
      <c r="E99">
        <f t="shared" si="160"/>
        <v>1.5339191486269754</v>
      </c>
      <c r="DN99" s="46">
        <v>65</v>
      </c>
      <c r="DO99" s="46">
        <v>-0.17574553851751956</v>
      </c>
      <c r="DP99" s="46">
        <v>-0.71515406648747959</v>
      </c>
      <c r="DQ99" s="46">
        <v>-1.6918679726218255</v>
      </c>
      <c r="DR99">
        <f t="shared" si="111"/>
        <v>-0.59339396599484151</v>
      </c>
      <c r="DZ99" s="47">
        <v>66</v>
      </c>
      <c r="EA99" s="47">
        <v>-0.51489090644587299</v>
      </c>
      <c r="EB99" s="47">
        <v>-0.49395872644007499</v>
      </c>
      <c r="EC99" s="47">
        <v>-1.1177560737321341</v>
      </c>
      <c r="ED99">
        <f t="shared" ref="ED99" si="163">EC100</f>
        <v>0</v>
      </c>
      <c r="GJ99" s="47">
        <v>66</v>
      </c>
      <c r="GK99" s="47">
        <v>-0.8842148473896525</v>
      </c>
      <c r="GL99" s="47">
        <v>-0.12463478549629547</v>
      </c>
      <c r="GM99" s="47">
        <v>-0.30445215333333614</v>
      </c>
    </row>
    <row r="100" spans="1:205" ht="15" thickBot="1" x14ac:dyDescent="0.4">
      <c r="A100" s="46">
        <v>4</v>
      </c>
      <c r="B100" s="46">
        <v>1.0684684237635107</v>
      </c>
      <c r="C100" s="46">
        <v>0.77302211590543601</v>
      </c>
      <c r="D100" s="46">
        <v>1.5339191486269754</v>
      </c>
      <c r="E100">
        <f t="shared" si="160"/>
        <v>1.2890155736728106</v>
      </c>
      <c r="DN100" s="47">
        <v>66</v>
      </c>
      <c r="DO100" s="47">
        <v>-0.75802148631803556</v>
      </c>
      <c r="DP100" s="47">
        <v>-0.25082814656791241</v>
      </c>
      <c r="DQ100" s="47">
        <v>-0.59339396599484151</v>
      </c>
      <c r="DR100">
        <f t="shared" ref="DR100:DR101" si="164">DQ101</f>
        <v>-1.1497488802008757</v>
      </c>
    </row>
    <row r="101" spans="1:205" ht="15" thickBot="1" x14ac:dyDescent="0.4">
      <c r="A101" s="46">
        <v>5</v>
      </c>
      <c r="B101" s="46">
        <v>1.053563709889632</v>
      </c>
      <c r="C101" s="46">
        <v>0.64960239076977144</v>
      </c>
      <c r="D101" s="46">
        <v>1.2890155736728106</v>
      </c>
      <c r="E101">
        <f t="shared" si="160"/>
        <v>2.7704163807911142</v>
      </c>
      <c r="DN101" s="46">
        <f t="shared" ref="DN101" si="165">DZ99</f>
        <v>66</v>
      </c>
      <c r="DO101" s="47">
        <v>-0.50907254147453207</v>
      </c>
      <c r="DP101" s="47">
        <v>-0.49977709141141591</v>
      </c>
      <c r="DQ101" s="47">
        <v>-1.1497488802008757</v>
      </c>
      <c r="DR101">
        <f t="shared" si="164"/>
        <v>0</v>
      </c>
    </row>
    <row r="102" spans="1:205" x14ac:dyDescent="0.35">
      <c r="A102" s="46">
        <v>6</v>
      </c>
      <c r="B102" s="46">
        <v>1.1014750284769599</v>
      </c>
      <c r="C102" s="46">
        <v>1.3961577665518983</v>
      </c>
      <c r="D102" s="46">
        <v>2.7704163807911142</v>
      </c>
      <c r="E102">
        <f t="shared" si="160"/>
        <v>0.16378751633216732</v>
      </c>
    </row>
    <row r="103" spans="1:205" x14ac:dyDescent="0.35">
      <c r="A103" s="46">
        <v>7</v>
      </c>
      <c r="B103" s="46">
        <v>1.069531060358871</v>
      </c>
      <c r="C103" s="46">
        <v>8.2541099084211256E-2</v>
      </c>
      <c r="D103" s="46">
        <v>0.16378751633216732</v>
      </c>
      <c r="E103">
        <f t="shared" si="160"/>
        <v>1.5896327075013785E-2</v>
      </c>
    </row>
    <row r="104" spans="1:205" x14ac:dyDescent="0.35">
      <c r="A104" s="46">
        <v>8</v>
      </c>
      <c r="B104" s="46">
        <v>1.0665995425420192</v>
      </c>
      <c r="C104" s="46">
        <v>8.0109909323782258E-3</v>
      </c>
      <c r="D104" s="46">
        <v>1.5896327075013785E-2</v>
      </c>
      <c r="E104">
        <f t="shared" si="160"/>
        <v>-0.48063570408652517</v>
      </c>
    </row>
    <row r="105" spans="1:205" x14ac:dyDescent="0.35">
      <c r="A105" s="46">
        <v>9</v>
      </c>
      <c r="B105" s="46">
        <v>1.0277391693744766</v>
      </c>
      <c r="C105" s="46">
        <v>-0.24221747885814926</v>
      </c>
      <c r="D105" s="46">
        <v>-0.48063570408652517</v>
      </c>
      <c r="E105">
        <f t="shared" si="160"/>
        <v>-0.34455685159892879</v>
      </c>
    </row>
    <row r="106" spans="1:205" x14ac:dyDescent="0.35">
      <c r="A106" s="46">
        <v>10</v>
      </c>
      <c r="B106" s="46">
        <v>1.0323838797953602</v>
      </c>
      <c r="C106" s="46">
        <v>-0.17364022524337841</v>
      </c>
      <c r="D106" s="46">
        <v>-0.34455685159892879</v>
      </c>
      <c r="E106">
        <f t="shared" si="160"/>
        <v>-0.56444199204696233</v>
      </c>
    </row>
    <row r="107" spans="1:205" x14ac:dyDescent="0.35">
      <c r="A107" s="46">
        <v>11</v>
      </c>
      <c r="B107" s="46">
        <v>1.0576289126788598</v>
      </c>
      <c r="C107" s="46">
        <v>-0.28445185223000935</v>
      </c>
      <c r="D107" s="46">
        <v>-0.56444199204696233</v>
      </c>
      <c r="E107">
        <f t="shared" si="160"/>
        <v>6.3456976864680867E-2</v>
      </c>
    </row>
    <row r="108" spans="1:205" x14ac:dyDescent="0.35">
      <c r="A108" s="46">
        <v>12</v>
      </c>
      <c r="B108" s="46">
        <v>1.041295817520985</v>
      </c>
      <c r="C108" s="46">
        <v>3.1979290804737825E-2</v>
      </c>
      <c r="D108" s="46">
        <v>6.3456976864680867E-2</v>
      </c>
      <c r="E108">
        <f t="shared" si="160"/>
        <v>-0.33288506320729494</v>
      </c>
    </row>
    <row r="109" spans="1:205" x14ac:dyDescent="0.35">
      <c r="A109" s="46">
        <v>13</v>
      </c>
      <c r="B109" s="46">
        <v>1.0030606700711779</v>
      </c>
      <c r="C109" s="46">
        <v>-0.16775820038765021</v>
      </c>
      <c r="D109" s="46">
        <v>-0.33288506320729494</v>
      </c>
      <c r="E109">
        <f t="shared" si="160"/>
        <v>0.82874757916591035</v>
      </c>
    </row>
    <row r="110" spans="1:205" x14ac:dyDescent="0.35">
      <c r="A110" s="46">
        <v>14</v>
      </c>
      <c r="B110" s="46">
        <v>0.96939238873352451</v>
      </c>
      <c r="C110" s="46">
        <v>0.41764926643740163</v>
      </c>
      <c r="D110" s="46">
        <v>0.82874757916591035</v>
      </c>
      <c r="E110">
        <f t="shared" si="160"/>
        <v>1.1682860571910776</v>
      </c>
    </row>
    <row r="111" spans="1:205" x14ac:dyDescent="0.35">
      <c r="A111" s="46">
        <v>15</v>
      </c>
      <c r="B111" s="46">
        <v>1.0418506126736791</v>
      </c>
      <c r="C111" s="46">
        <v>0.58876047066825432</v>
      </c>
      <c r="D111" s="46">
        <v>1.1682860571910776</v>
      </c>
      <c r="E111">
        <f t="shared" si="160"/>
        <v>-0.54053605278152705</v>
      </c>
    </row>
    <row r="112" spans="1:205" x14ac:dyDescent="0.35">
      <c r="A112" s="46">
        <v>16</v>
      </c>
      <c r="B112" s="46">
        <v>0.89891919466598214</v>
      </c>
      <c r="C112" s="46">
        <v>-0.2724043986401542</v>
      </c>
      <c r="D112" s="46">
        <v>-0.54053605278152705</v>
      </c>
      <c r="E112">
        <f t="shared" si="160"/>
        <v>-0.10654973415999774</v>
      </c>
    </row>
    <row r="113" spans="1:5" x14ac:dyDescent="0.35">
      <c r="A113" s="46">
        <v>17</v>
      </c>
      <c r="B113" s="46">
        <v>0.98969863269649405</v>
      </c>
      <c r="C113" s="46">
        <v>-5.3695985882469155E-2</v>
      </c>
      <c r="D113" s="46">
        <v>-0.10654973415999774</v>
      </c>
      <c r="E113">
        <f t="shared" si="160"/>
        <v>-0.14403869402033831</v>
      </c>
    </row>
    <row r="114" spans="1:5" x14ac:dyDescent="0.35">
      <c r="A114" s="46">
        <v>18</v>
      </c>
      <c r="B114" s="46">
        <v>0.70769526808297045</v>
      </c>
      <c r="C114" s="46">
        <v>-7.2588634233768823E-2</v>
      </c>
      <c r="D114" s="46">
        <v>-0.14403869402033831</v>
      </c>
      <c r="E114">
        <f t="shared" si="160"/>
        <v>1.1276880407262204</v>
      </c>
    </row>
    <row r="115" spans="1:5" x14ac:dyDescent="0.35">
      <c r="A115" s="46">
        <v>19</v>
      </c>
      <c r="B115" s="46">
        <v>0.93079211440705556</v>
      </c>
      <c r="C115" s="46">
        <v>0.56830100602351152</v>
      </c>
      <c r="D115" s="46">
        <v>1.1276880407262204</v>
      </c>
      <c r="E115">
        <f t="shared" si="160"/>
        <v>0.10624956622477391</v>
      </c>
    </row>
    <row r="116" spans="1:5" x14ac:dyDescent="0.35">
      <c r="A116" s="46">
        <v>20</v>
      </c>
      <c r="B116" s="46">
        <v>0.94621887939900373</v>
      </c>
      <c r="C116" s="46">
        <v>5.3544715554680766E-2</v>
      </c>
      <c r="D116" s="46">
        <v>0.10624956622477391</v>
      </c>
      <c r="E116">
        <f t="shared" si="160"/>
        <v>-0.49701659387407832</v>
      </c>
    </row>
    <row r="117" spans="1:5" x14ac:dyDescent="0.35">
      <c r="A117" s="46">
        <v>21</v>
      </c>
      <c r="B117" s="46">
        <v>0.94258923405147887</v>
      </c>
      <c r="C117" s="46">
        <v>-0.25047266629441189</v>
      </c>
      <c r="D117" s="46">
        <v>-0.49701659387407832</v>
      </c>
      <c r="E117">
        <f t="shared" si="160"/>
        <v>-0.18548788101273209</v>
      </c>
    </row>
    <row r="118" spans="1:5" x14ac:dyDescent="0.35">
      <c r="A118" s="46">
        <v>22</v>
      </c>
      <c r="B118" s="46">
        <v>0.86031830252753916</v>
      </c>
      <c r="C118" s="46">
        <v>-9.3477048241834781E-2</v>
      </c>
      <c r="D118" s="46">
        <v>-0.18548788101273209</v>
      </c>
      <c r="E118">
        <f t="shared" si="160"/>
        <v>0.31060129246680285</v>
      </c>
    </row>
    <row r="119" spans="1:5" x14ac:dyDescent="0.35">
      <c r="A119" s="46">
        <v>23</v>
      </c>
      <c r="B119" s="46">
        <v>0.95682671099338701</v>
      </c>
      <c r="C119" s="46">
        <v>0.15652824239176377</v>
      </c>
      <c r="D119" s="46">
        <v>0.31060129246680285</v>
      </c>
      <c r="E119">
        <f t="shared" si="160"/>
        <v>0.32324804923965161</v>
      </c>
    </row>
    <row r="120" spans="1:5" x14ac:dyDescent="0.35">
      <c r="A120" s="46">
        <v>24</v>
      </c>
      <c r="B120" s="46">
        <v>0.90540313133360306</v>
      </c>
      <c r="C120" s="46">
        <v>0.1629016048265699</v>
      </c>
      <c r="D120" s="46">
        <v>0.32324804923965161</v>
      </c>
      <c r="E120">
        <f t="shared" si="160"/>
        <v>-0.15753286555730467</v>
      </c>
    </row>
    <row r="121" spans="1:5" x14ac:dyDescent="0.35">
      <c r="A121" s="46">
        <v>25</v>
      </c>
      <c r="B121" s="46">
        <v>1.0035703649497665</v>
      </c>
      <c r="C121" s="46">
        <v>-7.938905330620416E-2</v>
      </c>
      <c r="D121" s="46">
        <v>-0.15753286555730467</v>
      </c>
      <c r="E121">
        <f t="shared" si="160"/>
        <v>-0.13708063626792955</v>
      </c>
    </row>
    <row r="122" spans="1:5" x14ac:dyDescent="0.35">
      <c r="A122" s="46">
        <v>26</v>
      </c>
      <c r="B122" s="46">
        <v>0.91145645305531353</v>
      </c>
      <c r="C122" s="46">
        <v>-6.9082104876485695E-2</v>
      </c>
      <c r="D122" s="46">
        <v>-0.13708063626792955</v>
      </c>
      <c r="E122">
        <f t="shared" si="160"/>
        <v>-1.5781955605154265</v>
      </c>
    </row>
    <row r="123" spans="1:5" x14ac:dyDescent="0.35">
      <c r="A123" s="46">
        <v>27</v>
      </c>
      <c r="B123" s="46">
        <v>0.75155188668462936</v>
      </c>
      <c r="C123" s="46">
        <v>-0.79533531646320188</v>
      </c>
      <c r="D123" s="46">
        <v>-1.5781955605154265</v>
      </c>
      <c r="E123">
        <f t="shared" si="160"/>
        <v>-0.5586524847777804</v>
      </c>
    </row>
    <row r="124" spans="1:5" x14ac:dyDescent="0.35">
      <c r="A124" s="46">
        <v>28</v>
      </c>
      <c r="B124" s="46">
        <v>0.90004361245874731</v>
      </c>
      <c r="C124" s="46">
        <v>-0.28153421660150901</v>
      </c>
      <c r="D124" s="46">
        <v>-0.5586524847777804</v>
      </c>
      <c r="E124">
        <f t="shared" si="160"/>
        <v>-0.51065364445082717</v>
      </c>
    </row>
    <row r="125" spans="1:5" x14ac:dyDescent="0.35">
      <c r="A125" s="46">
        <v>29</v>
      </c>
      <c r="B125" s="46">
        <v>0.9638981868483264</v>
      </c>
      <c r="C125" s="46">
        <v>-0.25734508959063573</v>
      </c>
      <c r="D125" s="46">
        <v>-0.51065364445082717</v>
      </c>
      <c r="E125">
        <f t="shared" si="160"/>
        <v>-8.5790972458363562E-2</v>
      </c>
    </row>
    <row r="126" spans="1:5" x14ac:dyDescent="0.35">
      <c r="A126" s="46">
        <v>30</v>
      </c>
      <c r="B126" s="46">
        <v>0.92783217723939748</v>
      </c>
      <c r="C126" s="46">
        <v>-4.3234559731985422E-2</v>
      </c>
      <c r="D126" s="46">
        <v>-8.5790972458363562E-2</v>
      </c>
      <c r="E126">
        <f t="shared" si="160"/>
        <v>0.97151646339968412</v>
      </c>
    </row>
    <row r="127" spans="1:5" x14ac:dyDescent="0.35">
      <c r="A127" s="46">
        <v>31</v>
      </c>
      <c r="B127" s="46">
        <v>0.8518505716112541</v>
      </c>
      <c r="C127" s="46">
        <v>0.48959797708139963</v>
      </c>
      <c r="D127" s="46">
        <v>0.97151646339968412</v>
      </c>
      <c r="E127">
        <f t="shared" si="160"/>
        <v>1.1503531494168442</v>
      </c>
    </row>
    <row r="128" spans="1:5" x14ac:dyDescent="0.35">
      <c r="A128" s="46">
        <v>32</v>
      </c>
      <c r="B128" s="46">
        <v>0.9201540100259441</v>
      </c>
      <c r="C128" s="46">
        <v>0.57972314016463333</v>
      </c>
      <c r="D128" s="46">
        <v>1.1503531494168442</v>
      </c>
      <c r="E128">
        <f t="shared" si="160"/>
        <v>-0.59225951271909172</v>
      </c>
    </row>
    <row r="129" spans="1:5" x14ac:dyDescent="0.35">
      <c r="A129" s="46">
        <v>33</v>
      </c>
      <c r="B129" s="46">
        <v>0.89214797543042934</v>
      </c>
      <c r="C129" s="46">
        <v>-0.2984705563504062</v>
      </c>
      <c r="D129" s="46">
        <v>-0.59225951271909172</v>
      </c>
      <c r="E129">
        <f t="shared" si="160"/>
        <v>-0.37645015640445595</v>
      </c>
    </row>
    <row r="130" spans="1:5" x14ac:dyDescent="0.35">
      <c r="A130" s="46">
        <v>34</v>
      </c>
      <c r="B130" s="46">
        <v>0.78730034093889811</v>
      </c>
      <c r="C130" s="46">
        <v>-0.18971293023963187</v>
      </c>
      <c r="D130" s="46">
        <v>-0.37645015640445595</v>
      </c>
      <c r="E130">
        <f t="shared" si="160"/>
        <v>-0.88871428148583442</v>
      </c>
    </row>
    <row r="131" spans="1:5" x14ac:dyDescent="0.35">
      <c r="A131" s="46">
        <v>35</v>
      </c>
      <c r="B131" s="46">
        <v>0.26689878084007268</v>
      </c>
      <c r="C131" s="46">
        <v>-0.44786962528272434</v>
      </c>
      <c r="D131" s="46">
        <v>-0.88871428148583442</v>
      </c>
      <c r="E131">
        <f t="shared" si="160"/>
        <v>-0.16392690100843163</v>
      </c>
    </row>
    <row r="132" spans="1:5" x14ac:dyDescent="0.35">
      <c r="A132" s="46">
        <v>36</v>
      </c>
      <c r="B132" s="46">
        <v>0.50567137038164689</v>
      </c>
      <c r="C132" s="46">
        <v>-8.2611342315392688E-2</v>
      </c>
      <c r="D132" s="46">
        <v>-0.16392690100843163</v>
      </c>
      <c r="E132">
        <f t="shared" si="160"/>
        <v>1.0084718711177956</v>
      </c>
    </row>
    <row r="133" spans="1:5" x14ac:dyDescent="0.35">
      <c r="A133" s="46">
        <v>37</v>
      </c>
      <c r="B133" s="46">
        <v>0.89715163460823433</v>
      </c>
      <c r="C133" s="46">
        <v>0.50822174059199499</v>
      </c>
      <c r="D133" s="46">
        <v>1.0084718711177956</v>
      </c>
      <c r="E133">
        <f t="shared" si="160"/>
        <v>0.53827441418538469</v>
      </c>
    </row>
    <row r="134" spans="1:5" x14ac:dyDescent="0.35">
      <c r="A134" s="46">
        <v>38</v>
      </c>
      <c r="B134" s="46">
        <v>0.79533869253322087</v>
      </c>
      <c r="C134" s="46">
        <v>0.2712646406192909</v>
      </c>
      <c r="D134" s="46">
        <v>0.53827441418538469</v>
      </c>
      <c r="E134">
        <f t="shared" si="160"/>
        <v>0.20381999416707147</v>
      </c>
    </row>
    <row r="135" spans="1:5" x14ac:dyDescent="0.35">
      <c r="A135" s="46">
        <v>39</v>
      </c>
      <c r="B135" s="46">
        <v>0.66486915985402151</v>
      </c>
      <c r="C135" s="46">
        <v>0.1027155592235055</v>
      </c>
      <c r="D135" s="46">
        <v>0.20381999416707147</v>
      </c>
      <c r="E135">
        <f t="shared" si="160"/>
        <v>0.64099451730792989</v>
      </c>
    </row>
    <row r="136" spans="1:5" x14ac:dyDescent="0.35">
      <c r="A136" s="46">
        <v>40</v>
      </c>
      <c r="B136" s="46">
        <v>0.58929531012874903</v>
      </c>
      <c r="C136" s="46">
        <v>0.32303067505004335</v>
      </c>
      <c r="D136" s="46">
        <v>0.64099451730792989</v>
      </c>
      <c r="E136">
        <f t="shared" si="160"/>
        <v>0.11062349143612657</v>
      </c>
    </row>
    <row r="137" spans="1:5" x14ac:dyDescent="0.35">
      <c r="A137" s="46">
        <v>41</v>
      </c>
      <c r="B137" s="46">
        <v>0.43831689115909267</v>
      </c>
      <c r="C137" s="46">
        <v>5.5748965318899724E-2</v>
      </c>
      <c r="D137" s="46">
        <v>0.11062349143612657</v>
      </c>
      <c r="E137">
        <f t="shared" si="160"/>
        <v>-0.50322981854687499</v>
      </c>
    </row>
    <row r="138" spans="1:5" x14ac:dyDescent="0.35">
      <c r="A138" s="46">
        <v>42</v>
      </c>
      <c r="B138" s="46">
        <v>0.48186583939767624</v>
      </c>
      <c r="C138" s="46">
        <v>-0.25360383529211317</v>
      </c>
      <c r="D138" s="46">
        <v>-0.50322981854687499</v>
      </c>
      <c r="E138">
        <f t="shared" si="160"/>
        <v>-0.13699977989512441</v>
      </c>
    </row>
    <row r="139" spans="1:5" x14ac:dyDescent="0.35">
      <c r="A139" s="46">
        <v>43</v>
      </c>
      <c r="B139" s="46">
        <v>0.51299120665015308</v>
      </c>
      <c r="C139" s="46">
        <v>-6.9041357119704494E-2</v>
      </c>
      <c r="D139" s="46">
        <v>-0.13699977989512441</v>
      </c>
      <c r="E139">
        <f t="shared" si="160"/>
        <v>1.3560808794535562</v>
      </c>
    </row>
    <row r="140" spans="1:5" x14ac:dyDescent="0.35">
      <c r="A140" s="46">
        <v>44</v>
      </c>
      <c r="B140" s="46">
        <v>9.2508377113913465E-2</v>
      </c>
      <c r="C140" s="46">
        <v>0.68340010730840517</v>
      </c>
      <c r="D140" s="46">
        <v>1.3560808794535562</v>
      </c>
      <c r="E140">
        <f t="shared" si="160"/>
        <v>0.90978511915173554</v>
      </c>
    </row>
    <row r="141" spans="1:5" x14ac:dyDescent="0.35">
      <c r="A141" s="46">
        <v>45</v>
      </c>
      <c r="B141" s="46">
        <v>0.1156991851837077</v>
      </c>
      <c r="C141" s="46">
        <v>0.45848832283987695</v>
      </c>
      <c r="D141" s="46">
        <v>0.90978511915173554</v>
      </c>
      <c r="E141">
        <f t="shared" si="160"/>
        <v>-0.43381778876823829</v>
      </c>
    </row>
    <row r="142" spans="1:5" x14ac:dyDescent="0.35">
      <c r="A142" s="46">
        <v>46</v>
      </c>
      <c r="B142" s="46">
        <v>0.38899572564699003</v>
      </c>
      <c r="C142" s="46">
        <v>-0.21862348174688118</v>
      </c>
      <c r="D142" s="46">
        <v>-0.43381778876823829</v>
      </c>
      <c r="E142">
        <f t="shared" si="160"/>
        <v>1.1642866362133155</v>
      </c>
    </row>
    <row r="143" spans="1:5" x14ac:dyDescent="0.35">
      <c r="A143" s="46">
        <v>47</v>
      </c>
      <c r="B143" s="46">
        <v>0.47571490338406652</v>
      </c>
      <c r="C143" s="46">
        <v>0.58674495318195563</v>
      </c>
      <c r="D143" s="46">
        <v>1.1642866362133155</v>
      </c>
      <c r="E143">
        <f t="shared" si="160"/>
        <v>1.4716469838264372</v>
      </c>
    </row>
    <row r="144" spans="1:5" x14ac:dyDescent="0.35">
      <c r="A144" s="46">
        <v>48</v>
      </c>
      <c r="B144" s="46">
        <v>-1.0782230724736719</v>
      </c>
      <c r="C144" s="46">
        <v>0.74163991389093442</v>
      </c>
      <c r="D144" s="46">
        <v>1.4716469838264372</v>
      </c>
      <c r="E144">
        <f t="shared" si="160"/>
        <v>1.4955033599802814</v>
      </c>
    </row>
    <row r="145" spans="1:5" x14ac:dyDescent="0.35">
      <c r="A145" s="46">
        <v>49</v>
      </c>
      <c r="B145" s="46">
        <v>-0.72373059332129119</v>
      </c>
      <c r="C145" s="46">
        <v>0.75366239003564373</v>
      </c>
      <c r="D145" s="46">
        <v>1.4955033599802814</v>
      </c>
      <c r="E145">
        <f t="shared" si="160"/>
        <v>0.97746553706712813</v>
      </c>
    </row>
    <row r="146" spans="1:5" x14ac:dyDescent="0.35">
      <c r="A146" s="46">
        <v>50</v>
      </c>
      <c r="B146" s="46">
        <v>0.68937837867643137</v>
      </c>
      <c r="C146" s="46">
        <v>0.49259602656673351</v>
      </c>
      <c r="D146" s="46">
        <v>0.97746553706712813</v>
      </c>
      <c r="E146">
        <f t="shared" si="160"/>
        <v>0.60058218720094758</v>
      </c>
    </row>
    <row r="147" spans="1:5" x14ac:dyDescent="0.35">
      <c r="A147" s="46">
        <v>51</v>
      </c>
      <c r="B147" s="46">
        <v>-0.82544530329243115</v>
      </c>
      <c r="C147" s="46">
        <v>0.30266478747641778</v>
      </c>
      <c r="D147" s="46">
        <v>0.60058218720094758</v>
      </c>
      <c r="E147">
        <f t="shared" si="160"/>
        <v>1.003401191701867</v>
      </c>
    </row>
    <row r="148" spans="1:5" x14ac:dyDescent="0.35">
      <c r="A148" s="46">
        <v>52</v>
      </c>
      <c r="B148" s="46">
        <v>-0.30052568422740156</v>
      </c>
      <c r="C148" s="46">
        <v>0.50566635992888265</v>
      </c>
      <c r="D148" s="46">
        <v>1.003401191701867</v>
      </c>
      <c r="E148">
        <f t="shared" si="160"/>
        <v>-0.63746514411406296</v>
      </c>
    </row>
    <row r="149" spans="1:5" x14ac:dyDescent="0.35">
      <c r="A149" s="46">
        <v>53</v>
      </c>
      <c r="B149" s="46">
        <v>0.19851749811665276</v>
      </c>
      <c r="C149" s="46">
        <v>-0.32125203923564266</v>
      </c>
      <c r="D149" s="46">
        <v>-0.63746514411406296</v>
      </c>
      <c r="E149">
        <f t="shared" si="160"/>
        <v>-0.39690694897318141</v>
      </c>
    </row>
    <row r="150" spans="1:5" x14ac:dyDescent="0.35">
      <c r="A150" s="46">
        <v>54</v>
      </c>
      <c r="B150" s="46">
        <v>-0.55653708128080304</v>
      </c>
      <c r="C150" s="46">
        <v>-0.20002217834457248</v>
      </c>
      <c r="D150" s="46">
        <v>-0.39690694897318141</v>
      </c>
      <c r="E150">
        <f t="shared" si="160"/>
        <v>-1.5392463993304419</v>
      </c>
    </row>
    <row r="151" spans="1:5" x14ac:dyDescent="0.35">
      <c r="A151" s="46">
        <v>55</v>
      </c>
      <c r="B151" s="46">
        <v>0.29928757357947522</v>
      </c>
      <c r="C151" s="46">
        <v>-0.7757067962645271</v>
      </c>
      <c r="D151" s="46">
        <v>-1.5392463993304419</v>
      </c>
      <c r="E151">
        <f t="shared" si="160"/>
        <v>-2.0011065413611497</v>
      </c>
    </row>
    <row r="152" spans="1:5" x14ac:dyDescent="0.35">
      <c r="A152" s="46">
        <v>56</v>
      </c>
      <c r="B152" s="46">
        <v>-9.5641317086241351E-2</v>
      </c>
      <c r="C152" s="46">
        <v>-1.0084622870376503</v>
      </c>
      <c r="D152" s="46">
        <v>-2.0011065413611497</v>
      </c>
      <c r="E152">
        <f t="shared" si="160"/>
        <v>0.25305764511295786</v>
      </c>
    </row>
    <row r="153" spans="1:5" x14ac:dyDescent="0.35">
      <c r="A153" s="46">
        <v>57</v>
      </c>
      <c r="B153" s="46">
        <v>0.46865145908478967</v>
      </c>
      <c r="C153" s="46">
        <v>0.12752898772165799</v>
      </c>
      <c r="D153" s="46">
        <v>0.25305764511295786</v>
      </c>
      <c r="E153">
        <f t="shared" si="160"/>
        <v>-0.40309040069672586</v>
      </c>
    </row>
    <row r="154" spans="1:5" x14ac:dyDescent="0.35">
      <c r="A154" s="46">
        <v>58</v>
      </c>
      <c r="B154" s="46">
        <v>0.51513068951627716</v>
      </c>
      <c r="C154" s="46">
        <v>-0.20313834319538093</v>
      </c>
      <c r="D154" s="46">
        <v>-0.40309040069672586</v>
      </c>
      <c r="E154">
        <f t="shared" si="160"/>
        <v>0.77406423795589663</v>
      </c>
    </row>
    <row r="155" spans="1:5" x14ac:dyDescent="0.35">
      <c r="A155" s="46">
        <v>59</v>
      </c>
      <c r="B155" s="46">
        <v>0.82864926073790124</v>
      </c>
      <c r="C155" s="46">
        <v>0.39009146968860864</v>
      </c>
      <c r="D155" s="46">
        <v>0.77406423795589663</v>
      </c>
      <c r="E155">
        <f t="shared" si="160"/>
        <v>0.43408715741608672</v>
      </c>
    </row>
    <row r="156" spans="1:5" x14ac:dyDescent="0.35">
      <c r="A156" s="46">
        <v>60</v>
      </c>
      <c r="B156" s="46">
        <v>0.74575866380399258</v>
      </c>
      <c r="C156" s="46">
        <v>0.21875923070229697</v>
      </c>
      <c r="D156" s="46">
        <v>0.43408715741608672</v>
      </c>
      <c r="E156">
        <f t="shared" si="160"/>
        <v>-0.79915622143377052</v>
      </c>
    </row>
    <row r="157" spans="1:5" x14ac:dyDescent="0.35">
      <c r="A157" s="46">
        <v>61</v>
      </c>
      <c r="B157" s="46">
        <v>0.45517080181108893</v>
      </c>
      <c r="C157" s="46">
        <v>-0.40273663301269419</v>
      </c>
      <c r="D157" s="46">
        <v>-0.79915622143377052</v>
      </c>
      <c r="E157">
        <f t="shared" si="160"/>
        <v>1.0245296534507711</v>
      </c>
    </row>
    <row r="158" spans="1:5" x14ac:dyDescent="0.35">
      <c r="A158" s="46">
        <v>62</v>
      </c>
      <c r="B158" s="46">
        <v>0.2685891144010647</v>
      </c>
      <c r="C158" s="46">
        <v>0.5163140972764374</v>
      </c>
      <c r="D158" s="46">
        <v>1.0245296534507711</v>
      </c>
      <c r="E158">
        <f t="shared" si="160"/>
        <v>-1.5322929813187316</v>
      </c>
    </row>
    <row r="159" spans="1:5" x14ac:dyDescent="0.35">
      <c r="A159" s="46">
        <v>63</v>
      </c>
      <c r="B159" s="46">
        <v>0.40032701506298207</v>
      </c>
      <c r="C159" s="46">
        <v>-0.77220260511533989</v>
      </c>
      <c r="D159" s="46">
        <v>-1.5322929813187316</v>
      </c>
      <c r="E159">
        <f t="shared" si="160"/>
        <v>-1.26462242631344</v>
      </c>
    </row>
    <row r="160" spans="1:5" x14ac:dyDescent="0.35">
      <c r="A160" s="46">
        <v>64</v>
      </c>
      <c r="B160" s="46">
        <v>0.40172265231235371</v>
      </c>
      <c r="C160" s="46">
        <v>-0.63730940752993614</v>
      </c>
      <c r="D160" s="46">
        <v>-1.26462242631344</v>
      </c>
      <c r="E160">
        <f t="shared" si="160"/>
        <v>-2.8281956339706373</v>
      </c>
    </row>
    <row r="161" spans="1:5" x14ac:dyDescent="0.35">
      <c r="A161" s="46">
        <v>65</v>
      </c>
      <c r="B161" s="46">
        <v>0.53437615031980845</v>
      </c>
      <c r="C161" s="46">
        <v>-1.4252757553248077</v>
      </c>
      <c r="D161" s="46">
        <v>-2.8281956339706373</v>
      </c>
      <c r="E161">
        <f t="shared" si="160"/>
        <v>-1.806251113357811</v>
      </c>
    </row>
    <row r="162" spans="1:5" x14ac:dyDescent="0.35">
      <c r="A162" s="46">
        <v>66</v>
      </c>
      <c r="B162" s="46">
        <v>-9.8585191142574358E-2</v>
      </c>
      <c r="C162" s="46">
        <v>-0.91026444174337362</v>
      </c>
      <c r="D162" s="46">
        <v>-1.806251113357811</v>
      </c>
      <c r="E162">
        <f t="shared" ref="E162" si="166">D163</f>
        <v>-1.9585904444661995</v>
      </c>
    </row>
    <row r="163" spans="1:5" ht="15" thickBot="1" x14ac:dyDescent="0.4">
      <c r="A163" s="47">
        <v>67</v>
      </c>
      <c r="B163" s="47">
        <v>0.71428176153828304</v>
      </c>
      <c r="C163" s="47">
        <v>-0.98703620130738634</v>
      </c>
      <c r="D163" s="47">
        <v>-1.9585904444661995</v>
      </c>
      <c r="E163" t="s">
        <v>12</v>
      </c>
    </row>
  </sheetData>
  <conditionalFormatting sqref="L1:AT1">
    <cfRule type="colorScale" priority="52">
      <colorScale>
        <cfvo type="min"/>
        <cfvo type="percentile" val="50"/>
        <cfvo type="max"/>
        <color rgb="FFF8696B"/>
        <color rgb="FFFFEB84"/>
        <color rgb="FF63BE7B"/>
      </colorScale>
    </cfRule>
  </conditionalFormatting>
  <conditionalFormatting sqref="CA3:CD69">
    <cfRule type="colorScale" priority="64">
      <colorScale>
        <cfvo type="min"/>
        <cfvo type="percentile" val="50"/>
        <cfvo type="max"/>
        <color rgb="FFF8696B"/>
        <color rgb="FFFFEB84"/>
        <color rgb="FF63BE7B"/>
      </colorScale>
    </cfRule>
  </conditionalFormatting>
  <conditionalFormatting sqref="CC3:CC69">
    <cfRule type="colorScale" priority="55">
      <colorScale>
        <cfvo type="min"/>
        <cfvo type="percentile" val="50"/>
        <cfvo type="max"/>
        <color rgb="FFF8696B"/>
        <color rgb="FFFFEB84"/>
        <color rgb="FF63BE7B"/>
      </colorScale>
    </cfRule>
  </conditionalFormatting>
  <conditionalFormatting sqref="CE3:CE69">
    <cfRule type="colorScale" priority="33">
      <colorScale>
        <cfvo type="min"/>
        <cfvo type="percentile" val="50"/>
        <cfvo type="max"/>
        <color rgb="FFF8696B"/>
        <color rgb="FFFFEB84"/>
        <color rgb="FF63BE7B"/>
      </colorScale>
    </cfRule>
  </conditionalFormatting>
  <conditionalFormatting sqref="CF3:CF69">
    <cfRule type="colorScale" priority="46">
      <colorScale>
        <cfvo type="min"/>
        <cfvo type="percentile" val="50"/>
        <cfvo type="max"/>
        <color rgb="FFF8696B"/>
        <color rgb="FFFFEB84"/>
        <color rgb="FF63BE7B"/>
      </colorScale>
    </cfRule>
    <cfRule type="colorScale" priority="45">
      <colorScale>
        <cfvo type="min"/>
        <cfvo type="percentile" val="50"/>
        <cfvo type="max"/>
        <color rgb="FFF8696B"/>
        <color rgb="FFFFEB84"/>
        <color rgb="FF63BE7B"/>
      </colorScale>
    </cfRule>
  </conditionalFormatting>
  <conditionalFormatting sqref="CG3:CG69">
    <cfRule type="colorScale" priority="58">
      <colorScale>
        <cfvo type="min"/>
        <cfvo type="percentile" val="50"/>
        <cfvo type="max"/>
        <color rgb="FFF8696B"/>
        <color rgb="FFFFEB84"/>
        <color rgb="FF63BE7B"/>
      </colorScale>
    </cfRule>
  </conditionalFormatting>
  <conditionalFormatting sqref="CH3:CH69">
    <cfRule type="colorScale" priority="32">
      <colorScale>
        <cfvo type="min"/>
        <cfvo type="percentile" val="50"/>
        <cfvo type="max"/>
        <color rgb="FFF8696B"/>
        <color rgb="FFFFEB84"/>
        <color rgb="FF63BE7B"/>
      </colorScale>
    </cfRule>
  </conditionalFormatting>
  <conditionalFormatting sqref="CI3:CI69">
    <cfRule type="colorScale" priority="43">
      <colorScale>
        <cfvo type="min"/>
        <cfvo type="percentile" val="50"/>
        <cfvo type="max"/>
        <color rgb="FFF8696B"/>
        <color rgb="FFFFEB84"/>
        <color rgb="FF63BE7B"/>
      </colorScale>
    </cfRule>
    <cfRule type="colorScale" priority="42">
      <colorScale>
        <cfvo type="min"/>
        <cfvo type="percentile" val="50"/>
        <cfvo type="max"/>
        <color rgb="FFF8696B"/>
        <color rgb="FFFFEB84"/>
        <color rgb="FF63BE7B"/>
      </colorScale>
    </cfRule>
  </conditionalFormatting>
  <conditionalFormatting sqref="CJ3:CJ69">
    <cfRule type="colorScale" priority="41">
      <colorScale>
        <cfvo type="min"/>
        <cfvo type="percentile" val="50"/>
        <cfvo type="max"/>
        <color rgb="FFF8696B"/>
        <color rgb="FFFFEB84"/>
        <color rgb="FF63BE7B"/>
      </colorScale>
    </cfRule>
  </conditionalFormatting>
  <conditionalFormatting sqref="CK3:CK69">
    <cfRule type="colorScale" priority="31">
      <colorScale>
        <cfvo type="min"/>
        <cfvo type="percentile" val="50"/>
        <cfvo type="max"/>
        <color rgb="FFF8696B"/>
        <color rgb="FFFFEB84"/>
        <color rgb="FF63BE7B"/>
      </colorScale>
    </cfRule>
  </conditionalFormatting>
  <conditionalFormatting sqref="CL3:CL69 CS3:CS69 CO3:CP69">
    <cfRule type="colorScale" priority="40">
      <colorScale>
        <cfvo type="min"/>
        <cfvo type="percentile" val="50"/>
        <cfvo type="max"/>
        <color rgb="FFF8696B"/>
        <color rgb="FFFFEB84"/>
        <color rgb="FF63BE7B"/>
      </colorScale>
    </cfRule>
  </conditionalFormatting>
  <conditionalFormatting sqref="CL3:CL69">
    <cfRule type="colorScale" priority="39">
      <colorScale>
        <cfvo type="min"/>
        <cfvo type="percentile" val="50"/>
        <cfvo type="max"/>
        <color rgb="FFF8696B"/>
        <color rgb="FFFFEB84"/>
        <color rgb="FF63BE7B"/>
      </colorScale>
    </cfRule>
  </conditionalFormatting>
  <conditionalFormatting sqref="CM3:CM69">
    <cfRule type="colorScale" priority="24">
      <colorScale>
        <cfvo type="min"/>
        <cfvo type="percentile" val="50"/>
        <cfvo type="max"/>
        <color rgb="FFF8696B"/>
        <color rgb="FFFFEB84"/>
        <color rgb="FF63BE7B"/>
      </colorScale>
    </cfRule>
  </conditionalFormatting>
  <conditionalFormatting sqref="CN3">
    <cfRule type="colorScale" priority="23">
      <colorScale>
        <cfvo type="min"/>
        <cfvo type="percentile" val="50"/>
        <cfvo type="max"/>
        <color rgb="FFF8696B"/>
        <color rgb="FFFFEB84"/>
        <color rgb="FF63BE7B"/>
      </colorScale>
    </cfRule>
  </conditionalFormatting>
  <conditionalFormatting sqref="CN4:CN69">
    <cfRule type="colorScale" priority="22">
      <colorScale>
        <cfvo type="min"/>
        <cfvo type="percentile" val="50"/>
        <cfvo type="max"/>
        <color rgb="FFF8696B"/>
        <color rgb="FFFFEB84"/>
        <color rgb="FF63BE7B"/>
      </colorScale>
    </cfRule>
  </conditionalFormatting>
  <conditionalFormatting sqref="CQ3:CQ69">
    <cfRule type="colorScale" priority="9">
      <colorScale>
        <cfvo type="min"/>
        <cfvo type="percentile" val="50"/>
        <cfvo type="max"/>
        <color rgb="FFF8696B"/>
        <color rgb="FFFFEB84"/>
        <color rgb="FF63BE7B"/>
      </colorScale>
    </cfRule>
  </conditionalFormatting>
  <conditionalFormatting sqref="CR3">
    <cfRule type="colorScale" priority="8">
      <colorScale>
        <cfvo type="min"/>
        <cfvo type="percentile" val="50"/>
        <cfvo type="max"/>
        <color rgb="FFF8696B"/>
        <color rgb="FFFFEB84"/>
        <color rgb="FF63BE7B"/>
      </colorScale>
    </cfRule>
  </conditionalFormatting>
  <conditionalFormatting sqref="CR4:CR69">
    <cfRule type="colorScale" priority="7">
      <colorScale>
        <cfvo type="min"/>
        <cfvo type="percentile" val="50"/>
        <cfvo type="max"/>
        <color rgb="FFF8696B"/>
        <color rgb="FFFFEB84"/>
        <color rgb="FF63BE7B"/>
      </colorScale>
    </cfRule>
  </conditionalFormatting>
  <conditionalFormatting sqref="CT3:CT69">
    <cfRule type="colorScale" priority="56">
      <colorScale>
        <cfvo type="min"/>
        <cfvo type="percentile" val="50"/>
        <cfvo type="max"/>
        <color rgb="FFF8696B"/>
        <color rgb="FFFFEB84"/>
        <color rgb="FF63BE7B"/>
      </colorScale>
    </cfRule>
  </conditionalFormatting>
  <conditionalFormatting sqref="CU3:CU69">
    <cfRule type="colorScale" priority="35">
      <colorScale>
        <cfvo type="min"/>
        <cfvo type="percentile" val="50"/>
        <cfvo type="max"/>
        <color rgb="FFF8696B"/>
        <color rgb="FFFFEB84"/>
        <color rgb="FF63BE7B"/>
      </colorScale>
    </cfRule>
  </conditionalFormatting>
  <conditionalFormatting sqref="CV3:CV69">
    <cfRule type="colorScale" priority="30">
      <colorScale>
        <cfvo type="min"/>
        <cfvo type="percentile" val="50"/>
        <cfvo type="max"/>
        <color rgb="FFF8696B"/>
        <color rgb="FFFFEB84"/>
        <color rgb="FF63BE7B"/>
      </colorScale>
    </cfRule>
  </conditionalFormatting>
  <conditionalFormatting sqref="CW3:CW69">
    <cfRule type="colorScale" priority="28">
      <colorScale>
        <cfvo type="min"/>
        <cfvo type="percentile" val="50"/>
        <cfvo type="max"/>
        <color rgb="FFF8696B"/>
        <color rgb="FFFFEB84"/>
        <color rgb="FF63BE7B"/>
      </colorScale>
    </cfRule>
  </conditionalFormatting>
  <conditionalFormatting sqref="CX3:CX69">
    <cfRule type="colorScale" priority="6">
      <colorScale>
        <cfvo type="min"/>
        <cfvo type="percentile" val="50"/>
        <cfvo type="max"/>
        <color rgb="FFF8696B"/>
        <color rgb="FFFFEB84"/>
        <color rgb="FF63BE7B"/>
      </colorScale>
    </cfRule>
  </conditionalFormatting>
  <conditionalFormatting sqref="CY3:CY69">
    <cfRule type="colorScale" priority="5">
      <colorScale>
        <cfvo type="min"/>
        <cfvo type="percentile" val="50"/>
        <cfvo type="max"/>
        <color rgb="FFF8696B"/>
        <color rgb="FFFFEB84"/>
        <color rgb="FF63BE7B"/>
      </colorScale>
    </cfRule>
  </conditionalFormatting>
  <conditionalFormatting sqref="CZ3:CZ69">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DD32:DD97">
    <cfRule type="colorScale" priority="60">
      <colorScale>
        <cfvo type="min"/>
        <cfvo type="percentile" val="50"/>
        <cfvo type="max"/>
        <color rgb="FFF8696B"/>
        <color rgb="FFFFEB84"/>
        <color rgb="FF63BE7B"/>
      </colorScale>
    </cfRule>
  </conditionalFormatting>
  <conditionalFormatting sqref="DO26:DO28">
    <cfRule type="colorScale" priority="13">
      <colorScale>
        <cfvo type="min"/>
        <cfvo type="percentile" val="50"/>
        <cfvo type="max"/>
        <color rgb="FF63BE7B"/>
        <color rgb="FFFFEB84"/>
        <color rgb="FFF8696B"/>
      </colorScale>
    </cfRule>
  </conditionalFormatting>
  <conditionalFormatting sqref="DR26:DR28">
    <cfRule type="colorScale" priority="15">
      <colorScale>
        <cfvo type="min"/>
        <cfvo type="percentile" val="50"/>
        <cfvo type="max"/>
        <color rgb="FF63BE7B"/>
        <color rgb="FFFFEB84"/>
        <color rgb="FFF8696B"/>
      </colorScale>
    </cfRule>
  </conditionalFormatting>
  <conditionalFormatting sqref="EA25:EA27">
    <cfRule type="colorScale" priority="14">
      <colorScale>
        <cfvo type="min"/>
        <cfvo type="percentile" val="50"/>
        <cfvo type="max"/>
        <color rgb="FF63BE7B"/>
        <color rgb="FFFFEB84"/>
        <color rgb="FFF8696B"/>
      </colorScale>
    </cfRule>
  </conditionalFormatting>
  <conditionalFormatting sqref="ED25:ED27">
    <cfRule type="colorScale" priority="16">
      <colorScale>
        <cfvo type="min"/>
        <cfvo type="percentile" val="50"/>
        <cfvo type="max"/>
        <color rgb="FF63BE7B"/>
        <color rgb="FFFFEB84"/>
        <color rgb="FFF8696B"/>
      </colorScale>
    </cfRule>
  </conditionalFormatting>
  <conditionalFormatting sqref="EN23:EN25">
    <cfRule type="colorScale" priority="17">
      <colorScale>
        <cfvo type="min"/>
        <cfvo type="percentile" val="50"/>
        <cfvo type="max"/>
        <color rgb="FF63BE7B"/>
        <color rgb="FFFFEB84"/>
        <color rgb="FFF8696B"/>
      </colorScale>
    </cfRule>
  </conditionalFormatting>
  <conditionalFormatting sqref="EY23:EY25">
    <cfRule type="colorScale" priority="18">
      <colorScale>
        <cfvo type="min"/>
        <cfvo type="percentile" val="50"/>
        <cfvo type="max"/>
        <color rgb="FF63BE7B"/>
        <color rgb="FFFFEB84"/>
        <color rgb="FFF8696B"/>
      </colorScale>
    </cfRule>
  </conditionalFormatting>
  <conditionalFormatting sqref="FG23:FG26">
    <cfRule type="colorScale" priority="11">
      <colorScale>
        <cfvo type="min"/>
        <cfvo type="percentile" val="50"/>
        <cfvo type="max"/>
        <color rgb="FF63BE7B"/>
        <color rgb="FFFFEB84"/>
        <color rgb="FFF8696B"/>
      </colorScale>
    </cfRule>
  </conditionalFormatting>
  <conditionalFormatting sqref="FJ23:FJ26">
    <cfRule type="colorScale" priority="19">
      <colorScale>
        <cfvo type="min"/>
        <cfvo type="percentile" val="50"/>
        <cfvo type="max"/>
        <color rgb="FF63BE7B"/>
        <color rgb="FFFFEB84"/>
        <color rgb="FFF8696B"/>
      </colorScale>
    </cfRule>
  </conditionalFormatting>
  <conditionalFormatting sqref="GA23:GA25">
    <cfRule type="colorScale" priority="12">
      <colorScale>
        <cfvo type="min"/>
        <cfvo type="percentile" val="50"/>
        <cfvo type="max"/>
        <color rgb="FF63BE7B"/>
        <color rgb="FFFFEB84"/>
        <color rgb="FFF8696B"/>
      </colorScale>
    </cfRule>
  </conditionalFormatting>
  <conditionalFormatting sqref="GD23:GD25">
    <cfRule type="colorScale" priority="21">
      <colorScale>
        <cfvo type="min"/>
        <cfvo type="percentile" val="50"/>
        <cfvo type="max"/>
        <color rgb="FF63BE7B"/>
        <color rgb="FFFFEB84"/>
        <color rgb="FFF8696B"/>
      </colorScale>
    </cfRule>
  </conditionalFormatting>
  <conditionalFormatting sqref="GK23:GK27">
    <cfRule type="colorScale" priority="1">
      <colorScale>
        <cfvo type="min"/>
        <cfvo type="percentile" val="50"/>
        <cfvo type="max"/>
        <color rgb="FF63BE7B"/>
        <color rgb="FFFFEB84"/>
        <color rgb="FFF8696B"/>
      </colorScale>
    </cfRule>
  </conditionalFormatting>
  <conditionalFormatting sqref="GN23:GN27">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D308-2506-4E6C-A90B-3092BC9BF2D5}">
  <dimension ref="A8:BS80"/>
  <sheetViews>
    <sheetView topLeftCell="R1" zoomScale="70" zoomScaleNormal="70" workbookViewId="0">
      <selection activeCell="N6" sqref="N6"/>
    </sheetView>
  </sheetViews>
  <sheetFormatPr defaultRowHeight="14.5" x14ac:dyDescent="0.35"/>
  <cols>
    <col min="2" max="2" width="9.54296875" customWidth="1"/>
    <col min="13" max="13" width="16.26953125" customWidth="1"/>
    <col min="23" max="23" width="14.7265625" customWidth="1"/>
    <col min="43" max="43" width="20.08984375" customWidth="1"/>
    <col min="53" max="53" width="16.26953125" customWidth="1"/>
    <col min="63" max="63" width="15.26953125" customWidth="1"/>
    <col min="64" max="65" width="8.81640625" bestFit="1" customWidth="1"/>
    <col min="66" max="66" width="9" bestFit="1" customWidth="1"/>
    <col min="67" max="67" width="8.81640625" bestFit="1" customWidth="1"/>
    <col min="68" max="68" width="9" bestFit="1" customWidth="1"/>
    <col min="69" max="69" width="8.81640625" bestFit="1" customWidth="1"/>
    <col min="70" max="70" width="9" bestFit="1" customWidth="1"/>
    <col min="71" max="71" width="8.81640625" bestFit="1" customWidth="1"/>
  </cols>
  <sheetData>
    <row r="8" spans="1:64" ht="29" x14ac:dyDescent="0.35">
      <c r="A8" s="9" t="s">
        <v>224</v>
      </c>
      <c r="B8" s="9" t="s">
        <v>221</v>
      </c>
      <c r="C8" s="9" t="s">
        <v>222</v>
      </c>
      <c r="D8" s="9" t="s">
        <v>223</v>
      </c>
      <c r="E8" s="33" t="s">
        <v>25</v>
      </c>
      <c r="F8" s="33" t="s">
        <v>267</v>
      </c>
      <c r="G8" s="33" t="s">
        <v>446</v>
      </c>
      <c r="H8" s="33" t="s">
        <v>238</v>
      </c>
      <c r="I8" s="33" t="s">
        <v>344</v>
      </c>
      <c r="J8" s="202" t="s">
        <v>89</v>
      </c>
      <c r="K8" s="33" t="s">
        <v>134</v>
      </c>
    </row>
    <row r="9" spans="1:64" x14ac:dyDescent="0.35">
      <c r="A9">
        <v>1978</v>
      </c>
      <c r="B9">
        <v>1978</v>
      </c>
      <c r="C9">
        <v>1.6659999999999999</v>
      </c>
      <c r="D9">
        <v>6.7530000000000001</v>
      </c>
      <c r="E9">
        <v>1.6659999999999999</v>
      </c>
      <c r="F9" s="106">
        <v>-0.90461819600000004</v>
      </c>
      <c r="G9" s="26">
        <v>8.9940876000000003E-2</v>
      </c>
      <c r="H9" s="26">
        <v>-0.18766196099999999</v>
      </c>
      <c r="I9">
        <v>193</v>
      </c>
      <c r="J9" s="94">
        <v>6.2001431000000003E-2</v>
      </c>
      <c r="K9" s="26">
        <f>LN(D9/C9)</f>
        <v>1.3995613068480541</v>
      </c>
      <c r="M9" t="s">
        <v>102</v>
      </c>
    </row>
    <row r="10" spans="1:64" ht="15" thickBot="1" x14ac:dyDescent="0.4">
      <c r="A10">
        <v>1979</v>
      </c>
      <c r="B10">
        <v>1979</v>
      </c>
      <c r="C10">
        <v>1.6659999999999999</v>
      </c>
      <c r="D10">
        <v>2.9079999999999999</v>
      </c>
      <c r="E10">
        <v>1.6659999999999999</v>
      </c>
      <c r="F10" s="106">
        <v>-0.87704872899999997</v>
      </c>
      <c r="G10" s="26">
        <v>-1.2960758370000001</v>
      </c>
      <c r="H10" s="26">
        <v>-0.104851871</v>
      </c>
      <c r="I10">
        <v>201</v>
      </c>
      <c r="J10" s="94">
        <v>-1.0168741059999999</v>
      </c>
      <c r="K10" s="26">
        <f t="shared" ref="K10:K49" si="0">LN(D10/C10)</f>
        <v>0.557040015926622</v>
      </c>
      <c r="AG10" t="s">
        <v>102</v>
      </c>
      <c r="AQ10" t="s">
        <v>102</v>
      </c>
      <c r="BA10" t="s">
        <v>102</v>
      </c>
      <c r="BK10" t="s">
        <v>102</v>
      </c>
    </row>
    <row r="11" spans="1:64" ht="15" thickBot="1" x14ac:dyDescent="0.4">
      <c r="A11">
        <v>1980</v>
      </c>
      <c r="B11">
        <v>1980</v>
      </c>
      <c r="C11">
        <v>0.95199999999999996</v>
      </c>
      <c r="D11">
        <v>10.539</v>
      </c>
      <c r="E11">
        <v>0.95199999999999996</v>
      </c>
      <c r="F11" s="106">
        <v>-0.84836201700000002</v>
      </c>
      <c r="G11" s="26">
        <v>1.2717685000000001</v>
      </c>
      <c r="H11" s="26">
        <v>-1.0396338789999999</v>
      </c>
      <c r="I11">
        <v>210</v>
      </c>
      <c r="J11" s="94">
        <v>-0.79169388100000004</v>
      </c>
      <c r="K11" s="26">
        <f t="shared" si="0"/>
        <v>2.4042729061425714</v>
      </c>
      <c r="M11" s="49" t="s">
        <v>103</v>
      </c>
      <c r="N11" s="49"/>
    </row>
    <row r="12" spans="1:64" x14ac:dyDescent="0.35">
      <c r="A12">
        <v>1981</v>
      </c>
      <c r="B12">
        <v>1981</v>
      </c>
      <c r="C12">
        <v>1.2470000000000001</v>
      </c>
      <c r="D12">
        <v>4.6639999999999997</v>
      </c>
      <c r="E12">
        <v>1.2470000000000001</v>
      </c>
      <c r="F12" s="106">
        <v>-0.81850136900000003</v>
      </c>
      <c r="G12" s="26">
        <v>0.231210096</v>
      </c>
      <c r="H12" s="26">
        <v>-9.2941430000000005E-2</v>
      </c>
      <c r="I12">
        <v>211</v>
      </c>
      <c r="J12" s="94">
        <v>0.76919394500000005</v>
      </c>
      <c r="K12" s="26">
        <f t="shared" si="0"/>
        <v>1.3191327823502919</v>
      </c>
      <c r="M12" s="46" t="s">
        <v>104</v>
      </c>
      <c r="N12" s="46">
        <v>0.25705756375972771</v>
      </c>
      <c r="W12" t="s">
        <v>102</v>
      </c>
      <c r="AG12" s="49" t="s">
        <v>103</v>
      </c>
      <c r="AH12" s="49"/>
      <c r="AQ12" s="49" t="s">
        <v>103</v>
      </c>
      <c r="AR12" s="49"/>
      <c r="BA12" s="49" t="s">
        <v>103</v>
      </c>
      <c r="BB12" s="49"/>
      <c r="BK12" s="49" t="s">
        <v>103</v>
      </c>
      <c r="BL12" s="49"/>
    </row>
    <row r="13" spans="1:64" ht="15" thickBot="1" x14ac:dyDescent="0.4">
      <c r="A13">
        <v>1982</v>
      </c>
      <c r="B13">
        <v>1982</v>
      </c>
      <c r="C13">
        <v>1.19</v>
      </c>
      <c r="D13">
        <v>3.0049999999999999</v>
      </c>
      <c r="E13">
        <v>1.19</v>
      </c>
      <c r="F13" s="106">
        <v>-0.78740612799999998</v>
      </c>
      <c r="G13" s="26">
        <v>2.6887932569999999</v>
      </c>
      <c r="H13" s="26">
        <v>-0.61505355299999998</v>
      </c>
      <c r="I13">
        <v>209</v>
      </c>
      <c r="J13" s="94">
        <v>2.2210548E-2</v>
      </c>
      <c r="K13" s="26">
        <f t="shared" si="0"/>
        <v>0.92632426086373287</v>
      </c>
      <c r="M13" s="46" t="s">
        <v>105</v>
      </c>
      <c r="N13" s="46">
        <v>6.6078591086086477E-2</v>
      </c>
      <c r="AG13" s="46" t="s">
        <v>104</v>
      </c>
      <c r="AH13" s="46">
        <v>0.84192857972215984</v>
      </c>
      <c r="AQ13" s="46" t="s">
        <v>104</v>
      </c>
      <c r="AR13" s="46">
        <v>0.84192857972215984</v>
      </c>
      <c r="BA13" s="46" t="s">
        <v>104</v>
      </c>
      <c r="BB13" s="46">
        <v>0.25705756375972771</v>
      </c>
      <c r="BK13" s="46" t="s">
        <v>104</v>
      </c>
      <c r="BL13" s="46">
        <v>0.85063579877425566</v>
      </c>
    </row>
    <row r="14" spans="1:64" x14ac:dyDescent="0.35">
      <c r="A14">
        <v>1983</v>
      </c>
      <c r="B14">
        <v>1983</v>
      </c>
      <c r="C14">
        <v>2.8570000000000002</v>
      </c>
      <c r="D14">
        <v>3.8340000000000001</v>
      </c>
      <c r="E14">
        <v>2.8570000000000002</v>
      </c>
      <c r="F14" s="106">
        <v>-0.75501131600000004</v>
      </c>
      <c r="G14" s="26">
        <v>0.331054507</v>
      </c>
      <c r="H14" s="26">
        <v>-0.36233204499999999</v>
      </c>
      <c r="I14">
        <v>210</v>
      </c>
      <c r="J14" s="94">
        <v>-0.56922667100000002</v>
      </c>
      <c r="K14" s="26">
        <f t="shared" si="0"/>
        <v>0.29413652137481666</v>
      </c>
      <c r="M14" s="46" t="s">
        <v>106</v>
      </c>
      <c r="N14" s="46">
        <v>4.2131888293422029E-2</v>
      </c>
      <c r="W14" s="49" t="s">
        <v>103</v>
      </c>
      <c r="X14" s="49"/>
      <c r="AG14" s="46" t="s">
        <v>105</v>
      </c>
      <c r="AH14" s="46">
        <v>0.70884373335297324</v>
      </c>
      <c r="AQ14" s="46" t="s">
        <v>105</v>
      </c>
      <c r="AR14" s="46">
        <v>0.70884373335297324</v>
      </c>
      <c r="BA14" s="46" t="s">
        <v>105</v>
      </c>
      <c r="BB14" s="46">
        <v>6.6078591086086477E-2</v>
      </c>
      <c r="BK14" s="46" t="s">
        <v>105</v>
      </c>
      <c r="BL14" s="46">
        <v>0.72358126215631591</v>
      </c>
    </row>
    <row r="15" spans="1:64" x14ac:dyDescent="0.35">
      <c r="A15">
        <v>1984</v>
      </c>
      <c r="B15">
        <v>1984</v>
      </c>
      <c r="C15">
        <v>1.1200000000000001</v>
      </c>
      <c r="D15">
        <v>3.4489999999999998</v>
      </c>
      <c r="E15">
        <v>1.1200000000000001</v>
      </c>
      <c r="F15" s="106">
        <v>-0.72124723000000002</v>
      </c>
      <c r="G15" s="26">
        <v>-0.26787220099999998</v>
      </c>
      <c r="H15" s="26">
        <v>-0.30371192800000002</v>
      </c>
      <c r="I15">
        <v>209</v>
      </c>
      <c r="J15" s="94">
        <v>0.12892246099999999</v>
      </c>
      <c r="K15" s="26">
        <f t="shared" si="0"/>
        <v>1.1247556486477006</v>
      </c>
      <c r="M15" s="46" t="s">
        <v>107</v>
      </c>
      <c r="N15" s="46">
        <v>0.8799947411963368</v>
      </c>
      <c r="W15" s="46" t="s">
        <v>104</v>
      </c>
      <c r="X15" s="46">
        <v>0.84408225619280053</v>
      </c>
      <c r="AG15" s="46" t="s">
        <v>106</v>
      </c>
      <c r="AH15" s="46">
        <v>0.68523646848970077</v>
      </c>
      <c r="AQ15" s="46" t="s">
        <v>106</v>
      </c>
      <c r="AR15" s="46">
        <v>0.68523646848970077</v>
      </c>
      <c r="BA15" s="46" t="s">
        <v>106</v>
      </c>
      <c r="BB15" s="46">
        <v>4.2131888293422029E-2</v>
      </c>
      <c r="BK15" s="46" t="s">
        <v>106</v>
      </c>
      <c r="BL15" s="46">
        <v>0.68409287103578964</v>
      </c>
    </row>
    <row r="16" spans="1:64" ht="15" thickBot="1" x14ac:dyDescent="0.4">
      <c r="A16">
        <v>1985</v>
      </c>
      <c r="B16">
        <v>1985</v>
      </c>
      <c r="C16">
        <v>3.51</v>
      </c>
      <c r="D16">
        <v>2.181</v>
      </c>
      <c r="E16">
        <v>3.51</v>
      </c>
      <c r="F16" s="106">
        <v>-0.68603900600000001</v>
      </c>
      <c r="G16" s="26">
        <v>-0.917960318</v>
      </c>
      <c r="H16" s="26">
        <v>-1.0114984300000001</v>
      </c>
      <c r="I16">
        <v>218</v>
      </c>
      <c r="J16" s="94">
        <v>1.489047196</v>
      </c>
      <c r="K16" s="26">
        <f t="shared" si="0"/>
        <v>-0.47583255025828242</v>
      </c>
      <c r="M16" s="47" t="s">
        <v>108</v>
      </c>
      <c r="N16" s="47">
        <v>41</v>
      </c>
      <c r="W16" s="46" t="s">
        <v>105</v>
      </c>
      <c r="X16" s="46">
        <v>0.71247485521952847</v>
      </c>
      <c r="AG16" s="46" t="s">
        <v>107</v>
      </c>
      <c r="AH16" s="46">
        <v>0.50445150695292551</v>
      </c>
      <c r="AQ16" s="46" t="s">
        <v>107</v>
      </c>
      <c r="AR16" s="46">
        <v>0.50445150695292551</v>
      </c>
      <c r="BA16" s="46" t="s">
        <v>107</v>
      </c>
      <c r="BB16" s="46">
        <v>0.8799947411963368</v>
      </c>
      <c r="BK16" s="46" t="s">
        <v>107</v>
      </c>
      <c r="BL16" s="46">
        <v>0.50536706158830058</v>
      </c>
    </row>
    <row r="17" spans="1:71" ht="15" thickBot="1" x14ac:dyDescent="0.4">
      <c r="A17">
        <v>1986</v>
      </c>
      <c r="B17">
        <v>1986</v>
      </c>
      <c r="C17">
        <v>2.33</v>
      </c>
      <c r="D17">
        <v>2.2690000000000001</v>
      </c>
      <c r="E17">
        <v>2.33</v>
      </c>
      <c r="F17" s="106">
        <v>-0.64930613500000001</v>
      </c>
      <c r="G17" s="26">
        <v>0.13401180400000001</v>
      </c>
      <c r="H17" s="26">
        <v>-1.350999694</v>
      </c>
      <c r="I17">
        <v>228</v>
      </c>
      <c r="J17" s="94">
        <v>0.40926731999999999</v>
      </c>
      <c r="K17" s="26">
        <f t="shared" si="0"/>
        <v>-2.6529061779904519E-2</v>
      </c>
      <c r="W17" s="46" t="s">
        <v>106</v>
      </c>
      <c r="X17" s="46">
        <v>0.68052761691058716</v>
      </c>
      <c r="AG17" s="47" t="s">
        <v>108</v>
      </c>
      <c r="AH17" s="47">
        <v>41</v>
      </c>
      <c r="AQ17" s="47" t="s">
        <v>108</v>
      </c>
      <c r="AR17" s="47">
        <v>41</v>
      </c>
      <c r="BA17" s="47" t="s">
        <v>108</v>
      </c>
      <c r="BB17" s="47">
        <v>41</v>
      </c>
      <c r="BK17" s="47" t="s">
        <v>108</v>
      </c>
      <c r="BL17" s="47">
        <v>41</v>
      </c>
    </row>
    <row r="18" spans="1:71" ht="15" thickBot="1" x14ac:dyDescent="0.4">
      <c r="A18">
        <v>1987</v>
      </c>
      <c r="B18">
        <v>1987</v>
      </c>
      <c r="C18">
        <v>1.68</v>
      </c>
      <c r="D18">
        <v>2.0659999999999998</v>
      </c>
      <c r="E18">
        <v>1.68</v>
      </c>
      <c r="F18" s="106">
        <v>-0.61096192699999996</v>
      </c>
      <c r="G18" s="26">
        <v>-1.4506595090000001</v>
      </c>
      <c r="H18" s="26">
        <v>0.70196238600000005</v>
      </c>
      <c r="I18">
        <v>237</v>
      </c>
      <c r="J18" s="94">
        <v>-0.205682693</v>
      </c>
      <c r="K18" s="26">
        <f t="shared" si="0"/>
        <v>0.20682057728227912</v>
      </c>
      <c r="M18" t="s">
        <v>109</v>
      </c>
      <c r="W18" s="46" t="s">
        <v>107</v>
      </c>
      <c r="X18" s="46">
        <v>0.50821078804332476</v>
      </c>
    </row>
    <row r="19" spans="1:71" ht="15" thickBot="1" x14ac:dyDescent="0.4">
      <c r="A19">
        <v>1988</v>
      </c>
      <c r="B19">
        <v>1988</v>
      </c>
      <c r="C19">
        <v>1.5</v>
      </c>
      <c r="D19">
        <v>4.2919999999999998</v>
      </c>
      <c r="E19">
        <v>1.5</v>
      </c>
      <c r="F19" s="106">
        <v>-0.57091291799999999</v>
      </c>
      <c r="G19" s="26">
        <v>-1.3442184349999999</v>
      </c>
      <c r="H19" s="26">
        <v>6.3574677999999996E-2</v>
      </c>
      <c r="I19">
        <v>240</v>
      </c>
      <c r="J19" s="94">
        <v>-0.17312651500000001</v>
      </c>
      <c r="K19" s="26">
        <f t="shared" si="0"/>
        <v>1.0512877166602876</v>
      </c>
      <c r="M19" s="48"/>
      <c r="N19" s="48" t="s">
        <v>113</v>
      </c>
      <c r="O19" s="48" t="s">
        <v>114</v>
      </c>
      <c r="P19" s="48" t="s">
        <v>115</v>
      </c>
      <c r="Q19" s="48" t="s">
        <v>116</v>
      </c>
      <c r="R19" s="48" t="s">
        <v>117</v>
      </c>
      <c r="W19" s="47" t="s">
        <v>108</v>
      </c>
      <c r="X19" s="47">
        <v>41</v>
      </c>
      <c r="AG19" t="s">
        <v>109</v>
      </c>
      <c r="AQ19" t="s">
        <v>109</v>
      </c>
      <c r="BA19" t="s">
        <v>109</v>
      </c>
      <c r="BK19" t="s">
        <v>109</v>
      </c>
    </row>
    <row r="20" spans="1:71" x14ac:dyDescent="0.35">
      <c r="A20">
        <v>1989</v>
      </c>
      <c r="B20">
        <v>1989</v>
      </c>
      <c r="C20">
        <v>1.67</v>
      </c>
      <c r="D20">
        <v>4.3310000000000004</v>
      </c>
      <c r="E20">
        <v>1.67</v>
      </c>
      <c r="F20" s="106">
        <v>-0.529058217</v>
      </c>
      <c r="G20" s="26">
        <v>0.65962983100000006</v>
      </c>
      <c r="H20" s="26">
        <v>-0.33903293800000001</v>
      </c>
      <c r="I20">
        <v>244</v>
      </c>
      <c r="J20" s="94">
        <v>-1.743057724</v>
      </c>
      <c r="K20" s="26">
        <f t="shared" si="0"/>
        <v>0.95297483580382603</v>
      </c>
      <c r="M20" s="46" t="s">
        <v>110</v>
      </c>
      <c r="N20" s="46">
        <v>1</v>
      </c>
      <c r="O20" s="46">
        <v>2.1368557413480289</v>
      </c>
      <c r="P20" s="46">
        <v>2.1368557413480289</v>
      </c>
      <c r="Q20" s="46">
        <v>2.7594024805088497</v>
      </c>
      <c r="R20" s="46">
        <v>0.10470389287276287</v>
      </c>
      <c r="AG20" s="48"/>
      <c r="AH20" s="48" t="s">
        <v>113</v>
      </c>
      <c r="AI20" s="48" t="s">
        <v>114</v>
      </c>
      <c r="AJ20" s="48" t="s">
        <v>115</v>
      </c>
      <c r="AK20" s="48" t="s">
        <v>116</v>
      </c>
      <c r="AL20" s="48" t="s">
        <v>117</v>
      </c>
      <c r="AQ20" s="48"/>
      <c r="AR20" s="48" t="s">
        <v>113</v>
      </c>
      <c r="AS20" s="48" t="s">
        <v>114</v>
      </c>
      <c r="AT20" s="48" t="s">
        <v>115</v>
      </c>
      <c r="AU20" s="48" t="s">
        <v>116</v>
      </c>
      <c r="AV20" s="48" t="s">
        <v>117</v>
      </c>
      <c r="BA20" s="48"/>
      <c r="BB20" s="48" t="s">
        <v>113</v>
      </c>
      <c r="BC20" s="48" t="s">
        <v>114</v>
      </c>
      <c r="BD20" s="48" t="s">
        <v>115</v>
      </c>
      <c r="BE20" s="48" t="s">
        <v>116</v>
      </c>
      <c r="BF20" s="48" t="s">
        <v>117</v>
      </c>
      <c r="BK20" s="48"/>
      <c r="BL20" s="48" t="s">
        <v>113</v>
      </c>
      <c r="BM20" s="48" t="s">
        <v>114</v>
      </c>
      <c r="BN20" s="48" t="s">
        <v>115</v>
      </c>
      <c r="BO20" s="48" t="s">
        <v>116</v>
      </c>
      <c r="BP20" s="48" t="s">
        <v>117</v>
      </c>
    </row>
    <row r="21" spans="1:71" ht="15" thickBot="1" x14ac:dyDescent="0.4">
      <c r="A21">
        <v>1990</v>
      </c>
      <c r="B21">
        <v>1990</v>
      </c>
      <c r="C21">
        <v>1.2</v>
      </c>
      <c r="D21">
        <v>3.9169999999999998</v>
      </c>
      <c r="E21">
        <v>1.2</v>
      </c>
      <c r="F21" s="106">
        <v>-0.48528878199999997</v>
      </c>
      <c r="G21" s="26">
        <v>0.41483585699999997</v>
      </c>
      <c r="H21" s="26">
        <v>3.1181279999999999E-2</v>
      </c>
      <c r="I21">
        <v>255</v>
      </c>
      <c r="J21" s="94">
        <v>-1.103690579</v>
      </c>
      <c r="K21" s="26">
        <f t="shared" si="0"/>
        <v>1.1830044978897396</v>
      </c>
      <c r="M21" s="46" t="s">
        <v>111</v>
      </c>
      <c r="N21" s="46">
        <v>39</v>
      </c>
      <c r="O21" s="46">
        <v>30.201239036795108</v>
      </c>
      <c r="P21" s="46">
        <v>0.77439074453320789</v>
      </c>
      <c r="Q21" s="46"/>
      <c r="R21" s="46"/>
      <c r="W21" t="s">
        <v>109</v>
      </c>
      <c r="AG21" s="46" t="s">
        <v>110</v>
      </c>
      <c r="AH21" s="46">
        <v>3</v>
      </c>
      <c r="AI21" s="46">
        <v>22.92265583206127</v>
      </c>
      <c r="AJ21" s="46">
        <v>7.6408852773537568</v>
      </c>
      <c r="AK21" s="46">
        <v>30.026508257454836</v>
      </c>
      <c r="AL21" s="46">
        <v>5.1381121331285362E-10</v>
      </c>
      <c r="AQ21" s="46" t="s">
        <v>110</v>
      </c>
      <c r="AR21" s="46">
        <v>3</v>
      </c>
      <c r="AS21" s="46">
        <v>22.92265583206127</v>
      </c>
      <c r="AT21" s="46">
        <v>7.6408852773537568</v>
      </c>
      <c r="AU21" s="46">
        <v>30.026508257454836</v>
      </c>
      <c r="AV21" s="46">
        <v>5.1381121331285362E-10</v>
      </c>
      <c r="BA21" s="46" t="s">
        <v>110</v>
      </c>
      <c r="BB21" s="46">
        <v>1</v>
      </c>
      <c r="BC21" s="46">
        <v>2.1368557413480289</v>
      </c>
      <c r="BD21" s="46">
        <v>2.1368557413480289</v>
      </c>
      <c r="BE21" s="46">
        <v>2.7594024805088497</v>
      </c>
      <c r="BF21" s="46">
        <v>0.10470389287276287</v>
      </c>
      <c r="BK21" s="46" t="s">
        <v>110</v>
      </c>
      <c r="BL21" s="46">
        <v>5</v>
      </c>
      <c r="BM21" s="46">
        <v>23.399239435299378</v>
      </c>
      <c r="BN21" s="46">
        <v>4.6798478870598759</v>
      </c>
      <c r="BO21" s="46">
        <v>18.323898280580842</v>
      </c>
      <c r="BP21" s="46">
        <v>6.5434301938696057E-9</v>
      </c>
    </row>
    <row r="22" spans="1:71" ht="15" thickBot="1" x14ac:dyDescent="0.4">
      <c r="A22">
        <v>1991</v>
      </c>
      <c r="B22">
        <v>1991</v>
      </c>
      <c r="C22">
        <v>1.2</v>
      </c>
      <c r="D22">
        <v>1.5</v>
      </c>
      <c r="E22">
        <v>1.2</v>
      </c>
      <c r="F22" s="106">
        <v>-0.43948661700000002</v>
      </c>
      <c r="G22" s="26">
        <v>0.55356144900000004</v>
      </c>
      <c r="H22" s="26">
        <v>0.65489779400000003</v>
      </c>
      <c r="I22">
        <v>264</v>
      </c>
      <c r="J22" s="94">
        <v>-0.39107203499999998</v>
      </c>
      <c r="K22" s="26">
        <f t="shared" si="0"/>
        <v>0.22314355131420976</v>
      </c>
      <c r="M22" s="47" t="s">
        <v>9</v>
      </c>
      <c r="N22" s="47">
        <v>40</v>
      </c>
      <c r="O22" s="47">
        <v>32.338094778143137</v>
      </c>
      <c r="P22" s="47"/>
      <c r="Q22" s="47"/>
      <c r="R22" s="47"/>
      <c r="W22" s="48"/>
      <c r="X22" s="48" t="s">
        <v>113</v>
      </c>
      <c r="Y22" s="48" t="s">
        <v>114</v>
      </c>
      <c r="Z22" s="48" t="s">
        <v>115</v>
      </c>
      <c r="AA22" s="48" t="s">
        <v>116</v>
      </c>
      <c r="AB22" s="48" t="s">
        <v>117</v>
      </c>
      <c r="AG22" s="46" t="s">
        <v>111</v>
      </c>
      <c r="AH22" s="46">
        <v>37</v>
      </c>
      <c r="AI22" s="46">
        <v>9.415438946081867</v>
      </c>
      <c r="AJ22" s="46">
        <v>0.25447132286707747</v>
      </c>
      <c r="AK22" s="46"/>
      <c r="AL22" s="46"/>
      <c r="AQ22" s="46" t="s">
        <v>111</v>
      </c>
      <c r="AR22" s="46">
        <v>37</v>
      </c>
      <c r="AS22" s="46">
        <v>9.415438946081867</v>
      </c>
      <c r="AT22" s="46">
        <v>0.25447132286707747</v>
      </c>
      <c r="AU22" s="46"/>
      <c r="AV22" s="46"/>
      <c r="BA22" s="46" t="s">
        <v>111</v>
      </c>
      <c r="BB22" s="46">
        <v>39</v>
      </c>
      <c r="BC22" s="46">
        <v>30.201239036795108</v>
      </c>
      <c r="BD22" s="46">
        <v>0.77439074453320789</v>
      </c>
      <c r="BE22" s="46"/>
      <c r="BF22" s="46"/>
      <c r="BK22" s="46" t="s">
        <v>111</v>
      </c>
      <c r="BL22" s="46">
        <v>35</v>
      </c>
      <c r="BM22" s="46">
        <v>8.9388553428437607</v>
      </c>
      <c r="BN22" s="46">
        <v>0.25539586693839317</v>
      </c>
      <c r="BO22" s="46"/>
      <c r="BP22" s="46"/>
    </row>
    <row r="23" spans="1:71" ht="15" thickBot="1" x14ac:dyDescent="0.4">
      <c r="A23">
        <v>1992</v>
      </c>
      <c r="B23">
        <v>1992</v>
      </c>
      <c r="C23">
        <v>0.9</v>
      </c>
      <c r="D23">
        <v>3.423</v>
      </c>
      <c r="E23">
        <v>0.9</v>
      </c>
      <c r="F23" s="106">
        <v>-0.39152388999999999</v>
      </c>
      <c r="G23" s="26">
        <v>-0.76787691300000005</v>
      </c>
      <c r="H23" s="26">
        <v>0.296112294</v>
      </c>
      <c r="I23">
        <v>267</v>
      </c>
      <c r="J23" s="94">
        <v>-1.4789909539999999</v>
      </c>
      <c r="K23" s="26">
        <f t="shared" si="0"/>
        <v>1.3358778752058746</v>
      </c>
      <c r="W23" s="46" t="s">
        <v>110</v>
      </c>
      <c r="X23" s="46">
        <v>4</v>
      </c>
      <c r="Y23" s="46">
        <v>23.040079395132921</v>
      </c>
      <c r="Z23" s="46">
        <v>5.7600198487832301</v>
      </c>
      <c r="AA23" s="46">
        <v>22.301610183942671</v>
      </c>
      <c r="AB23" s="46">
        <v>2.493537341057235E-9</v>
      </c>
      <c r="AG23" s="47" t="s">
        <v>9</v>
      </c>
      <c r="AH23" s="47">
        <v>40</v>
      </c>
      <c r="AI23" s="47">
        <v>32.338094778143137</v>
      </c>
      <c r="AJ23" s="47"/>
      <c r="AK23" s="47"/>
      <c r="AL23" s="47"/>
      <c r="AQ23" s="47" t="s">
        <v>9</v>
      </c>
      <c r="AR23" s="47">
        <v>40</v>
      </c>
      <c r="AS23" s="47">
        <v>32.338094778143137</v>
      </c>
      <c r="AT23" s="47"/>
      <c r="AU23" s="47"/>
      <c r="AV23" s="47"/>
      <c r="BA23" s="47" t="s">
        <v>9</v>
      </c>
      <c r="BB23" s="47">
        <v>40</v>
      </c>
      <c r="BC23" s="47">
        <v>32.338094778143137</v>
      </c>
      <c r="BD23" s="47"/>
      <c r="BE23" s="47"/>
      <c r="BF23" s="47"/>
      <c r="BK23" s="47" t="s">
        <v>9</v>
      </c>
      <c r="BL23" s="47">
        <v>40</v>
      </c>
      <c r="BM23" s="47">
        <v>32.338094778143137</v>
      </c>
      <c r="BN23" s="47"/>
      <c r="BO23" s="47"/>
      <c r="BP23" s="47"/>
    </row>
    <row r="24" spans="1:71" ht="15" thickBot="1" x14ac:dyDescent="0.4">
      <c r="A24">
        <v>1993</v>
      </c>
      <c r="B24">
        <v>1993</v>
      </c>
      <c r="C24">
        <v>2.96</v>
      </c>
      <c r="D24">
        <v>2.2170000000000001</v>
      </c>
      <c r="E24">
        <v>2.96</v>
      </c>
      <c r="F24" s="106">
        <v>-0.34126194500000001</v>
      </c>
      <c r="G24" s="26">
        <v>0.37385827999999999</v>
      </c>
      <c r="H24" s="26">
        <v>-0.25997554099999998</v>
      </c>
      <c r="I24">
        <v>271</v>
      </c>
      <c r="J24" s="94">
        <v>-1.2718974940000001</v>
      </c>
      <c r="K24" s="26">
        <f t="shared" si="0"/>
        <v>-0.2890343377017946</v>
      </c>
      <c r="M24" s="48"/>
      <c r="N24" s="48" t="s">
        <v>118</v>
      </c>
      <c r="O24" s="48" t="s">
        <v>107</v>
      </c>
      <c r="P24" s="48" t="s">
        <v>119</v>
      </c>
      <c r="Q24" s="48" t="s">
        <v>120</v>
      </c>
      <c r="R24" s="48" t="s">
        <v>121</v>
      </c>
      <c r="S24" s="48" t="s">
        <v>122</v>
      </c>
      <c r="T24" s="48" t="s">
        <v>123</v>
      </c>
      <c r="U24" s="48" t="s">
        <v>124</v>
      </c>
      <c r="W24" s="46" t="s">
        <v>111</v>
      </c>
      <c r="X24" s="46">
        <v>36</v>
      </c>
      <c r="Y24" s="46">
        <v>9.2980153830102168</v>
      </c>
      <c r="Z24" s="46">
        <v>0.25827820508361715</v>
      </c>
      <c r="AA24" s="46"/>
      <c r="AB24" s="46"/>
    </row>
    <row r="25" spans="1:71" ht="15" thickBot="1" x14ac:dyDescent="0.4">
      <c r="A25">
        <v>1994</v>
      </c>
      <c r="B25">
        <v>1994</v>
      </c>
      <c r="C25">
        <v>2.66</v>
      </c>
      <c r="D25">
        <v>3.3109999999999999</v>
      </c>
      <c r="E25">
        <v>2.66</v>
      </c>
      <c r="F25" s="106">
        <v>-0.28855022200000002</v>
      </c>
      <c r="G25" s="26">
        <v>-0.86235454700000003</v>
      </c>
      <c r="H25" s="26">
        <v>-0.11141192900000001</v>
      </c>
      <c r="I25">
        <v>276</v>
      </c>
      <c r="J25" s="94">
        <v>-0.91197086900000002</v>
      </c>
      <c r="K25" s="26">
        <f t="shared" si="0"/>
        <v>0.21892413577150149</v>
      </c>
      <c r="M25" s="46" t="s">
        <v>112</v>
      </c>
      <c r="N25" s="46">
        <v>0.5698608022999907</v>
      </c>
      <c r="O25" s="46">
        <v>0.28567011888317467</v>
      </c>
      <c r="P25" s="46">
        <v>1.99482117530478</v>
      </c>
      <c r="Q25" s="46">
        <v>5.3084348453636597E-2</v>
      </c>
      <c r="R25" s="46">
        <v>-7.9615532908283715E-3</v>
      </c>
      <c r="S25" s="46">
        <v>1.1476831578908098</v>
      </c>
      <c r="T25" s="46">
        <v>-7.9615532908283715E-3</v>
      </c>
      <c r="U25" s="46">
        <v>1.1476831578908098</v>
      </c>
      <c r="W25" s="47" t="s">
        <v>9</v>
      </c>
      <c r="X25" s="47">
        <v>40</v>
      </c>
      <c r="Y25" s="47">
        <v>32.338094778143137</v>
      </c>
      <c r="Z25" s="47"/>
      <c r="AA25" s="47"/>
      <c r="AB25" s="47"/>
      <c r="AG25" s="48"/>
      <c r="AH25" s="48" t="s">
        <v>118</v>
      </c>
      <c r="AI25" s="48" t="s">
        <v>107</v>
      </c>
      <c r="AJ25" s="48" t="s">
        <v>119</v>
      </c>
      <c r="AK25" s="48" t="s">
        <v>120</v>
      </c>
      <c r="AL25" s="48" t="s">
        <v>121</v>
      </c>
      <c r="AM25" s="48" t="s">
        <v>122</v>
      </c>
      <c r="AN25" s="48" t="s">
        <v>123</v>
      </c>
      <c r="AO25" s="48" t="s">
        <v>124</v>
      </c>
      <c r="AQ25" s="48"/>
      <c r="AR25" s="48" t="s">
        <v>118</v>
      </c>
      <c r="AS25" s="48" t="s">
        <v>107</v>
      </c>
      <c r="AT25" s="48" t="s">
        <v>119</v>
      </c>
      <c r="AU25" s="48" t="s">
        <v>120</v>
      </c>
      <c r="AV25" s="48" t="s">
        <v>121</v>
      </c>
      <c r="AW25" s="48" t="s">
        <v>122</v>
      </c>
      <c r="AX25" s="48" t="s">
        <v>123</v>
      </c>
      <c r="AY25" s="48" t="s">
        <v>124</v>
      </c>
      <c r="BA25" s="48"/>
      <c r="BB25" s="48" t="s">
        <v>118</v>
      </c>
      <c r="BC25" s="48" t="s">
        <v>107</v>
      </c>
      <c r="BD25" s="48" t="s">
        <v>119</v>
      </c>
      <c r="BE25" s="48" t="s">
        <v>120</v>
      </c>
      <c r="BF25" s="48" t="s">
        <v>121</v>
      </c>
      <c r="BG25" s="48" t="s">
        <v>122</v>
      </c>
      <c r="BH25" s="48" t="s">
        <v>123</v>
      </c>
      <c r="BI25" s="48" t="s">
        <v>124</v>
      </c>
      <c r="BK25" s="48"/>
      <c r="BL25" s="48" t="s">
        <v>118</v>
      </c>
      <c r="BM25" s="48" t="s">
        <v>107</v>
      </c>
      <c r="BN25" s="48" t="s">
        <v>119</v>
      </c>
      <c r="BO25" s="48" t="s">
        <v>120</v>
      </c>
      <c r="BP25" s="48" t="s">
        <v>121</v>
      </c>
      <c r="BQ25" s="48" t="s">
        <v>122</v>
      </c>
      <c r="BR25" s="48" t="s">
        <v>123</v>
      </c>
      <c r="BS25" s="48" t="s">
        <v>124</v>
      </c>
    </row>
    <row r="26" spans="1:71" ht="15" thickBot="1" x14ac:dyDescent="0.4">
      <c r="A26">
        <v>1995</v>
      </c>
      <c r="B26">
        <v>1995</v>
      </c>
      <c r="C26">
        <v>2.59</v>
      </c>
      <c r="D26">
        <v>1.5029999999999999</v>
      </c>
      <c r="E26">
        <v>2.59</v>
      </c>
      <c r="F26" s="106">
        <v>-0.23322504999999999</v>
      </c>
      <c r="G26" s="26">
        <v>-0.205539324</v>
      </c>
      <c r="H26" s="26">
        <v>1.204387737</v>
      </c>
      <c r="I26">
        <v>277</v>
      </c>
      <c r="J26" s="94">
        <v>0.13253981500000001</v>
      </c>
      <c r="K26" s="26">
        <f t="shared" si="0"/>
        <v>-0.54419476494060903</v>
      </c>
      <c r="M26" s="47" t="s">
        <v>222</v>
      </c>
      <c r="N26" s="47">
        <v>-0.27247921975581108</v>
      </c>
      <c r="O26" s="47">
        <v>0.16403097329676489</v>
      </c>
      <c r="P26" s="47">
        <v>-1.6611449306152783</v>
      </c>
      <c r="Q26" s="47">
        <v>0.10470389287276349</v>
      </c>
      <c r="R26" s="47">
        <v>-0.60426318004796964</v>
      </c>
      <c r="S26" s="47">
        <v>5.9304740536347433E-2</v>
      </c>
      <c r="T26" s="47">
        <v>-0.60426318004796964</v>
      </c>
      <c r="U26" s="47">
        <v>5.9304740536347433E-2</v>
      </c>
      <c r="AG26" s="46" t="s">
        <v>112</v>
      </c>
      <c r="AH26" s="46">
        <v>1.5826956672294019</v>
      </c>
      <c r="AI26" s="46">
        <v>0.19909227695283974</v>
      </c>
      <c r="AJ26" s="46">
        <v>7.9495583226681621</v>
      </c>
      <c r="AK26" s="46">
        <v>1.6022282813542687E-9</v>
      </c>
      <c r="AL26" s="46">
        <v>1.1792963962202536</v>
      </c>
      <c r="AM26" s="46">
        <v>1.9860949382385502</v>
      </c>
      <c r="AN26" s="46">
        <v>1.1792963962202536</v>
      </c>
      <c r="AO26" s="46">
        <v>1.9860949382385502</v>
      </c>
      <c r="AQ26" s="46" t="s">
        <v>112</v>
      </c>
      <c r="AR26" s="187">
        <v>1.5826956672294019</v>
      </c>
      <c r="AS26" s="187">
        <v>0.19909227695283974</v>
      </c>
      <c r="AT26" s="182">
        <v>7.9495583226681621</v>
      </c>
      <c r="AU26" s="183">
        <v>1.6022282813542687E-9</v>
      </c>
      <c r="AV26" s="187">
        <v>1.1792963962202536</v>
      </c>
      <c r="AW26" s="187">
        <v>1.9860949382385502</v>
      </c>
      <c r="AX26" s="187">
        <v>1.1792963962202536</v>
      </c>
      <c r="AY26" s="187">
        <v>1.9860949382385502</v>
      </c>
      <c r="BA26" s="46" t="s">
        <v>112</v>
      </c>
      <c r="BB26" s="46">
        <v>0.5698608022999907</v>
      </c>
      <c r="BC26" s="46">
        <v>0.28567011888317467</v>
      </c>
      <c r="BD26" s="46">
        <v>1.99482117530478</v>
      </c>
      <c r="BE26" s="46">
        <v>5.3084348453636597E-2</v>
      </c>
      <c r="BF26" s="46">
        <v>-7.9615532908283715E-3</v>
      </c>
      <c r="BG26" s="46">
        <v>1.1476831578908098</v>
      </c>
      <c r="BH26" s="46">
        <v>-7.9615532908283715E-3</v>
      </c>
      <c r="BI26" s="46">
        <v>1.1476831578908098</v>
      </c>
      <c r="BK26" s="46" t="s">
        <v>112</v>
      </c>
      <c r="BL26" s="172">
        <v>2.3139285003953018</v>
      </c>
      <c r="BM26" s="172">
        <v>1.2576500207569852</v>
      </c>
      <c r="BN26" s="172">
        <v>1.8398826877150909</v>
      </c>
      <c r="BO26" s="172">
        <v>7.4279011929338792E-2</v>
      </c>
      <c r="BP26" s="172">
        <v>-0.23923677770766316</v>
      </c>
      <c r="BQ26" s="172">
        <v>4.8670937784982673</v>
      </c>
      <c r="BR26" s="172">
        <v>-0.23923677770766316</v>
      </c>
      <c r="BS26" s="172">
        <v>4.8670937784982673</v>
      </c>
    </row>
    <row r="27" spans="1:71" ht="15" thickBot="1" x14ac:dyDescent="0.4">
      <c r="A27">
        <v>1996</v>
      </c>
      <c r="B27">
        <v>1996</v>
      </c>
      <c r="C27">
        <v>1.02</v>
      </c>
      <c r="D27">
        <v>2.234</v>
      </c>
      <c r="E27">
        <v>1.02</v>
      </c>
      <c r="F27" s="106">
        <v>-0.17510831299999999</v>
      </c>
      <c r="G27" s="26">
        <v>-7.0186602000000001E-2</v>
      </c>
      <c r="H27" s="26">
        <v>-0.353596297</v>
      </c>
      <c r="I27">
        <v>279</v>
      </c>
      <c r="J27" s="94">
        <v>1.332596678</v>
      </c>
      <c r="K27" s="26">
        <f t="shared" si="0"/>
        <v>0.78399107335082918</v>
      </c>
      <c r="W27" s="48"/>
      <c r="X27" s="48" t="s">
        <v>118</v>
      </c>
      <c r="Y27" s="48" t="s">
        <v>107</v>
      </c>
      <c r="Z27" s="48" t="s">
        <v>119</v>
      </c>
      <c r="AA27" s="48" t="s">
        <v>120</v>
      </c>
      <c r="AB27" s="48" t="s">
        <v>121</v>
      </c>
      <c r="AC27" s="48" t="s">
        <v>122</v>
      </c>
      <c r="AD27" s="48" t="s">
        <v>123</v>
      </c>
      <c r="AE27" s="48" t="s">
        <v>124</v>
      </c>
      <c r="AG27" s="46" t="s">
        <v>25</v>
      </c>
      <c r="AH27" s="46">
        <v>-0.81054444979485607</v>
      </c>
      <c r="AI27" s="46">
        <v>0.11148890920994046</v>
      </c>
      <c r="AJ27" s="46">
        <v>-7.2701801061534388</v>
      </c>
      <c r="AK27" s="46">
        <v>1.2410711597821412E-8</v>
      </c>
      <c r="AL27" s="46">
        <v>-1.0364424373473744</v>
      </c>
      <c r="AM27" s="46">
        <v>-0.58464646224233785</v>
      </c>
      <c r="AN27" s="46">
        <v>-1.0364424373473744</v>
      </c>
      <c r="AO27" s="46">
        <v>-0.58464646224233785</v>
      </c>
      <c r="AQ27" s="46" t="s">
        <v>25</v>
      </c>
      <c r="AR27" s="187">
        <v>-0.81054444979485607</v>
      </c>
      <c r="AS27" s="187">
        <v>0.11148890920994046</v>
      </c>
      <c r="AT27" s="182">
        <v>-7.2701801061534388</v>
      </c>
      <c r="AU27" s="183">
        <v>1.2410711597821412E-8</v>
      </c>
      <c r="AV27" s="187">
        <v>-1.0364424373473744</v>
      </c>
      <c r="AW27" s="187">
        <v>-0.58464646224233785</v>
      </c>
      <c r="AX27" s="187">
        <v>-1.0364424373473744</v>
      </c>
      <c r="AY27" s="187">
        <v>-0.58464646224233785</v>
      </c>
      <c r="BA27" s="47" t="s">
        <v>25</v>
      </c>
      <c r="BB27" s="47">
        <v>-0.27247921975581108</v>
      </c>
      <c r="BC27" s="47">
        <v>0.16403097329676489</v>
      </c>
      <c r="BD27" s="47">
        <v>-1.6611449306152783</v>
      </c>
      <c r="BE27" s="47">
        <v>0.10470389287276349</v>
      </c>
      <c r="BF27" s="47">
        <v>-0.60426318004796964</v>
      </c>
      <c r="BG27" s="47">
        <v>5.9304740536347433E-2</v>
      </c>
      <c r="BH27" s="47">
        <v>-0.60426318004796964</v>
      </c>
      <c r="BI27" s="47">
        <v>5.9304740536347433E-2</v>
      </c>
      <c r="BK27" s="46" t="s">
        <v>25</v>
      </c>
      <c r="BL27" s="172">
        <v>-0.7902375210647512</v>
      </c>
      <c r="BM27" s="172">
        <v>0.11279074791421941</v>
      </c>
      <c r="BN27" s="172">
        <v>-7.0062264474542673</v>
      </c>
      <c r="BO27" s="172">
        <v>3.7504418804035626E-8</v>
      </c>
      <c r="BP27" s="172">
        <v>-1.019214912638694</v>
      </c>
      <c r="BQ27" s="172">
        <v>-0.56126012949080839</v>
      </c>
      <c r="BR27" s="172">
        <v>-1.019214912638694</v>
      </c>
      <c r="BS27" s="172">
        <v>-0.56126012949080839</v>
      </c>
    </row>
    <row r="28" spans="1:71" x14ac:dyDescent="0.35">
      <c r="A28">
        <v>1997</v>
      </c>
      <c r="B28">
        <v>1997</v>
      </c>
      <c r="C28">
        <v>3</v>
      </c>
      <c r="D28">
        <v>3.347</v>
      </c>
      <c r="E28">
        <v>3</v>
      </c>
      <c r="F28" s="106">
        <v>-0.11400597599999999</v>
      </c>
      <c r="G28" s="26">
        <v>1.35474856</v>
      </c>
      <c r="H28" s="26">
        <v>-1.2603346879999999</v>
      </c>
      <c r="I28">
        <v>276</v>
      </c>
      <c r="J28" s="94">
        <v>1.888764704</v>
      </c>
      <c r="K28" s="26">
        <f t="shared" si="0"/>
        <v>0.10945213356107979</v>
      </c>
      <c r="W28" s="46" t="s">
        <v>112</v>
      </c>
      <c r="X28" s="50">
        <v>2.4223835951170463</v>
      </c>
      <c r="Y28" s="50">
        <v>1.2613783982077909</v>
      </c>
      <c r="Z28" s="50">
        <v>1.9204257806847262</v>
      </c>
      <c r="AA28" s="50">
        <v>6.2753184980407398E-2</v>
      </c>
      <c r="AB28" s="50">
        <v>-0.13581036725450613</v>
      </c>
      <c r="AC28" s="50">
        <v>4.9805775574885987</v>
      </c>
      <c r="AD28" s="46">
        <v>-0.13581036725450613</v>
      </c>
      <c r="AE28" s="46">
        <v>4.9805775574885987</v>
      </c>
      <c r="AG28" s="46" t="s">
        <v>267</v>
      </c>
      <c r="AH28" s="46">
        <v>-0.77208255237019663</v>
      </c>
      <c r="AI28" s="46">
        <v>0.1102556117792424</v>
      </c>
      <c r="AJ28" s="46">
        <v>-7.002659909194346</v>
      </c>
      <c r="AK28" s="46">
        <v>2.8116936393943432E-8</v>
      </c>
      <c r="AL28" s="46">
        <v>-0.99548164196396127</v>
      </c>
      <c r="AM28" s="46">
        <v>-0.54868346277643198</v>
      </c>
      <c r="AN28" s="46">
        <v>-0.99548164196396127</v>
      </c>
      <c r="AO28" s="46">
        <v>-0.54868346277643198</v>
      </c>
      <c r="AQ28" s="46" t="s">
        <v>267</v>
      </c>
      <c r="AR28" s="187">
        <v>-0.77208255237019663</v>
      </c>
      <c r="AS28" s="187">
        <v>0.1102556117792424</v>
      </c>
      <c r="AT28" s="182">
        <v>-7.002659909194346</v>
      </c>
      <c r="AU28" s="183">
        <v>2.8116936393943432E-8</v>
      </c>
      <c r="AV28" s="187">
        <v>-0.99548164196396127</v>
      </c>
      <c r="AW28" s="187">
        <v>-0.54868346277643198</v>
      </c>
      <c r="AX28" s="187">
        <v>-0.99548164196396127</v>
      </c>
      <c r="AY28" s="187">
        <v>-0.54868346277643198</v>
      </c>
      <c r="BK28" s="46" t="s">
        <v>267</v>
      </c>
      <c r="BL28" s="172">
        <v>-0.66486778837789684</v>
      </c>
      <c r="BM28" s="172">
        <v>0.22509851211412188</v>
      </c>
      <c r="BN28" s="172">
        <v>-2.9536747361564877</v>
      </c>
      <c r="BO28" s="172">
        <v>5.5806338237012216E-3</v>
      </c>
      <c r="BP28" s="172">
        <v>-1.1218420624581318</v>
      </c>
      <c r="BQ28" s="172">
        <v>-0.20789351429766195</v>
      </c>
      <c r="BR28" s="172">
        <v>-1.1218420624581318</v>
      </c>
      <c r="BS28" s="172">
        <v>-0.20789351429766195</v>
      </c>
    </row>
    <row r="29" spans="1:71" ht="15" thickBot="1" x14ac:dyDescent="0.4">
      <c r="A29">
        <v>1998</v>
      </c>
      <c r="B29">
        <v>1998</v>
      </c>
      <c r="C29">
        <v>1.47</v>
      </c>
      <c r="D29">
        <v>1.7889999999999999</v>
      </c>
      <c r="E29">
        <v>1.47</v>
      </c>
      <c r="F29" s="106">
        <v>-4.9706443000000003E-2</v>
      </c>
      <c r="G29" s="26">
        <v>-1.0637577570000001</v>
      </c>
      <c r="H29" s="26">
        <v>0.25265755200000001</v>
      </c>
      <c r="I29">
        <v>275</v>
      </c>
      <c r="J29" s="94">
        <v>1.648210728</v>
      </c>
      <c r="K29" s="26">
        <f t="shared" si="0"/>
        <v>0.19639440373593706</v>
      </c>
      <c r="W29" s="46" t="s">
        <v>25</v>
      </c>
      <c r="X29" s="50">
        <v>-0.80254942721467026</v>
      </c>
      <c r="Y29" s="50">
        <v>0.11294388679247083</v>
      </c>
      <c r="Z29" s="50">
        <v>-7.1057358658934566</v>
      </c>
      <c r="AA29" s="172">
        <v>2.3864902808412928E-8</v>
      </c>
      <c r="AB29" s="50">
        <v>-1.0316102464658956</v>
      </c>
      <c r="AC29" s="50">
        <v>-0.57348860796344492</v>
      </c>
      <c r="AD29" s="46">
        <v>-1.0316102464658956</v>
      </c>
      <c r="AE29" s="46">
        <v>-0.57348860796344492</v>
      </c>
      <c r="AG29" s="47" t="s">
        <v>238</v>
      </c>
      <c r="AH29" s="47">
        <v>-0.1796986141584436</v>
      </c>
      <c r="AI29" s="47">
        <v>9.9567617764106733E-2</v>
      </c>
      <c r="AJ29" s="47">
        <v>-1.804789731779878</v>
      </c>
      <c r="AK29" s="47">
        <v>7.9251509045439539E-2</v>
      </c>
      <c r="AL29" s="47">
        <v>-0.38144177083384012</v>
      </c>
      <c r="AM29" s="47">
        <v>2.2044542516952897E-2</v>
      </c>
      <c r="AN29" s="47">
        <v>-0.38144177083384012</v>
      </c>
      <c r="AO29" s="47">
        <v>2.2044542516952897E-2</v>
      </c>
      <c r="AQ29" s="47" t="s">
        <v>238</v>
      </c>
      <c r="AR29" s="190">
        <v>-0.1796986141584436</v>
      </c>
      <c r="AS29" s="190">
        <v>9.9567617764106733E-2</v>
      </c>
      <c r="AT29" s="185">
        <v>-1.804789731779878</v>
      </c>
      <c r="AU29" s="190">
        <v>7.9251509045439539E-2</v>
      </c>
      <c r="AV29" s="190">
        <v>-0.38144177083384012</v>
      </c>
      <c r="AW29" s="190">
        <v>2.2044542516952897E-2</v>
      </c>
      <c r="AX29" s="190">
        <v>-0.38144177083384012</v>
      </c>
      <c r="AY29" s="190">
        <v>2.2044542516952897E-2</v>
      </c>
      <c r="BK29" s="46" t="s">
        <v>446</v>
      </c>
      <c r="BL29" s="172">
        <v>0.11132709411449208</v>
      </c>
      <c r="BM29" s="172">
        <v>9.3877993759629672E-2</v>
      </c>
      <c r="BN29" s="172">
        <v>1.185869975018214</v>
      </c>
      <c r="BO29" s="172">
        <v>0.24366216726667228</v>
      </c>
      <c r="BP29" s="172">
        <v>-7.9255365305168426E-2</v>
      </c>
      <c r="BQ29" s="172">
        <v>0.30190955353415261</v>
      </c>
      <c r="BR29" s="172">
        <v>-7.9255365305168426E-2</v>
      </c>
      <c r="BS29" s="172">
        <v>0.30190955353415261</v>
      </c>
    </row>
    <row r="30" spans="1:71" x14ac:dyDescent="0.35">
      <c r="A30">
        <v>1999</v>
      </c>
      <c r="B30">
        <v>1999</v>
      </c>
      <c r="C30">
        <v>2.52</v>
      </c>
      <c r="D30">
        <v>1.48</v>
      </c>
      <c r="E30">
        <v>2.52</v>
      </c>
      <c r="F30" s="106">
        <v>1.8021255999999999E-2</v>
      </c>
      <c r="G30" s="26">
        <v>1.0443233780000001</v>
      </c>
      <c r="H30" s="26">
        <v>-0.85755870000000001</v>
      </c>
      <c r="I30">
        <v>269</v>
      </c>
      <c r="J30" s="94">
        <v>0.87861887400000005</v>
      </c>
      <c r="K30" s="26">
        <f t="shared" si="0"/>
        <v>-0.53221681374730823</v>
      </c>
      <c r="M30" t="s">
        <v>125</v>
      </c>
      <c r="W30" s="46" t="s">
        <v>267</v>
      </c>
      <c r="X30" s="50">
        <v>-0.63986143405342566</v>
      </c>
      <c r="Y30" s="50">
        <v>0.22536970886600871</v>
      </c>
      <c r="Z30" s="50">
        <v>-2.8391634229507252</v>
      </c>
      <c r="AA30" s="50">
        <v>7.3914899911612202E-3</v>
      </c>
      <c r="AB30" s="50">
        <v>-1.0969323886072888</v>
      </c>
      <c r="AC30" s="50">
        <v>-0.1827904794995624</v>
      </c>
      <c r="AD30" s="46">
        <v>-1.0969323886072888</v>
      </c>
      <c r="AE30" s="46">
        <v>-0.1827904794995624</v>
      </c>
      <c r="BK30" s="46" t="s">
        <v>238</v>
      </c>
      <c r="BL30" s="172">
        <v>-0.15646639293659179</v>
      </c>
      <c r="BM30" s="172">
        <v>0.10277877774593158</v>
      </c>
      <c r="BN30" s="172">
        <v>-1.5223609033703009</v>
      </c>
      <c r="BO30" s="172">
        <v>0.13690340362219558</v>
      </c>
      <c r="BP30" s="172">
        <v>-0.36511840449448751</v>
      </c>
      <c r="BQ30" s="172">
        <v>5.2185618621303914E-2</v>
      </c>
      <c r="BR30" s="172">
        <v>-0.36511840449448751</v>
      </c>
      <c r="BS30" s="172">
        <v>5.2185618621303914E-2</v>
      </c>
    </row>
    <row r="31" spans="1:71" ht="15" thickBot="1" x14ac:dyDescent="0.4">
      <c r="A31">
        <v>2000</v>
      </c>
      <c r="B31">
        <v>2000</v>
      </c>
      <c r="C31">
        <v>1.5</v>
      </c>
      <c r="D31">
        <v>3.4089999999999998</v>
      </c>
      <c r="E31">
        <v>1.5</v>
      </c>
      <c r="F31" s="106">
        <v>8.9429476999999993E-2</v>
      </c>
      <c r="G31" s="26">
        <v>0.57338870799999997</v>
      </c>
      <c r="H31" s="26">
        <v>0.34956636200000002</v>
      </c>
      <c r="I31">
        <v>264</v>
      </c>
      <c r="J31" s="94">
        <v>0.71222063499999999</v>
      </c>
      <c r="K31" s="26">
        <f t="shared" si="0"/>
        <v>0.82095388504760158</v>
      </c>
      <c r="W31" s="46" t="s">
        <v>238</v>
      </c>
      <c r="X31" s="50">
        <v>-0.18457825499940572</v>
      </c>
      <c r="Y31" s="50">
        <v>0.10057033542405938</v>
      </c>
      <c r="Z31" s="50">
        <v>-1.8353150978479205</v>
      </c>
      <c r="AA31" s="50">
        <v>7.4731483302607371E-2</v>
      </c>
      <c r="AB31" s="50">
        <v>-0.38854434894953238</v>
      </c>
      <c r="AC31" s="50">
        <v>1.9387838950720965E-2</v>
      </c>
      <c r="AD31" s="46">
        <v>-0.38854434894953238</v>
      </c>
      <c r="AE31" s="46">
        <v>1.9387838950720965E-2</v>
      </c>
      <c r="BA31" t="s">
        <v>125</v>
      </c>
      <c r="BK31" s="47" t="s">
        <v>344</v>
      </c>
      <c r="BL31" s="219">
        <v>-2.9364379671244067E-3</v>
      </c>
      <c r="BM31" s="219">
        <v>4.8684914682579541E-3</v>
      </c>
      <c r="BN31" s="219">
        <v>-0.60315150725222988</v>
      </c>
      <c r="BO31" s="219">
        <v>0.55029675866619732</v>
      </c>
      <c r="BP31" s="219">
        <v>-1.2820001095454036E-2</v>
      </c>
      <c r="BQ31" s="219">
        <v>6.947125161205223E-3</v>
      </c>
      <c r="BR31" s="219">
        <v>-1.2820001095454036E-2</v>
      </c>
      <c r="BS31" s="219">
        <v>6.947125161205223E-3</v>
      </c>
    </row>
    <row r="32" spans="1:71" ht="29.5" thickBot="1" x14ac:dyDescent="0.4">
      <c r="A32">
        <v>2001</v>
      </c>
      <c r="B32">
        <v>2001</v>
      </c>
      <c r="C32">
        <v>1.81</v>
      </c>
      <c r="D32">
        <v>1.68</v>
      </c>
      <c r="E32">
        <v>1.81</v>
      </c>
      <c r="F32" s="106">
        <v>0.16479419300000001</v>
      </c>
      <c r="G32" s="26">
        <v>-0.165614603</v>
      </c>
      <c r="H32" s="26">
        <v>4.3848934999999999E-2</v>
      </c>
      <c r="I32">
        <v>250</v>
      </c>
      <c r="J32" s="94">
        <v>6.8331797999999999E-2</v>
      </c>
      <c r="K32" s="26">
        <f t="shared" si="0"/>
        <v>-7.4533051862566868E-2</v>
      </c>
      <c r="M32" s="132" t="s">
        <v>126</v>
      </c>
      <c r="N32" s="132" t="s">
        <v>298</v>
      </c>
      <c r="O32" s="132" t="s">
        <v>128</v>
      </c>
      <c r="W32" s="47" t="s">
        <v>344</v>
      </c>
      <c r="X32" s="47">
        <v>-3.2947838917311177E-3</v>
      </c>
      <c r="Y32" s="47">
        <v>4.8864469327603542E-3</v>
      </c>
      <c r="Z32" s="47">
        <v>-0.67426986050780546</v>
      </c>
      <c r="AA32" s="47">
        <v>0.50444679829157768</v>
      </c>
      <c r="AB32" s="47">
        <v>-1.3204957602171722E-2</v>
      </c>
      <c r="AC32" s="47">
        <v>6.6153898187094875E-3</v>
      </c>
      <c r="AD32" s="47">
        <v>-1.3204957602171722E-2</v>
      </c>
      <c r="AE32" s="47">
        <v>6.6153898187094875E-3</v>
      </c>
    </row>
    <row r="33" spans="1:66" x14ac:dyDescent="0.35">
      <c r="A33">
        <v>2002</v>
      </c>
      <c r="B33">
        <v>2002</v>
      </c>
      <c r="C33">
        <v>3.16</v>
      </c>
      <c r="D33">
        <v>1.002</v>
      </c>
      <c r="E33">
        <v>3.16</v>
      </c>
      <c r="F33" s="106">
        <v>0.244417472</v>
      </c>
      <c r="G33" s="26">
        <v>-0.52052999300000002</v>
      </c>
      <c r="H33" s="26">
        <v>1.208955494</v>
      </c>
      <c r="I33">
        <v>247</v>
      </c>
      <c r="J33" s="94">
        <v>-0.83329344100000002</v>
      </c>
      <c r="K33" s="26">
        <f t="shared" si="0"/>
        <v>-1.1485740249361478</v>
      </c>
      <c r="M33" s="46">
        <v>1</v>
      </c>
      <c r="N33" s="46">
        <v>0.11591042218680947</v>
      </c>
      <c r="O33" s="46">
        <v>1.2836508846612447</v>
      </c>
      <c r="AG33" t="s">
        <v>125</v>
      </c>
      <c r="AQ33" t="s">
        <v>125</v>
      </c>
      <c r="BA33" s="48" t="s">
        <v>126</v>
      </c>
      <c r="BB33" s="48" t="s">
        <v>298</v>
      </c>
      <c r="BC33" s="48" t="s">
        <v>128</v>
      </c>
      <c r="BD33" s="48" t="s">
        <v>129</v>
      </c>
    </row>
    <row r="34" spans="1:66" ht="15" thickBot="1" x14ac:dyDescent="0.4">
      <c r="A34">
        <v>2003</v>
      </c>
      <c r="B34">
        <v>2003</v>
      </c>
      <c r="C34">
        <v>1.48</v>
      </c>
      <c r="D34">
        <v>1.3049999999999999</v>
      </c>
      <c r="E34">
        <v>1.48</v>
      </c>
      <c r="F34" s="106">
        <v>0.32863021999999997</v>
      </c>
      <c r="G34" s="26">
        <v>-1.2570828489999999</v>
      </c>
      <c r="H34" s="26">
        <v>0.95703736299999997</v>
      </c>
      <c r="I34">
        <v>251</v>
      </c>
      <c r="J34" s="94">
        <v>-0.229195487</v>
      </c>
      <c r="K34" s="26">
        <f t="shared" si="0"/>
        <v>-0.12583904700136705</v>
      </c>
      <c r="M34" s="46">
        <v>2</v>
      </c>
      <c r="N34" s="46">
        <v>0.11591042218680947</v>
      </c>
      <c r="O34" s="46">
        <v>0.44112959373981253</v>
      </c>
      <c r="P34">
        <f>O33</f>
        <v>1.2836508846612447</v>
      </c>
      <c r="BA34" s="46">
        <v>1</v>
      </c>
      <c r="BB34" s="46">
        <v>0.11591042218680947</v>
      </c>
      <c r="BC34" s="46">
        <v>1.2836508846612447</v>
      </c>
      <c r="BD34" s="46">
        <v>1.477285855959646</v>
      </c>
    </row>
    <row r="35" spans="1:66" x14ac:dyDescent="0.35">
      <c r="A35">
        <v>2004</v>
      </c>
      <c r="B35">
        <v>2004</v>
      </c>
      <c r="C35">
        <v>0.95</v>
      </c>
      <c r="D35">
        <v>0.88500000000000001</v>
      </c>
      <c r="E35">
        <v>0.95</v>
      </c>
      <c r="F35" s="106">
        <v>0.41779522499999999</v>
      </c>
      <c r="G35" s="26">
        <v>-0.92559120399999995</v>
      </c>
      <c r="H35" s="26">
        <v>-0.67757831099999999</v>
      </c>
      <c r="I35">
        <v>270</v>
      </c>
      <c r="J35" s="94">
        <v>0.50603151300000004</v>
      </c>
      <c r="K35" s="26">
        <f t="shared" si="0"/>
        <v>-7.0874339586656995E-2</v>
      </c>
      <c r="M35" s="46">
        <v>3</v>
      </c>
      <c r="N35" s="46">
        <v>0.31046058509245855</v>
      </c>
      <c r="O35" s="46">
        <v>2.0938123210501129</v>
      </c>
      <c r="P35">
        <f t="shared" ref="P35:P73" si="1">O34</f>
        <v>0.44112959373981253</v>
      </c>
      <c r="AG35" s="48" t="s">
        <v>126</v>
      </c>
      <c r="AH35" s="48" t="s">
        <v>298</v>
      </c>
      <c r="AI35" s="48" t="s">
        <v>128</v>
      </c>
      <c r="AJ35" s="48" t="s">
        <v>129</v>
      </c>
      <c r="AQ35" s="48" t="s">
        <v>126</v>
      </c>
      <c r="AR35" s="48" t="s">
        <v>298</v>
      </c>
      <c r="AS35" s="48" t="s">
        <v>128</v>
      </c>
      <c r="AT35" s="48" t="s">
        <v>129</v>
      </c>
      <c r="BA35" s="46">
        <v>2</v>
      </c>
      <c r="BB35" s="46">
        <v>0.11591042218680947</v>
      </c>
      <c r="BC35" s="46">
        <v>0.44112959373981253</v>
      </c>
      <c r="BD35" s="46">
        <v>0.50767269922384439</v>
      </c>
      <c r="BK35" t="s">
        <v>125</v>
      </c>
    </row>
    <row r="36" spans="1:66" ht="15" thickBot="1" x14ac:dyDescent="0.4">
      <c r="A36">
        <v>2005</v>
      </c>
      <c r="B36">
        <v>2005</v>
      </c>
      <c r="C36">
        <v>2.44</v>
      </c>
      <c r="D36">
        <v>0.72799999999999998</v>
      </c>
      <c r="E36">
        <v>2.44</v>
      </c>
      <c r="F36" s="106">
        <v>0.51231053699999995</v>
      </c>
      <c r="G36" s="26">
        <v>5.0044106999999997E-2</v>
      </c>
      <c r="H36" s="26">
        <v>-0.60482184500000002</v>
      </c>
      <c r="I36">
        <v>279</v>
      </c>
      <c r="J36" s="94">
        <v>1.452873665</v>
      </c>
      <c r="K36" s="26">
        <f t="shared" si="0"/>
        <v>-1.2094522700905614</v>
      </c>
      <c r="M36" s="46">
        <v>4</v>
      </c>
      <c r="N36" s="46">
        <v>0.23007921526449426</v>
      </c>
      <c r="O36" s="46">
        <v>1.0890535670857977</v>
      </c>
      <c r="P36">
        <f t="shared" si="1"/>
        <v>2.0938123210501129</v>
      </c>
      <c r="W36" t="s">
        <v>125</v>
      </c>
      <c r="AG36" s="46">
        <v>1</v>
      </c>
      <c r="AH36" s="46">
        <v>0.96449113388133045</v>
      </c>
      <c r="AI36" s="46">
        <v>0.43507017296672368</v>
      </c>
      <c r="AJ36" s="46">
        <v>0.89674511665294421</v>
      </c>
      <c r="AQ36" s="46">
        <v>1</v>
      </c>
      <c r="AR36" s="46">
        <v>0.96449113388133045</v>
      </c>
      <c r="AS36" s="46">
        <v>0.43507017296672368</v>
      </c>
      <c r="AT36" s="46">
        <v>0.89674511665294421</v>
      </c>
      <c r="BA36" s="46">
        <v>3</v>
      </c>
      <c r="BB36" s="46">
        <v>0.31046058509245855</v>
      </c>
      <c r="BC36" s="46">
        <v>2.0938123210501129</v>
      </c>
      <c r="BD36" s="46">
        <v>2.4096577690106558</v>
      </c>
    </row>
    <row r="37" spans="1:66" ht="15" thickBot="1" x14ac:dyDescent="0.4">
      <c r="A37">
        <v>2006</v>
      </c>
      <c r="B37">
        <v>2006</v>
      </c>
      <c r="C37">
        <v>1.66</v>
      </c>
      <c r="D37">
        <v>0.73899999999999999</v>
      </c>
      <c r="E37">
        <v>1.66</v>
      </c>
      <c r="F37" s="106">
        <v>0.61261321899999999</v>
      </c>
      <c r="G37" s="26">
        <v>-0.52871991799999996</v>
      </c>
      <c r="H37" s="26">
        <v>-1.394178981</v>
      </c>
      <c r="I37">
        <v>290</v>
      </c>
      <c r="J37" s="94">
        <v>0.383041511</v>
      </c>
      <c r="K37" s="26">
        <f t="shared" si="0"/>
        <v>-0.80927496040238711</v>
      </c>
      <c r="M37" s="46">
        <v>5</v>
      </c>
      <c r="N37" s="46">
        <v>0.24561053079057554</v>
      </c>
      <c r="O37" s="46">
        <v>0.68071373007315739</v>
      </c>
      <c r="P37">
        <f t="shared" si="1"/>
        <v>1.0890535670857977</v>
      </c>
      <c r="AG37" s="46">
        <v>2</v>
      </c>
      <c r="AH37" s="46">
        <v>0.92832437102114851</v>
      </c>
      <c r="AI37" s="46">
        <v>-0.37128435509452651</v>
      </c>
      <c r="AJ37" s="46">
        <v>-0.76527294447767114</v>
      </c>
      <c r="AQ37" s="46">
        <v>2</v>
      </c>
      <c r="AR37" s="46">
        <v>0.92832437102114851</v>
      </c>
      <c r="AS37" s="46">
        <v>-0.37128435509452651</v>
      </c>
      <c r="AT37" s="46">
        <v>-0.76527294447767114</v>
      </c>
      <c r="BA37" s="46">
        <v>4</v>
      </c>
      <c r="BB37" s="46">
        <v>0.23007921526449426</v>
      </c>
      <c r="BC37" s="46">
        <v>1.0890535670857977</v>
      </c>
      <c r="BD37" s="46">
        <v>1.2533341037371093</v>
      </c>
      <c r="BK37" s="48" t="s">
        <v>126</v>
      </c>
      <c r="BL37" s="48" t="s">
        <v>298</v>
      </c>
      <c r="BM37" s="48" t="s">
        <v>128</v>
      </c>
      <c r="BN37" s="48" t="s">
        <v>129</v>
      </c>
    </row>
    <row r="38" spans="1:66" x14ac:dyDescent="0.35">
      <c r="A38">
        <v>2007</v>
      </c>
      <c r="B38">
        <v>2007</v>
      </c>
      <c r="C38">
        <v>0.74</v>
      </c>
      <c r="D38">
        <v>1.333</v>
      </c>
      <c r="E38">
        <v>0.74</v>
      </c>
      <c r="F38" s="106">
        <v>0.71918350099999995</v>
      </c>
      <c r="G38" s="26">
        <v>7.6039433000000003E-2</v>
      </c>
      <c r="H38" s="26">
        <v>-0.444916951</v>
      </c>
      <c r="I38">
        <v>295</v>
      </c>
      <c r="J38" s="94">
        <v>1.568628962</v>
      </c>
      <c r="K38" s="26">
        <f t="shared" si="0"/>
        <v>0.58853713398049323</v>
      </c>
      <c r="M38" s="46">
        <v>6</v>
      </c>
      <c r="N38" s="46">
        <v>-0.20861232854236156</v>
      </c>
      <c r="O38" s="46">
        <v>0.50274884991717816</v>
      </c>
      <c r="P38">
        <f t="shared" si="1"/>
        <v>0.68071373007315739</v>
      </c>
      <c r="W38" s="48" t="s">
        <v>126</v>
      </c>
      <c r="X38" s="48" t="s">
        <v>298</v>
      </c>
      <c r="Y38" s="48" t="s">
        <v>128</v>
      </c>
      <c r="Z38" s="48" t="s">
        <v>129</v>
      </c>
      <c r="AG38" s="46">
        <v>3</v>
      </c>
      <c r="AH38" s="46">
        <v>1.6528836297324543</v>
      </c>
      <c r="AI38" s="46">
        <v>0.7513892764101171</v>
      </c>
      <c r="AJ38" s="46">
        <v>1.5487264036776378</v>
      </c>
      <c r="AQ38" s="46">
        <v>3</v>
      </c>
      <c r="AR38" s="46">
        <v>1.6528836297324543</v>
      </c>
      <c r="AS38" s="46">
        <v>0.7513892764101171</v>
      </c>
      <c r="AT38" s="46">
        <v>1.5487264036776378</v>
      </c>
      <c r="BA38" s="46">
        <v>5</v>
      </c>
      <c r="BB38" s="46">
        <v>0.24561053079057554</v>
      </c>
      <c r="BC38" s="46">
        <v>0.68071373007315739</v>
      </c>
      <c r="BD38" s="46">
        <v>0.78339739987791768</v>
      </c>
      <c r="BK38" s="46">
        <v>1</v>
      </c>
      <c r="BL38" s="46">
        <v>1.0714874084436081</v>
      </c>
      <c r="BM38" s="46">
        <v>0.32807389840444601</v>
      </c>
      <c r="BN38" s="46">
        <v>0.69400199728927214</v>
      </c>
    </row>
    <row r="39" spans="1:66" x14ac:dyDescent="0.35">
      <c r="A39">
        <v>2008</v>
      </c>
      <c r="B39">
        <v>2008</v>
      </c>
      <c r="C39">
        <v>1.1599999999999999</v>
      </c>
      <c r="D39">
        <v>1.177</v>
      </c>
      <c r="E39">
        <v>1.1599999999999999</v>
      </c>
      <c r="F39" s="106">
        <v>0.83254940499999996</v>
      </c>
      <c r="G39" s="26">
        <v>-0.238634448</v>
      </c>
      <c r="H39" s="26">
        <v>-0.15371162799999999</v>
      </c>
      <c r="I39">
        <v>299</v>
      </c>
      <c r="J39" s="94">
        <v>1.1426856439999999</v>
      </c>
      <c r="K39" s="26">
        <f t="shared" si="0"/>
        <v>1.4548823159866388E-2</v>
      </c>
      <c r="M39" s="46">
        <v>7</v>
      </c>
      <c r="N39" s="46">
        <v>0.26468407617348227</v>
      </c>
      <c r="O39" s="46">
        <v>0.86007157247421828</v>
      </c>
      <c r="P39">
        <f t="shared" si="1"/>
        <v>0.50274884991717816</v>
      </c>
      <c r="W39" s="46">
        <v>1</v>
      </c>
      <c r="X39" s="46">
        <v>1.0629115717278295</v>
      </c>
      <c r="Y39" s="46">
        <v>0.33664973512022467</v>
      </c>
      <c r="Z39" s="46">
        <v>0.69825353424121195</v>
      </c>
      <c r="AG39" s="46">
        <v>4</v>
      </c>
      <c r="AH39" s="46">
        <v>1.2205988106001404</v>
      </c>
      <c r="AI39" s="46">
        <v>9.8533971750151439E-2</v>
      </c>
      <c r="AJ39" s="46">
        <v>0.20309334788189595</v>
      </c>
      <c r="AQ39" s="46">
        <v>4</v>
      </c>
      <c r="AR39" s="46">
        <v>1.2205988106001404</v>
      </c>
      <c r="AS39" s="46">
        <v>9.8533971750151439E-2</v>
      </c>
      <c r="AT39" s="46">
        <v>0.20309334788189595</v>
      </c>
      <c r="BA39" s="46">
        <v>6</v>
      </c>
      <c r="BB39" s="46">
        <v>-0.20861232854236156</v>
      </c>
      <c r="BC39" s="46">
        <v>0.50274884991717816</v>
      </c>
      <c r="BD39" s="46">
        <v>0.57858703948046253</v>
      </c>
      <c r="BK39" s="46">
        <v>2</v>
      </c>
      <c r="BL39" s="46">
        <v>0.86240764502210077</v>
      </c>
      <c r="BM39" s="46">
        <v>-0.30536762909547877</v>
      </c>
      <c r="BN39" s="46">
        <v>-0.64596953774875476</v>
      </c>
    </row>
    <row r="40" spans="1:66" x14ac:dyDescent="0.35">
      <c r="A40">
        <v>2009</v>
      </c>
      <c r="B40">
        <v>2009</v>
      </c>
      <c r="C40">
        <v>0.69</v>
      </c>
      <c r="D40">
        <v>1.802</v>
      </c>
      <c r="E40">
        <v>0.69</v>
      </c>
      <c r="F40" s="106">
        <v>0.95329186200000005</v>
      </c>
      <c r="G40" s="26">
        <v>-0.97762844199999999</v>
      </c>
      <c r="H40" s="26">
        <v>-0.726701229</v>
      </c>
      <c r="I40">
        <v>303</v>
      </c>
      <c r="J40" s="94">
        <v>1.3524921190000001</v>
      </c>
      <c r="K40" s="26">
        <f t="shared" si="0"/>
        <v>0.95996084057697828</v>
      </c>
      <c r="M40" s="46">
        <v>8</v>
      </c>
      <c r="N40" s="46">
        <v>-0.38654125904290615</v>
      </c>
      <c r="O40" s="46">
        <v>-8.9291291215376267E-2</v>
      </c>
      <c r="P40">
        <f t="shared" si="1"/>
        <v>0.86007157247421828</v>
      </c>
      <c r="W40" s="46">
        <v>2</v>
      </c>
      <c r="X40" s="46">
        <v>1.0036277199947281</v>
      </c>
      <c r="Y40" s="46">
        <v>-0.44658770406810611</v>
      </c>
      <c r="Z40" s="46">
        <v>-0.92627859220760123</v>
      </c>
      <c r="AG40" s="46">
        <v>5</v>
      </c>
      <c r="AH40" s="46">
        <v>1.3366145761390238</v>
      </c>
      <c r="AI40" s="46">
        <v>-0.41029031527529092</v>
      </c>
      <c r="AJ40" s="46">
        <v>-0.84567009989272424</v>
      </c>
      <c r="AQ40" s="46">
        <v>5</v>
      </c>
      <c r="AR40" s="46">
        <v>1.3366145761390238</v>
      </c>
      <c r="AS40" s="46">
        <v>-0.41029031527529092</v>
      </c>
      <c r="AT40" s="46">
        <v>-0.84567009989272424</v>
      </c>
      <c r="BA40" s="46">
        <v>7</v>
      </c>
      <c r="BB40" s="46">
        <v>0.26468407617348227</v>
      </c>
      <c r="BC40" s="46">
        <v>0.86007157247421828</v>
      </c>
      <c r="BD40" s="46">
        <v>0.98981084678988718</v>
      </c>
      <c r="BK40" s="46">
        <v>3</v>
      </c>
      <c r="BL40" s="46">
        <v>1.8132690397452884</v>
      </c>
      <c r="BM40" s="46">
        <v>0.59100386639728297</v>
      </c>
      <c r="BN40" s="46">
        <v>1.2501996217320475</v>
      </c>
    </row>
    <row r="41" spans="1:66" x14ac:dyDescent="0.35">
      <c r="A41">
        <v>2010</v>
      </c>
      <c r="B41">
        <v>2010</v>
      </c>
      <c r="C41">
        <v>0.59</v>
      </c>
      <c r="D41">
        <v>1.0309999999999999</v>
      </c>
      <c r="E41">
        <v>0.59</v>
      </c>
      <c r="F41" s="106">
        <v>1.082050403</v>
      </c>
      <c r="G41" s="26">
        <v>0.675366786</v>
      </c>
      <c r="H41" s="26">
        <v>-1.0574423900000001</v>
      </c>
      <c r="I41">
        <v>308</v>
      </c>
      <c r="J41" s="94">
        <v>0.65162997199999995</v>
      </c>
      <c r="K41" s="26">
        <f t="shared" si="0"/>
        <v>0.55816194711719469</v>
      </c>
      <c r="M41" s="46">
        <v>9</v>
      </c>
      <c r="N41" s="46">
        <v>-6.5015779731049106E-2</v>
      </c>
      <c r="O41" s="46">
        <v>3.8486717951144583E-2</v>
      </c>
      <c r="P41">
        <f t="shared" si="1"/>
        <v>-8.9291291215376267E-2</v>
      </c>
      <c r="W41" s="46">
        <v>3</v>
      </c>
      <c r="X41" s="46">
        <v>1.7011798671633058</v>
      </c>
      <c r="Y41" s="46">
        <v>0.70309303897926556</v>
      </c>
      <c r="Z41" s="46">
        <v>1.4583026456038719</v>
      </c>
      <c r="AG41" s="46">
        <v>6</v>
      </c>
      <c r="AH41" s="46">
        <v>-8.4988195557146151E-2</v>
      </c>
      <c r="AI41" s="46">
        <v>0.37912471693196281</v>
      </c>
      <c r="AJ41" s="46">
        <v>0.78143311041727204</v>
      </c>
      <c r="AQ41" s="46">
        <v>6</v>
      </c>
      <c r="AR41" s="46">
        <v>-8.4988195557146151E-2</v>
      </c>
      <c r="AS41" s="46">
        <v>0.37912471693196281</v>
      </c>
      <c r="AT41" s="46">
        <v>0.78143311041727204</v>
      </c>
      <c r="BA41" s="46">
        <v>8</v>
      </c>
      <c r="BB41" s="46">
        <v>-0.38654125904290615</v>
      </c>
      <c r="BC41" s="46">
        <v>-8.9291291215376267E-2</v>
      </c>
      <c r="BD41" s="46">
        <v>-0.10276062062439965</v>
      </c>
      <c r="BK41" s="46">
        <v>4</v>
      </c>
      <c r="BL41" s="46">
        <v>1.2933912539796997</v>
      </c>
      <c r="BM41" s="46">
        <v>2.5741528370592182E-2</v>
      </c>
      <c r="BN41" s="46">
        <v>5.4453195421374424E-2</v>
      </c>
    </row>
    <row r="42" spans="1:66" x14ac:dyDescent="0.35">
      <c r="A42">
        <v>2011</v>
      </c>
      <c r="B42">
        <v>2011</v>
      </c>
      <c r="C42">
        <v>0.52</v>
      </c>
      <c r="D42">
        <v>0.41899999999999998</v>
      </c>
      <c r="E42">
        <v>0.52</v>
      </c>
      <c r="F42" s="106">
        <v>1.2195294750000001</v>
      </c>
      <c r="G42" s="26">
        <v>0.31746985300000002</v>
      </c>
      <c r="H42" s="26">
        <v>0.89261870099999996</v>
      </c>
      <c r="I42">
        <v>311</v>
      </c>
      <c r="J42" s="94">
        <v>8.7322901999999994E-2</v>
      </c>
      <c r="K42" s="26">
        <f t="shared" si="0"/>
        <v>-0.21595789165333543</v>
      </c>
      <c r="M42" s="46">
        <v>10</v>
      </c>
      <c r="N42" s="46">
        <v>0.11209571311022809</v>
      </c>
      <c r="O42" s="46">
        <v>9.4724864172051032E-2</v>
      </c>
      <c r="P42">
        <f t="shared" si="1"/>
        <v>3.8486717951144583E-2</v>
      </c>
      <c r="W42" s="46">
        <v>4</v>
      </c>
      <c r="X42" s="46">
        <v>1.267287484934668</v>
      </c>
      <c r="Y42" s="46">
        <v>5.1845297415623826E-2</v>
      </c>
      <c r="Z42" s="46">
        <v>0.10753361246910803</v>
      </c>
      <c r="AG42" s="46">
        <v>7</v>
      </c>
      <c r="AH42" s="46">
        <v>1.2863248982524862</v>
      </c>
      <c r="AI42" s="46">
        <v>-0.16156924960478558</v>
      </c>
      <c r="AJ42" s="46">
        <v>-0.33301854410381226</v>
      </c>
      <c r="AQ42" s="46">
        <v>7</v>
      </c>
      <c r="AR42" s="46">
        <v>1.2863248982524862</v>
      </c>
      <c r="AS42" s="46">
        <v>-0.16156924960478558</v>
      </c>
      <c r="AT42" s="46">
        <v>-0.33301854410381226</v>
      </c>
      <c r="BA42" s="46">
        <v>9</v>
      </c>
      <c r="BB42" s="46">
        <v>-6.5015779731049106E-2</v>
      </c>
      <c r="BC42" s="46">
        <v>3.8486717951144583E-2</v>
      </c>
      <c r="BD42" s="46">
        <v>4.4292326481384668E-2</v>
      </c>
      <c r="BK42" s="46">
        <v>5</v>
      </c>
      <c r="BL42" s="46">
        <v>1.6789220369550053</v>
      </c>
      <c r="BM42" s="46">
        <v>-0.75259777609127243</v>
      </c>
      <c r="BN42" s="46">
        <v>-1.5920326557613438</v>
      </c>
    </row>
    <row r="43" spans="1:66" x14ac:dyDescent="0.35">
      <c r="A43">
        <v>2012</v>
      </c>
      <c r="B43">
        <v>2012</v>
      </c>
      <c r="C43">
        <v>1</v>
      </c>
      <c r="D43">
        <v>0.33400000000000002</v>
      </c>
      <c r="E43">
        <v>1</v>
      </c>
      <c r="F43" s="106">
        <v>1.3665054459999999</v>
      </c>
      <c r="G43" s="26">
        <v>-0.139544739</v>
      </c>
      <c r="H43" s="26">
        <v>2.0609843379999999</v>
      </c>
      <c r="I43">
        <v>317</v>
      </c>
      <c r="J43" s="94">
        <v>-0.76998976299999999</v>
      </c>
      <c r="K43" s="26">
        <f t="shared" si="0"/>
        <v>-1.0966142860054366</v>
      </c>
      <c r="M43" s="46">
        <v>11</v>
      </c>
      <c r="N43" s="46">
        <v>0.16114197266627406</v>
      </c>
      <c r="O43" s="46">
        <v>0.89014574399401358</v>
      </c>
      <c r="P43">
        <f t="shared" si="1"/>
        <v>9.4724864172051032E-2</v>
      </c>
      <c r="W43" s="46">
        <v>5</v>
      </c>
      <c r="X43" s="46">
        <v>1.396096269148245</v>
      </c>
      <c r="Y43" s="46">
        <v>-0.46977200828451215</v>
      </c>
      <c r="Z43" s="46">
        <v>-0.97436573046792896</v>
      </c>
      <c r="AG43" s="46">
        <v>8</v>
      </c>
      <c r="AH43" s="46">
        <v>-0.55087173867810857</v>
      </c>
      <c r="AI43" s="46">
        <v>7.5039188419826153E-2</v>
      </c>
      <c r="AJ43" s="46">
        <v>0.15466706281937193</v>
      </c>
      <c r="AQ43" s="46">
        <v>8</v>
      </c>
      <c r="AR43" s="46">
        <v>-0.55087173867810857</v>
      </c>
      <c r="AS43" s="46">
        <v>7.5039188419826153E-2</v>
      </c>
      <c r="AT43" s="46">
        <v>0.15466706281937193</v>
      </c>
      <c r="BA43" s="46">
        <v>10</v>
      </c>
      <c r="BB43" s="46">
        <v>0.11209571311022809</v>
      </c>
      <c r="BC43" s="46">
        <v>9.4724864172051032E-2</v>
      </c>
      <c r="BD43" s="46">
        <v>0.10901383212616929</v>
      </c>
      <c r="BK43" s="46">
        <v>6</v>
      </c>
      <c r="BL43" s="46">
        <v>3.5098757870692276E-2</v>
      </c>
      <c r="BM43" s="46">
        <v>0.25903776350412439</v>
      </c>
      <c r="BN43" s="46">
        <v>0.54796412064329036</v>
      </c>
    </row>
    <row r="44" spans="1:66" x14ac:dyDescent="0.35">
      <c r="A44">
        <v>2013</v>
      </c>
      <c r="B44">
        <v>2013</v>
      </c>
      <c r="C44">
        <v>1.0900000000000001</v>
      </c>
      <c r="D44">
        <v>0.22</v>
      </c>
      <c r="E44">
        <v>1.0900000000000001</v>
      </c>
      <c r="F44" s="106">
        <v>1.5238343910000001</v>
      </c>
      <c r="G44" s="26">
        <v>0.34958665900000002</v>
      </c>
      <c r="H44" s="26">
        <v>1.737063217</v>
      </c>
      <c r="I44">
        <v>316</v>
      </c>
      <c r="J44" s="94">
        <v>-0.73562490899999999</v>
      </c>
      <c r="K44" s="26">
        <f t="shared" si="0"/>
        <v>-1.6003054288708278</v>
      </c>
      <c r="M44" s="46">
        <v>12</v>
      </c>
      <c r="N44" s="46">
        <v>0.1148205053077862</v>
      </c>
      <c r="O44" s="46">
        <v>0.83815433049603982</v>
      </c>
      <c r="P44">
        <f t="shared" si="1"/>
        <v>0.89014574399401358</v>
      </c>
      <c r="W44" s="46">
        <v>6</v>
      </c>
      <c r="X44" s="46">
        <v>-1.2423495720011224E-2</v>
      </c>
      <c r="Y44" s="46">
        <v>0.30656001709482789</v>
      </c>
      <c r="Z44" s="46">
        <v>0.63584370656660638</v>
      </c>
      <c r="AG44" s="46">
        <v>9</v>
      </c>
      <c r="AH44" s="46">
        <v>0.43821780992809595</v>
      </c>
      <c r="AI44" s="46">
        <v>-0.46474687170800044</v>
      </c>
      <c r="AJ44" s="46">
        <v>-0.95791325992774401</v>
      </c>
      <c r="AQ44" s="46">
        <v>9</v>
      </c>
      <c r="AR44" s="46">
        <v>0.43821780992809595</v>
      </c>
      <c r="AS44" s="46">
        <v>-0.46474687170800044</v>
      </c>
      <c r="AT44" s="46">
        <v>-0.95791325992774401</v>
      </c>
      <c r="BA44" s="46">
        <v>11</v>
      </c>
      <c r="BB44" s="46">
        <v>0.16114197266627406</v>
      </c>
      <c r="BC44" s="46">
        <v>0.89014574399401358</v>
      </c>
      <c r="BD44" s="46">
        <v>1.024421618882817</v>
      </c>
      <c r="BK44" s="46">
        <v>7</v>
      </c>
      <c r="BL44" s="46">
        <v>1.3123802684921584</v>
      </c>
      <c r="BM44" s="46">
        <v>-0.18762461984445777</v>
      </c>
      <c r="BN44" s="46">
        <v>-0.39689795971568059</v>
      </c>
    </row>
    <row r="45" spans="1:66" x14ac:dyDescent="0.35">
      <c r="A45">
        <v>2014</v>
      </c>
      <c r="B45">
        <v>2014</v>
      </c>
      <c r="C45">
        <v>1.3</v>
      </c>
      <c r="D45">
        <v>0.28599999999999998</v>
      </c>
      <c r="E45">
        <v>1.3</v>
      </c>
      <c r="F45" s="106">
        <v>1.6924607309999999</v>
      </c>
      <c r="G45" s="26">
        <v>-0.36068203500000001</v>
      </c>
      <c r="H45" s="26">
        <v>1.9340650450000001</v>
      </c>
      <c r="I45">
        <v>324</v>
      </c>
      <c r="J45" s="94">
        <v>-0.53305314000000004</v>
      </c>
      <c r="K45" s="26">
        <f t="shared" si="0"/>
        <v>-1.5141277326297757</v>
      </c>
      <c r="M45" s="46">
        <v>13</v>
      </c>
      <c r="N45" s="46">
        <v>0.24288573859301743</v>
      </c>
      <c r="O45" s="46">
        <v>0.94011875929672217</v>
      </c>
      <c r="P45">
        <f t="shared" si="1"/>
        <v>0.83815433049603982</v>
      </c>
      <c r="W45" s="46">
        <v>7</v>
      </c>
      <c r="X45" s="46">
        <v>1.3524753078524179</v>
      </c>
      <c r="Y45" s="46">
        <v>-0.22771965920471726</v>
      </c>
      <c r="Z45" s="46">
        <v>-0.47231897211834656</v>
      </c>
      <c r="AG45" s="46">
        <v>10</v>
      </c>
      <c r="AH45" s="46">
        <v>0.56655236761766292</v>
      </c>
      <c r="AI45" s="46">
        <v>-0.35973179033538383</v>
      </c>
      <c r="AJ45" s="46">
        <v>-0.74146136952658748</v>
      </c>
      <c r="AQ45" s="46">
        <v>10</v>
      </c>
      <c r="AR45" s="46">
        <v>0.56655236761766292</v>
      </c>
      <c r="AS45" s="46">
        <v>-0.35973179033538383</v>
      </c>
      <c r="AT45" s="46">
        <v>-0.74146136952658748</v>
      </c>
      <c r="BA45" s="46">
        <v>12</v>
      </c>
      <c r="BB45" s="46">
        <v>0.1148205053077862</v>
      </c>
      <c r="BC45" s="46">
        <v>0.83815433049603982</v>
      </c>
      <c r="BD45" s="46">
        <v>0.96458745313752925</v>
      </c>
      <c r="BK45" s="46">
        <v>8</v>
      </c>
      <c r="BL45" s="46">
        <v>-0.58775178262713401</v>
      </c>
      <c r="BM45" s="46">
        <v>0.1119192323688516</v>
      </c>
      <c r="BN45" s="46">
        <v>0.23675205853564046</v>
      </c>
    </row>
    <row r="46" spans="1:66" x14ac:dyDescent="0.35">
      <c r="A46">
        <v>2015</v>
      </c>
      <c r="B46">
        <v>2015</v>
      </c>
      <c r="C46">
        <v>0.85</v>
      </c>
      <c r="D46">
        <v>0.27800000000000002</v>
      </c>
      <c r="E46">
        <v>0.85</v>
      </c>
      <c r="F46" s="106">
        <v>1.8734268300000001</v>
      </c>
      <c r="G46" s="26">
        <v>-0.56341762200000001</v>
      </c>
      <c r="H46" s="26">
        <v>0.22747257000000001</v>
      </c>
      <c r="I46">
        <v>325</v>
      </c>
      <c r="J46" s="94">
        <v>-1.8570043439999999</v>
      </c>
      <c r="K46" s="26">
        <f t="shared" si="0"/>
        <v>-1.117615235793725</v>
      </c>
      <c r="M46" s="46">
        <v>14</v>
      </c>
      <c r="N46" s="46">
        <v>0.24288573859301743</v>
      </c>
      <c r="O46" s="46">
        <v>-1.9742187278807666E-2</v>
      </c>
      <c r="P46">
        <f t="shared" si="1"/>
        <v>0.94011875929672217</v>
      </c>
      <c r="W46" s="46">
        <v>8</v>
      </c>
      <c r="X46" s="46">
        <v>-0.48715726546404448</v>
      </c>
      <c r="Y46" s="46">
        <v>1.1324715205762059E-2</v>
      </c>
      <c r="Z46" s="46">
        <v>2.3488871642434562E-2</v>
      </c>
      <c r="AG46" s="46">
        <v>11</v>
      </c>
      <c r="AH46" s="46">
        <v>0.79624661391550522</v>
      </c>
      <c r="AI46" s="46">
        <v>0.25504110274478242</v>
      </c>
      <c r="AJ46" s="46">
        <v>0.52567810354045597</v>
      </c>
      <c r="AQ46" s="46">
        <v>11</v>
      </c>
      <c r="AR46" s="46">
        <v>0.79624661391550522</v>
      </c>
      <c r="AS46" s="46">
        <v>0.25504110274478242</v>
      </c>
      <c r="AT46" s="46">
        <v>0.52567810354045597</v>
      </c>
      <c r="BA46" s="46">
        <v>13</v>
      </c>
      <c r="BB46" s="46">
        <v>0.24288573859301743</v>
      </c>
      <c r="BC46" s="46">
        <v>0.94011875929672217</v>
      </c>
      <c r="BD46" s="46">
        <v>1.0819329169845813</v>
      </c>
      <c r="BK46" s="46">
        <v>9</v>
      </c>
      <c r="BL46" s="46">
        <v>0.46117514746269694</v>
      </c>
      <c r="BM46" s="46">
        <v>-0.48770420924260144</v>
      </c>
      <c r="BN46" s="46">
        <v>-1.0316812673816895</v>
      </c>
    </row>
    <row r="47" spans="1:66" x14ac:dyDescent="0.35">
      <c r="A47">
        <v>2016</v>
      </c>
      <c r="B47">
        <v>2016</v>
      </c>
      <c r="C47">
        <v>0.36</v>
      </c>
      <c r="D47">
        <v>0.20799999999999999</v>
      </c>
      <c r="E47">
        <v>0.36</v>
      </c>
      <c r="F47" s="106">
        <v>2.067883642</v>
      </c>
      <c r="G47" s="26">
        <v>1.220607091</v>
      </c>
      <c r="H47" s="26">
        <v>0.98533114700000002</v>
      </c>
      <c r="I47">
        <v>331</v>
      </c>
      <c r="J47" s="94">
        <v>-1.7982223580000001</v>
      </c>
      <c r="K47" s="26">
        <f t="shared" si="0"/>
        <v>-0.54856595174883782</v>
      </c>
      <c r="M47" s="46">
        <v>15</v>
      </c>
      <c r="N47" s="46">
        <v>0.32462950451976069</v>
      </c>
      <c r="O47" s="46">
        <v>1.011248370686114</v>
      </c>
      <c r="P47">
        <f t="shared" si="1"/>
        <v>-1.9742187278807666E-2</v>
      </c>
      <c r="T47" t="s">
        <v>138</v>
      </c>
      <c r="U47">
        <v>0.67</v>
      </c>
      <c r="W47" s="46">
        <v>9</v>
      </c>
      <c r="X47" s="46">
        <v>0.46606382309620797</v>
      </c>
      <c r="Y47" s="46">
        <v>-0.49259288487611247</v>
      </c>
      <c r="Z47" s="46">
        <v>-1.0216990745113361</v>
      </c>
      <c r="AG47" s="46">
        <v>12</v>
      </c>
      <c r="AH47" s="46">
        <v>0.69848680371844329</v>
      </c>
      <c r="AI47" s="46">
        <v>0.25448803208538273</v>
      </c>
      <c r="AJ47" s="46">
        <v>0.52453814165890766</v>
      </c>
      <c r="AQ47" s="46">
        <v>12</v>
      </c>
      <c r="AR47" s="46">
        <v>0.69848680371844329</v>
      </c>
      <c r="AS47" s="46">
        <v>0.25448803208538273</v>
      </c>
      <c r="AT47" s="46">
        <v>0.52453814165890766</v>
      </c>
      <c r="BA47" s="46">
        <v>14</v>
      </c>
      <c r="BB47" s="46">
        <v>0.24288573859301743</v>
      </c>
      <c r="BC47" s="46">
        <v>-1.9742187278807666E-2</v>
      </c>
      <c r="BD47" s="46">
        <v>-2.2720238330522103E-2</v>
      </c>
      <c r="BK47" s="46">
        <v>10</v>
      </c>
      <c r="BL47" s="46">
        <v>0.4252713417845142</v>
      </c>
      <c r="BM47" s="46">
        <v>-0.21845076450223508</v>
      </c>
      <c r="BN47" s="46">
        <v>-0.46210706676525121</v>
      </c>
    </row>
    <row r="48" spans="1:66" x14ac:dyDescent="0.35">
      <c r="A48">
        <v>2017</v>
      </c>
      <c r="B48">
        <v>2017</v>
      </c>
      <c r="C48">
        <v>0.24</v>
      </c>
      <c r="D48">
        <v>0.154</v>
      </c>
      <c r="E48">
        <v>0.24</v>
      </c>
      <c r="F48" s="106">
        <v>2.2771025479999998</v>
      </c>
      <c r="G48" s="26">
        <v>-0.81960667799999998</v>
      </c>
      <c r="H48" s="26">
        <v>2.2785281519999998</v>
      </c>
      <c r="I48">
        <v>337</v>
      </c>
      <c r="J48" s="94">
        <v>-1.3487662460000001</v>
      </c>
      <c r="K48" s="26">
        <f t="shared" si="0"/>
        <v>-0.44368632092836208</v>
      </c>
      <c r="M48" s="46">
        <v>16</v>
      </c>
      <c r="N48" s="46">
        <v>-0.23667768817721002</v>
      </c>
      <c r="O48" s="46">
        <v>-5.2356649524584575E-2</v>
      </c>
      <c r="P48">
        <f t="shared" si="1"/>
        <v>1.011248370686114</v>
      </c>
      <c r="W48" s="46">
        <v>10</v>
      </c>
      <c r="X48" s="46">
        <v>0.55460075753529026</v>
      </c>
      <c r="Y48" s="46">
        <v>-0.34778018025301116</v>
      </c>
      <c r="Z48" s="46">
        <v>-0.72133946552486661</v>
      </c>
      <c r="AG48" s="46">
        <v>13</v>
      </c>
      <c r="AH48" s="46">
        <v>0.97912209611507217</v>
      </c>
      <c r="AI48" s="46">
        <v>0.20388240177466743</v>
      </c>
      <c r="AJ48" s="46">
        <v>0.42023232003286598</v>
      </c>
      <c r="AQ48" s="46">
        <v>13</v>
      </c>
      <c r="AR48" s="46">
        <v>0.97912209611507217</v>
      </c>
      <c r="AS48" s="46">
        <v>0.20388240177466743</v>
      </c>
      <c r="AT48" s="46">
        <v>0.42023232003286598</v>
      </c>
      <c r="BA48" s="46">
        <v>15</v>
      </c>
      <c r="BB48" s="46">
        <v>0.32462950451976069</v>
      </c>
      <c r="BC48" s="46">
        <v>1.011248370686114</v>
      </c>
      <c r="BD48" s="46">
        <v>1.1637922216452756</v>
      </c>
      <c r="BK48" s="46">
        <v>11</v>
      </c>
      <c r="BL48" s="46">
        <v>0.64381348306290342</v>
      </c>
      <c r="BM48" s="46">
        <v>0.40747423359738422</v>
      </c>
      <c r="BN48" s="46">
        <v>0.86196412861800464</v>
      </c>
    </row>
    <row r="49" spans="1:66" x14ac:dyDescent="0.35">
      <c r="A49">
        <v>2018</v>
      </c>
      <c r="B49">
        <v>2018</v>
      </c>
      <c r="C49">
        <v>0.15</v>
      </c>
      <c r="D49">
        <v>0.377</v>
      </c>
      <c r="E49">
        <v>0.15</v>
      </c>
      <c r="F49" s="106">
        <v>2.5024884869999999</v>
      </c>
      <c r="G49" s="26">
        <v>1.1112683290000001</v>
      </c>
      <c r="H49" s="26">
        <v>1.46155122</v>
      </c>
      <c r="I49">
        <v>329</v>
      </c>
      <c r="J49" s="94">
        <v>-0.78807652800000005</v>
      </c>
      <c r="K49" s="26">
        <f t="shared" si="0"/>
        <v>0.92160989335175514</v>
      </c>
      <c r="M49" s="46">
        <v>17</v>
      </c>
      <c r="N49" s="46">
        <v>-0.15493392225046676</v>
      </c>
      <c r="O49" s="46">
        <v>0.37385805802196825</v>
      </c>
      <c r="P49">
        <f t="shared" si="1"/>
        <v>-5.2356649524584575E-2</v>
      </c>
      <c r="W49" s="46">
        <v>11</v>
      </c>
      <c r="X49" s="46">
        <v>0.78138197558328915</v>
      </c>
      <c r="Y49" s="46">
        <v>0.2699057410769985</v>
      </c>
      <c r="Z49" s="46">
        <v>0.55981816694940723</v>
      </c>
      <c r="AG49" s="46">
        <v>14</v>
      </c>
      <c r="AH49" s="46">
        <v>0.83167805046425591</v>
      </c>
      <c r="AI49" s="46">
        <v>-0.60853449915004609</v>
      </c>
      <c r="AJ49" s="46">
        <v>-1.2542812041251721</v>
      </c>
      <c r="AQ49" s="46">
        <v>14</v>
      </c>
      <c r="AR49" s="46">
        <v>0.83167805046425591</v>
      </c>
      <c r="AS49" s="46">
        <v>-0.60853449915004609</v>
      </c>
      <c r="AT49" s="46">
        <v>-1.2542812041251721</v>
      </c>
      <c r="BA49" s="46">
        <v>16</v>
      </c>
      <c r="BB49" s="46">
        <v>-0.23667768817721002</v>
      </c>
      <c r="BC49" s="46">
        <v>-5.2356649524584575E-2</v>
      </c>
      <c r="BD49" s="46">
        <v>-6.0254496555359485E-2</v>
      </c>
      <c r="BK49" s="46">
        <v>12</v>
      </c>
      <c r="BL49" s="46">
        <v>0.75597667607077457</v>
      </c>
      <c r="BM49" s="46">
        <v>0.19699815973305146</v>
      </c>
      <c r="BN49" s="46">
        <v>0.41672658807042728</v>
      </c>
    </row>
    <row r="50" spans="1:66" x14ac:dyDescent="0.35">
      <c r="I50">
        <v>333</v>
      </c>
      <c r="M50" s="46">
        <v>18</v>
      </c>
      <c r="N50" s="46">
        <v>-0.13586037686755992</v>
      </c>
      <c r="O50" s="46">
        <v>-0.40833438807304911</v>
      </c>
      <c r="P50">
        <f t="shared" si="1"/>
        <v>0.37385805802196825</v>
      </c>
      <c r="W50" s="46">
        <v>12</v>
      </c>
      <c r="X50" s="46">
        <v>0.67930083959688425</v>
      </c>
      <c r="Y50" s="46">
        <v>0.27367399620694177</v>
      </c>
      <c r="Z50" s="46">
        <v>0.56763399802815684</v>
      </c>
      <c r="AG50" s="46">
        <v>15</v>
      </c>
      <c r="AH50" s="46">
        <v>1.1022834578520619</v>
      </c>
      <c r="AI50" s="46">
        <v>0.2335944173538127</v>
      </c>
      <c r="AJ50" s="46">
        <v>0.48147325662667978</v>
      </c>
      <c r="AQ50" s="46">
        <v>15</v>
      </c>
      <c r="AR50" s="46">
        <v>1.1022834578520619</v>
      </c>
      <c r="AS50" s="46">
        <v>0.2335944173538127</v>
      </c>
      <c r="AT50" s="46">
        <v>0.48147325662667978</v>
      </c>
      <c r="BA50" s="46">
        <v>17</v>
      </c>
      <c r="BB50" s="46">
        <v>-0.15493392225046676</v>
      </c>
      <c r="BC50" s="46">
        <v>0.37385805802196825</v>
      </c>
      <c r="BD50" s="46">
        <v>0.43025344963490214</v>
      </c>
      <c r="BK50" s="46">
        <v>13</v>
      </c>
      <c r="BL50" s="46">
        <v>0.98080832079937896</v>
      </c>
      <c r="BM50" s="46">
        <v>0.20219617709036064</v>
      </c>
      <c r="BN50" s="46">
        <v>0.42772238641178045</v>
      </c>
    </row>
    <row r="51" spans="1:66" x14ac:dyDescent="0.35">
      <c r="I51">
        <v>338</v>
      </c>
      <c r="M51" s="46">
        <v>19</v>
      </c>
      <c r="N51" s="46">
        <v>0.2919319981490634</v>
      </c>
      <c r="O51" s="46">
        <v>0.49205907520176578</v>
      </c>
      <c r="P51">
        <f t="shared" si="1"/>
        <v>-0.40833438807304911</v>
      </c>
      <c r="W51" s="46">
        <v>13</v>
      </c>
      <c r="X51" s="46">
        <v>0.92391657979751962</v>
      </c>
      <c r="Y51" s="46">
        <v>0.25908791809221998</v>
      </c>
      <c r="Z51" s="46">
        <v>0.53738065298784154</v>
      </c>
      <c r="AG51" s="46">
        <v>16</v>
      </c>
      <c r="AH51" s="46">
        <v>-0.50631626620816261</v>
      </c>
      <c r="AI51" s="46">
        <v>0.21728192850636802</v>
      </c>
      <c r="AJ51" s="46">
        <v>0.44785076162856718</v>
      </c>
      <c r="AQ51" s="46">
        <v>16</v>
      </c>
      <c r="AR51" s="46">
        <v>-0.50631626620816261</v>
      </c>
      <c r="AS51" s="46">
        <v>0.21728192850636802</v>
      </c>
      <c r="AT51" s="46">
        <v>0.44785076162856718</v>
      </c>
      <c r="BA51" s="46">
        <v>18</v>
      </c>
      <c r="BB51" s="46">
        <v>-0.13586037686755992</v>
      </c>
      <c r="BC51" s="46">
        <v>-0.40833438807304911</v>
      </c>
      <c r="BD51" s="46">
        <v>-0.4699304329630436</v>
      </c>
      <c r="BK51" s="46">
        <v>14</v>
      </c>
      <c r="BL51" s="46">
        <v>0.84178123882489742</v>
      </c>
      <c r="BM51" s="46">
        <v>-0.61863768751068759</v>
      </c>
      <c r="BN51" s="46">
        <v>-1.3086557413401818</v>
      </c>
    </row>
    <row r="52" spans="1:66" x14ac:dyDescent="0.35">
      <c r="I52">
        <v>350</v>
      </c>
      <c r="M52" s="46">
        <v>20</v>
      </c>
      <c r="N52" s="46">
        <v>-0.24757685696744258</v>
      </c>
      <c r="O52" s="46">
        <v>0.35702899052852238</v>
      </c>
      <c r="P52">
        <f t="shared" si="1"/>
        <v>0.49205907520176578</v>
      </c>
      <c r="W52" s="46">
        <v>14</v>
      </c>
      <c r="X52" s="46">
        <v>0.74983198002385543</v>
      </c>
      <c r="Y52" s="46">
        <v>-0.52668842870964561</v>
      </c>
      <c r="Z52" s="46">
        <v>-1.0924174844787122</v>
      </c>
      <c r="AG52" s="46">
        <v>17</v>
      </c>
      <c r="AH52" s="46">
        <v>-0.33054740809414951</v>
      </c>
      <c r="AI52" s="46">
        <v>0.549471543865651</v>
      </c>
      <c r="AJ52" s="46">
        <v>1.1325435626656104</v>
      </c>
      <c r="AQ52" s="46">
        <v>17</v>
      </c>
      <c r="AR52" s="46">
        <v>-0.33054740809414951</v>
      </c>
      <c r="AS52" s="46">
        <v>0.549471543865651</v>
      </c>
      <c r="AT52" s="46">
        <v>1.1325435626656104</v>
      </c>
      <c r="BA52" s="46">
        <v>19</v>
      </c>
      <c r="BB52" s="46">
        <v>0.2919319981490634</v>
      </c>
      <c r="BC52" s="46">
        <v>0.49205907520176578</v>
      </c>
      <c r="BD52" s="46">
        <v>0.56628474359988024</v>
      </c>
      <c r="BK52" s="46">
        <v>15</v>
      </c>
      <c r="BL52" s="46">
        <v>0.94718028914796404</v>
      </c>
      <c r="BM52" s="46">
        <v>0.3886975860579106</v>
      </c>
      <c r="BN52" s="46">
        <v>0.82224432476232923</v>
      </c>
    </row>
    <row r="53" spans="1:66" x14ac:dyDescent="0.35">
      <c r="I53">
        <v>354</v>
      </c>
      <c r="M53" s="46">
        <v>21</v>
      </c>
      <c r="N53" s="46">
        <v>0.16931634925894845</v>
      </c>
      <c r="O53" s="46">
        <v>2.7078054476988606E-2</v>
      </c>
      <c r="P53">
        <f t="shared" si="1"/>
        <v>0.35702899052852238</v>
      </c>
      <c r="W53" s="46">
        <v>15</v>
      </c>
      <c r="X53" s="46">
        <v>1.0162469587428191</v>
      </c>
      <c r="Y53" s="46">
        <v>0.31963091646305553</v>
      </c>
      <c r="Z53" s="46">
        <v>0.66295438192869105</v>
      </c>
      <c r="AG53" s="46">
        <v>18</v>
      </c>
      <c r="AH53" s="46">
        <v>-0.55297227310693264</v>
      </c>
      <c r="AI53" s="46">
        <v>8.777508166323611E-3</v>
      </c>
      <c r="AJ53" s="46">
        <v>1.8091765590039804E-2</v>
      </c>
      <c r="AQ53" s="46">
        <v>18</v>
      </c>
      <c r="AR53" s="46">
        <v>-0.55297227310693264</v>
      </c>
      <c r="AS53" s="46">
        <v>8.777508166323611E-3</v>
      </c>
      <c r="AT53" s="46">
        <v>1.8091765590039804E-2</v>
      </c>
      <c r="BA53" s="46">
        <v>20</v>
      </c>
      <c r="BB53" s="46">
        <v>-0.24757685696744258</v>
      </c>
      <c r="BC53" s="46">
        <v>0.35702899052852238</v>
      </c>
      <c r="BD53" s="46">
        <v>0.41088576666585347</v>
      </c>
      <c r="BK53" s="46">
        <v>16</v>
      </c>
      <c r="BL53" s="46">
        <v>-0.51175718534233527</v>
      </c>
      <c r="BM53" s="46">
        <v>0.22272284764054068</v>
      </c>
      <c r="BN53" s="46">
        <v>0.47114415945988214</v>
      </c>
    </row>
    <row r="54" spans="1:66" x14ac:dyDescent="0.35">
      <c r="M54" s="46">
        <v>22</v>
      </c>
      <c r="N54" s="46">
        <v>-0.11678683148465319</v>
      </c>
      <c r="O54" s="46">
        <v>-0.41542998226265504</v>
      </c>
      <c r="P54">
        <f t="shared" si="1"/>
        <v>2.7078054476988606E-2</v>
      </c>
      <c r="W54" s="46">
        <v>16</v>
      </c>
      <c r="X54" s="46">
        <v>-0.57970295488164281</v>
      </c>
      <c r="Y54" s="46">
        <v>0.29066861717984821</v>
      </c>
      <c r="Z54" s="46">
        <v>0.60288296132582264</v>
      </c>
      <c r="AG54" s="46">
        <v>19</v>
      </c>
      <c r="AH54" s="46">
        <v>0.95467916622338533</v>
      </c>
      <c r="AI54" s="46">
        <v>-0.17068809287255615</v>
      </c>
      <c r="AJ54" s="46">
        <v>-0.35181385271836596</v>
      </c>
      <c r="AQ54" s="46">
        <v>19</v>
      </c>
      <c r="AR54" s="46">
        <v>0.95467916622338533</v>
      </c>
      <c r="AS54" s="46">
        <v>-0.17068809287255615</v>
      </c>
      <c r="AT54" s="46">
        <v>-0.35181385271836596</v>
      </c>
      <c r="BA54" s="46">
        <v>21</v>
      </c>
      <c r="BB54" s="46">
        <v>0.16931634925894845</v>
      </c>
      <c r="BC54" s="46">
        <v>2.7078054476988606E-2</v>
      </c>
      <c r="BD54" s="46">
        <v>3.1162699581137727E-2</v>
      </c>
      <c r="BK54" s="46">
        <v>17</v>
      </c>
      <c r="BL54" s="46">
        <v>-0.48528363977937322</v>
      </c>
      <c r="BM54" s="46">
        <v>0.70420777555087466</v>
      </c>
      <c r="BN54" s="46">
        <v>1.4896692638938673</v>
      </c>
    </row>
    <row r="55" spans="1:66" x14ac:dyDescent="0.35">
      <c r="M55" s="46">
        <v>23</v>
      </c>
      <c r="N55" s="46">
        <v>0.16114197266627406</v>
      </c>
      <c r="O55" s="46">
        <v>0.65981191238132753</v>
      </c>
      <c r="P55">
        <f t="shared" si="1"/>
        <v>-0.41542998226265504</v>
      </c>
      <c r="W55" s="46">
        <v>17</v>
      </c>
      <c r="X55" s="46">
        <v>-0.41656185710547311</v>
      </c>
      <c r="Y55" s="46">
        <v>0.6354859928769746</v>
      </c>
      <c r="Z55" s="46">
        <v>1.3180772007103103</v>
      </c>
      <c r="AG55" s="46">
        <v>20</v>
      </c>
      <c r="AH55" s="46">
        <v>-0.53443526041021649</v>
      </c>
      <c r="AI55" s="46">
        <v>0.64388739397129624</v>
      </c>
      <c r="AJ55" s="46">
        <v>1.3271488419462689</v>
      </c>
      <c r="AQ55" s="46">
        <v>20</v>
      </c>
      <c r="AR55" s="46">
        <v>-0.53443526041021649</v>
      </c>
      <c r="AS55" s="46">
        <v>0.64388739397129624</v>
      </c>
      <c r="AT55" s="46">
        <v>1.3271488419462689</v>
      </c>
      <c r="BA55" s="46">
        <v>22</v>
      </c>
      <c r="BB55" s="46">
        <v>-0.11678683148465319</v>
      </c>
      <c r="BC55" s="46">
        <v>-0.41542998226265504</v>
      </c>
      <c r="BD55" s="46">
        <v>-0.47809637672640615</v>
      </c>
      <c r="BK55" s="46">
        <v>18</v>
      </c>
      <c r="BL55" s="46">
        <v>-0.60244447344067142</v>
      </c>
      <c r="BM55" s="46">
        <v>5.8249708500062392E-2</v>
      </c>
      <c r="BN55" s="46">
        <v>0.12322045196879751</v>
      </c>
    </row>
    <row r="56" spans="1:66" x14ac:dyDescent="0.35">
      <c r="M56" s="46">
        <v>24</v>
      </c>
      <c r="N56" s="46">
        <v>7.6673414541972629E-2</v>
      </c>
      <c r="O56" s="46">
        <v>-0.1512064664045395</v>
      </c>
      <c r="P56">
        <f t="shared" si="1"/>
        <v>0.65981191238132753</v>
      </c>
      <c r="W56" s="46">
        <v>18</v>
      </c>
      <c r="X56" s="46">
        <v>-0.64194663126643048</v>
      </c>
      <c r="Y56" s="46">
        <v>9.7751866325821446E-2</v>
      </c>
      <c r="Z56" s="46">
        <v>0.20274956139889383</v>
      </c>
      <c r="AG56" s="46">
        <v>21</v>
      </c>
      <c r="AH56" s="46">
        <v>0.3841705914605823</v>
      </c>
      <c r="AI56" s="46">
        <v>-0.18777618772464524</v>
      </c>
      <c r="AJ56" s="46">
        <v>-0.38703498844233858</v>
      </c>
      <c r="AQ56" s="46">
        <v>21</v>
      </c>
      <c r="AR56" s="46">
        <v>0.3841705914605823</v>
      </c>
      <c r="AS56" s="46">
        <v>-0.18777618772464524</v>
      </c>
      <c r="AT56" s="46">
        <v>-0.38703498844233858</v>
      </c>
      <c r="BA56" s="46">
        <v>23</v>
      </c>
      <c r="BB56" s="46">
        <v>0.16114197266627406</v>
      </c>
      <c r="BC56" s="46">
        <v>0.65981191238132753</v>
      </c>
      <c r="BD56" s="46">
        <v>0.75934260428749811</v>
      </c>
      <c r="BK56" s="46">
        <v>19</v>
      </c>
      <c r="BL56" s="46">
        <v>0.85255617957333596</v>
      </c>
      <c r="BM56" s="46">
        <v>-6.8565106222506778E-2</v>
      </c>
      <c r="BN56" s="46">
        <v>-0.14504147051683264</v>
      </c>
    </row>
    <row r="57" spans="1:66" x14ac:dyDescent="0.35">
      <c r="M57" s="46">
        <v>25</v>
      </c>
      <c r="N57" s="46">
        <v>-0.29117353212837238</v>
      </c>
      <c r="O57" s="46">
        <v>-0.85740049280777542</v>
      </c>
      <c r="P57">
        <f t="shared" si="1"/>
        <v>-0.1512064664045395</v>
      </c>
      <c r="W57" s="46">
        <v>19</v>
      </c>
      <c r="X57" s="46">
        <v>0.86184971731046844</v>
      </c>
      <c r="Y57" s="46">
        <v>-7.7858643959639262E-2</v>
      </c>
      <c r="Z57" s="46">
        <v>-0.16148853732687893</v>
      </c>
      <c r="AG57" s="46">
        <v>22</v>
      </c>
      <c r="AH57" s="46">
        <v>-0.31968813363351556</v>
      </c>
      <c r="AI57" s="46">
        <v>-0.21252868011379267</v>
      </c>
      <c r="AJ57" s="46">
        <v>-0.43805360119530895</v>
      </c>
      <c r="AQ57" s="46">
        <v>22</v>
      </c>
      <c r="AR57" s="46">
        <v>-0.31968813363351556</v>
      </c>
      <c r="AS57" s="46">
        <v>-0.21252868011379267</v>
      </c>
      <c r="AT57" s="46">
        <v>-0.43805360119530895</v>
      </c>
      <c r="BA57" s="46">
        <v>24</v>
      </c>
      <c r="BB57" s="46">
        <v>7.6673414541972629E-2</v>
      </c>
      <c r="BC57" s="46">
        <v>-0.1512064664045395</v>
      </c>
      <c r="BD57" s="46">
        <v>-0.1740155184078826</v>
      </c>
      <c r="BK57" s="46">
        <v>20</v>
      </c>
      <c r="BL57" s="46">
        <v>-0.44342179763548695</v>
      </c>
      <c r="BM57" s="46">
        <v>0.55287393119656669</v>
      </c>
      <c r="BN57" s="46">
        <v>1.1695401992223504</v>
      </c>
    </row>
    <row r="58" spans="1:66" x14ac:dyDescent="0.35">
      <c r="M58" s="46">
        <v>26</v>
      </c>
      <c r="N58" s="46">
        <v>0.16659155706139034</v>
      </c>
      <c r="O58" s="46">
        <v>-0.29243060406275739</v>
      </c>
      <c r="P58">
        <f t="shared" si="1"/>
        <v>-0.85740049280777542</v>
      </c>
      <c r="W58" s="46">
        <v>20</v>
      </c>
      <c r="X58" s="46">
        <v>-0.58904663592447215</v>
      </c>
      <c r="Y58" s="46">
        <v>0.6984987694855519</v>
      </c>
      <c r="Z58" s="46">
        <v>1.4487735577223784</v>
      </c>
      <c r="AG58" s="46">
        <v>23</v>
      </c>
      <c r="AH58" s="46">
        <v>0.23501546287001723</v>
      </c>
      <c r="AI58" s="46">
        <v>0.58593842217758429</v>
      </c>
      <c r="AJ58" s="46">
        <v>1.2077072881465214</v>
      </c>
      <c r="AQ58" s="46">
        <v>23</v>
      </c>
      <c r="AR58" s="46">
        <v>0.23501546287001723</v>
      </c>
      <c r="AS58" s="46">
        <v>0.58593842217758429</v>
      </c>
      <c r="AT58" s="46">
        <v>1.2077072881465214</v>
      </c>
      <c r="BA58" s="46">
        <v>25</v>
      </c>
      <c r="BB58" s="46">
        <v>-0.29117353212837238</v>
      </c>
      <c r="BC58" s="46">
        <v>-0.85740049280777542</v>
      </c>
      <c r="BD58" s="46">
        <v>-0.98673684258942362</v>
      </c>
      <c r="BK58" s="46">
        <v>21</v>
      </c>
      <c r="BL58" s="46">
        <v>0.21984964055825862</v>
      </c>
      <c r="BM58" s="46">
        <v>-2.3455236822321562E-2</v>
      </c>
      <c r="BN58" s="46">
        <v>-4.9616812799647726E-2</v>
      </c>
    </row>
    <row r="59" spans="1:66" x14ac:dyDescent="0.35">
      <c r="M59" s="46">
        <v>27</v>
      </c>
      <c r="N59" s="46">
        <v>0.31100554353197019</v>
      </c>
      <c r="O59" s="46">
        <v>-0.38187988311862719</v>
      </c>
      <c r="P59">
        <f t="shared" si="1"/>
        <v>-0.29243060406275739</v>
      </c>
      <c r="W59" s="46">
        <v>21</v>
      </c>
      <c r="X59" s="46">
        <v>0.32174051272451676</v>
      </c>
      <c r="Y59" s="46">
        <v>-0.1253461089885797</v>
      </c>
      <c r="Z59" s="46">
        <v>-0.25998346196055522</v>
      </c>
      <c r="AG59" s="46">
        <v>24</v>
      </c>
      <c r="AH59" s="46">
        <v>-1.9504100898338053E-2</v>
      </c>
      <c r="AI59" s="46">
        <v>-5.5028950964228815E-2</v>
      </c>
      <c r="AJ59" s="46">
        <v>-0.1134229513257872</v>
      </c>
      <c r="AQ59" s="46">
        <v>24</v>
      </c>
      <c r="AR59" s="46">
        <v>-1.9504100898338053E-2</v>
      </c>
      <c r="AS59" s="46">
        <v>-5.5028950964228815E-2</v>
      </c>
      <c r="AT59" s="46">
        <v>-0.1134229513257872</v>
      </c>
      <c r="BA59" s="46">
        <v>26</v>
      </c>
      <c r="BB59" s="46">
        <v>0.16659155706139034</v>
      </c>
      <c r="BC59" s="46">
        <v>-0.29243060406275739</v>
      </c>
      <c r="BD59" s="46">
        <v>-0.33654290305393481</v>
      </c>
      <c r="BK59" s="46">
        <v>22</v>
      </c>
      <c r="BL59" s="46">
        <v>-0.22891301495588534</v>
      </c>
      <c r="BM59" s="46">
        <v>-0.30330379879142289</v>
      </c>
      <c r="BN59" s="46">
        <v>-0.64160374589500846</v>
      </c>
    </row>
    <row r="60" spans="1:66" x14ac:dyDescent="0.35">
      <c r="M60" s="46">
        <v>28</v>
      </c>
      <c r="N60" s="46">
        <v>-9.4988493904188287E-2</v>
      </c>
      <c r="O60" s="46">
        <v>-1.1144637761863732</v>
      </c>
      <c r="P60">
        <f t="shared" si="1"/>
        <v>-0.38187988311862719</v>
      </c>
      <c r="W60" s="46">
        <v>22</v>
      </c>
      <c r="X60" s="46">
        <v>-0.33958224664163827</v>
      </c>
      <c r="Y60" s="46">
        <v>-0.19263456710566995</v>
      </c>
      <c r="Z60" s="46">
        <v>-0.39954811564169035</v>
      </c>
      <c r="AG60" s="46">
        <v>25</v>
      </c>
      <c r="AH60" s="46">
        <v>-1.3845828865990113</v>
      </c>
      <c r="AI60" s="46">
        <v>0.2360088616628635</v>
      </c>
      <c r="AJ60" s="46">
        <v>0.48644978978869313</v>
      </c>
      <c r="AQ60" s="46">
        <v>25</v>
      </c>
      <c r="AR60" s="46">
        <v>-1.3845828865990113</v>
      </c>
      <c r="AS60" s="46">
        <v>0.2360088616628635</v>
      </c>
      <c r="AT60" s="46">
        <v>0.48644978978869313</v>
      </c>
      <c r="BA60" s="46">
        <v>27</v>
      </c>
      <c r="BB60" s="46">
        <v>0.31100554353197019</v>
      </c>
      <c r="BC60" s="46">
        <v>-0.38187988311862719</v>
      </c>
      <c r="BD60" s="46">
        <v>-0.43948534352122448</v>
      </c>
      <c r="BK60" s="46">
        <v>23</v>
      </c>
      <c r="BL60" s="46">
        <v>0.30303212779414579</v>
      </c>
      <c r="BM60" s="46">
        <v>0.51792175725345579</v>
      </c>
      <c r="BN60" s="46">
        <v>1.0956029593380077</v>
      </c>
    </row>
    <row r="61" spans="1:66" x14ac:dyDescent="0.35">
      <c r="M61" s="46">
        <v>29</v>
      </c>
      <c r="N61" s="46">
        <v>0.11754529750534431</v>
      </c>
      <c r="O61" s="46">
        <v>-0.92682025790773137</v>
      </c>
      <c r="P61">
        <f t="shared" si="1"/>
        <v>-1.1144637761863732</v>
      </c>
      <c r="W61" s="46">
        <v>23</v>
      </c>
      <c r="X61" s="46">
        <v>0.22699168437370731</v>
      </c>
      <c r="Y61" s="46">
        <v>0.59396220067389427</v>
      </c>
      <c r="Z61" s="46">
        <v>1.2319516772473433</v>
      </c>
      <c r="AG61" s="46">
        <v>26</v>
      </c>
      <c r="AH61" s="46">
        <v>-4.2618065339515482E-2</v>
      </c>
      <c r="AI61" s="46">
        <v>-8.3220981661851573E-2</v>
      </c>
      <c r="AJ61" s="46">
        <v>-0.17153097027875899</v>
      </c>
      <c r="AQ61" s="46">
        <v>26</v>
      </c>
      <c r="AR61" s="46">
        <v>-4.2618065339515482E-2</v>
      </c>
      <c r="AS61" s="46">
        <v>-8.3220981661851573E-2</v>
      </c>
      <c r="AT61" s="46">
        <v>-0.17153097027875899</v>
      </c>
      <c r="BA61" s="46">
        <v>28</v>
      </c>
      <c r="BB61" s="46">
        <v>-9.4988493904188287E-2</v>
      </c>
      <c r="BC61" s="46">
        <v>-1.1144637761863732</v>
      </c>
      <c r="BD61" s="46">
        <v>-1.2825773683582087</v>
      </c>
      <c r="BK61" s="46">
        <v>24</v>
      </c>
      <c r="BL61" s="46">
        <v>1.4624467661093821E-2</v>
      </c>
      <c r="BM61" s="46">
        <v>-8.9157519523660689E-2</v>
      </c>
      <c r="BN61" s="46">
        <v>-0.18860231467270933</v>
      </c>
    </row>
    <row r="62" spans="1:66" x14ac:dyDescent="0.35">
      <c r="M62" s="46">
        <v>30</v>
      </c>
      <c r="N62" s="46">
        <v>0.36822617968069049</v>
      </c>
      <c r="O62" s="46">
        <v>0.22031095429980274</v>
      </c>
      <c r="P62">
        <f t="shared" si="1"/>
        <v>-0.92682025790773137</v>
      </c>
      <c r="W62" s="46">
        <v>24</v>
      </c>
      <c r="X62" s="46">
        <v>3.2534150363174419E-2</v>
      </c>
      <c r="Y62" s="46">
        <v>-0.10706720222574129</v>
      </c>
      <c r="Z62" s="46">
        <v>-0.22207072977123843</v>
      </c>
      <c r="AG62" s="46">
        <v>27</v>
      </c>
      <c r="AH62" s="46">
        <v>0.61186591970872695</v>
      </c>
      <c r="AI62" s="46">
        <v>-0.68274025929538396</v>
      </c>
      <c r="AJ62" s="46">
        <v>-1.4072304458166749</v>
      </c>
      <c r="AQ62" s="46">
        <v>27</v>
      </c>
      <c r="AR62" s="46">
        <v>0.61186591970872695</v>
      </c>
      <c r="AS62" s="46">
        <v>-0.68274025929538396</v>
      </c>
      <c r="AT62" s="46">
        <v>-1.4072304458166749</v>
      </c>
      <c r="BA62" s="46">
        <v>29</v>
      </c>
      <c r="BB62" s="46">
        <v>0.11754529750534431</v>
      </c>
      <c r="BC62" s="46">
        <v>-0.92682025790773137</v>
      </c>
      <c r="BD62" s="46">
        <v>-1.0666283756625066</v>
      </c>
      <c r="BK62" s="46">
        <v>25</v>
      </c>
      <c r="BL62" s="46">
        <v>-1.3181375449857793</v>
      </c>
      <c r="BM62" s="46">
        <v>0.16956352004963149</v>
      </c>
      <c r="BN62" s="46">
        <v>0.35869181350346963</v>
      </c>
    </row>
    <row r="63" spans="1:66" x14ac:dyDescent="0.35">
      <c r="M63" s="46">
        <v>31</v>
      </c>
      <c r="N63" s="46">
        <v>0.25378490738324988</v>
      </c>
      <c r="O63" s="46">
        <v>-0.23923608422338349</v>
      </c>
      <c r="P63">
        <f t="shared" si="1"/>
        <v>0.22031095429980274</v>
      </c>
      <c r="W63" s="46">
        <v>25</v>
      </c>
      <c r="X63" s="46">
        <v>-1.3070244257349957</v>
      </c>
      <c r="Y63" s="46">
        <v>0.15845040079884787</v>
      </c>
      <c r="Z63" s="46">
        <v>0.32864589161260066</v>
      </c>
      <c r="AG63" s="46">
        <v>28</v>
      </c>
      <c r="AH63" s="46">
        <v>-0.68189316992389981</v>
      </c>
      <c r="AI63" s="46">
        <v>-0.52755910016666163</v>
      </c>
      <c r="AJ63" s="46">
        <v>-1.0873787177694187</v>
      </c>
      <c r="AQ63" s="46">
        <v>28</v>
      </c>
      <c r="AR63" s="46">
        <v>-0.68189316992389981</v>
      </c>
      <c r="AS63" s="46">
        <v>-0.52755910016666163</v>
      </c>
      <c r="AT63" s="46">
        <v>-1.0873787177694187</v>
      </c>
      <c r="BA63" s="46">
        <v>30</v>
      </c>
      <c r="BB63" s="46">
        <v>0.36822617968069049</v>
      </c>
      <c r="BC63" s="46">
        <v>0.22031095429980274</v>
      </c>
      <c r="BD63" s="46">
        <v>0.25354421563458046</v>
      </c>
      <c r="BK63" s="46">
        <v>26</v>
      </c>
      <c r="BL63" s="46">
        <v>-0.10085617282879211</v>
      </c>
      <c r="BM63" s="46">
        <v>-2.4982874172574943E-2</v>
      </c>
      <c r="BN63" s="46">
        <v>-5.2848351112709607E-2</v>
      </c>
    </row>
    <row r="64" spans="1:66" x14ac:dyDescent="0.35">
      <c r="M64" s="46">
        <v>32</v>
      </c>
      <c r="N64" s="46">
        <v>0.38185014066848111</v>
      </c>
      <c r="O64" s="46">
        <v>0.57811069990849717</v>
      </c>
      <c r="P64">
        <f t="shared" si="1"/>
        <v>-0.23923608422338349</v>
      </c>
      <c r="W64" s="46">
        <v>26</v>
      </c>
      <c r="X64" s="46">
        <v>2.0693595740558068E-2</v>
      </c>
      <c r="Y64" s="46">
        <v>-0.14653264274192512</v>
      </c>
      <c r="Z64" s="46">
        <v>-0.30392697513846123</v>
      </c>
      <c r="AG64" s="46">
        <v>29</v>
      </c>
      <c r="AH64" s="46">
        <v>1.4735933603229723E-2</v>
      </c>
      <c r="AI64" s="46">
        <v>-0.82401089400561678</v>
      </c>
      <c r="AJ64" s="46">
        <v>-1.6984104891163856</v>
      </c>
      <c r="AQ64" s="46">
        <v>29</v>
      </c>
      <c r="AR64" s="46">
        <v>1.4735933603229723E-2</v>
      </c>
      <c r="AS64" s="46">
        <v>-0.82401089400561678</v>
      </c>
      <c r="AT64" s="46">
        <v>-1.6984104891163856</v>
      </c>
      <c r="BA64" s="46">
        <v>31</v>
      </c>
      <c r="BB64" s="46">
        <v>0.25378490738324988</v>
      </c>
      <c r="BC64" s="46">
        <v>-0.23923608422338349</v>
      </c>
      <c r="BD64" s="46">
        <v>-0.27532414590408094</v>
      </c>
      <c r="BK64" s="46">
        <v>27</v>
      </c>
      <c r="BL64" s="46">
        <v>0.49556087219458678</v>
      </c>
      <c r="BM64" s="46">
        <v>-0.56643521178124379</v>
      </c>
      <c r="BN64" s="46">
        <v>-1.1982275036904542</v>
      </c>
    </row>
    <row r="65" spans="13:66" x14ac:dyDescent="0.35">
      <c r="M65" s="46">
        <v>33</v>
      </c>
      <c r="N65" s="46">
        <v>0.40909806264406218</v>
      </c>
      <c r="O65" s="46">
        <v>0.14906388447313251</v>
      </c>
      <c r="P65">
        <f t="shared" si="1"/>
        <v>0.57811069990849717</v>
      </c>
      <c r="W65" s="46">
        <v>27</v>
      </c>
      <c r="X65" s="46">
        <v>0.62810515895635888</v>
      </c>
      <c r="Y65" s="46">
        <v>-0.69897949854301589</v>
      </c>
      <c r="Z65" s="46">
        <v>-1.4497706497392986</v>
      </c>
      <c r="AG65" s="46">
        <v>30</v>
      </c>
      <c r="AH65" s="46">
        <v>0.50757470081689482</v>
      </c>
      <c r="AI65" s="46">
        <v>8.0962433163598413E-2</v>
      </c>
      <c r="AJ65" s="46">
        <v>0.16687576184945749</v>
      </c>
      <c r="AQ65" s="46">
        <v>30</v>
      </c>
      <c r="AR65" s="46">
        <v>0.50757470081689482</v>
      </c>
      <c r="AS65" s="46">
        <v>8.0962433163598413E-2</v>
      </c>
      <c r="AT65" s="46">
        <v>0.16687576184945749</v>
      </c>
      <c r="BA65" s="46">
        <v>32</v>
      </c>
      <c r="BB65" s="46">
        <v>0.38185014066848111</v>
      </c>
      <c r="BC65" s="46">
        <v>0.57811069990849717</v>
      </c>
      <c r="BD65" s="46">
        <v>0.66531700352400258</v>
      </c>
      <c r="BK65" s="46">
        <v>28</v>
      </c>
      <c r="BL65" s="46">
        <v>-0.67393046006201418</v>
      </c>
      <c r="BM65" s="46">
        <v>-0.53552181002854726</v>
      </c>
      <c r="BN65" s="46">
        <v>-1.1328338144524008</v>
      </c>
    </row>
    <row r="66" spans="13:66" x14ac:dyDescent="0.35">
      <c r="M66" s="46">
        <v>34</v>
      </c>
      <c r="N66" s="46">
        <v>0.42817160802696896</v>
      </c>
      <c r="O66" s="46">
        <v>-0.64412949968030442</v>
      </c>
      <c r="P66">
        <f t="shared" si="1"/>
        <v>0.14906388447313251</v>
      </c>
      <c r="W66" s="46">
        <v>28</v>
      </c>
      <c r="X66" s="46">
        <v>-0.67125250722961038</v>
      </c>
      <c r="Y66" s="46">
        <v>-0.53819976286095106</v>
      </c>
      <c r="Z66" s="46">
        <v>-1.11629342708746</v>
      </c>
      <c r="AG66" s="46">
        <v>31</v>
      </c>
      <c r="AH66" s="46">
        <v>2.7289002412318731E-2</v>
      </c>
      <c r="AI66" s="46">
        <v>-1.2740179252452343E-2</v>
      </c>
      <c r="AJ66" s="46">
        <v>-2.6259427190826093E-2</v>
      </c>
      <c r="AQ66" s="46">
        <v>31</v>
      </c>
      <c r="AR66" s="46">
        <v>2.7289002412318731E-2</v>
      </c>
      <c r="AS66" s="46">
        <v>-1.2740179252452343E-2</v>
      </c>
      <c r="AT66" s="46">
        <v>-2.6259427190826093E-2</v>
      </c>
      <c r="BA66" s="46">
        <v>33</v>
      </c>
      <c r="BB66" s="46">
        <v>0.40909806264406218</v>
      </c>
      <c r="BC66" s="46">
        <v>0.14906388447313251</v>
      </c>
      <c r="BD66" s="46">
        <v>0.17154973427582279</v>
      </c>
      <c r="BK66" s="46">
        <v>29</v>
      </c>
      <c r="BL66" s="46">
        <v>-9.7458286892166623E-2</v>
      </c>
      <c r="BM66" s="46">
        <v>-0.71181667351022049</v>
      </c>
      <c r="BN66" s="46">
        <v>-1.505764998442205</v>
      </c>
    </row>
    <row r="67" spans="13:66" x14ac:dyDescent="0.35">
      <c r="M67" s="46">
        <v>35</v>
      </c>
      <c r="N67" s="46">
        <v>0.29738158254417962</v>
      </c>
      <c r="O67" s="46">
        <v>-1.3939958685496163</v>
      </c>
      <c r="P67">
        <f t="shared" si="1"/>
        <v>-0.64412949968030442</v>
      </c>
      <c r="W67" s="46">
        <v>29</v>
      </c>
      <c r="X67" s="46">
        <v>1.1767979073762369E-5</v>
      </c>
      <c r="Y67" s="46">
        <v>-0.80928672838146087</v>
      </c>
      <c r="Z67" s="46">
        <v>-1.6785616008432571</v>
      </c>
      <c r="AG67" s="46">
        <v>32</v>
      </c>
      <c r="AH67" s="46">
        <v>0.41798718666279172</v>
      </c>
      <c r="AI67" s="46">
        <v>0.54197365391418661</v>
      </c>
      <c r="AJ67" s="46">
        <v>1.1170892828345471</v>
      </c>
      <c r="AQ67" s="46">
        <v>32</v>
      </c>
      <c r="AR67" s="46">
        <v>0.41798718666279172</v>
      </c>
      <c r="AS67" s="46">
        <v>0.54197365391418661</v>
      </c>
      <c r="AT67" s="46">
        <v>1.1170892828345471</v>
      </c>
      <c r="BA67" s="46">
        <v>34</v>
      </c>
      <c r="BB67" s="46">
        <v>0.42817160802696896</v>
      </c>
      <c r="BC67" s="46">
        <v>-0.64412949968030442</v>
      </c>
      <c r="BD67" s="46">
        <v>-0.74129454562343455</v>
      </c>
      <c r="BK67" s="46">
        <v>30</v>
      </c>
      <c r="BL67" s="46">
        <v>0.46282139035126324</v>
      </c>
      <c r="BM67" s="46">
        <v>0.12571574362922999</v>
      </c>
      <c r="BN67" s="46">
        <v>0.26593696601195188</v>
      </c>
    </row>
    <row r="68" spans="13:66" x14ac:dyDescent="0.35">
      <c r="M68" s="46">
        <v>36</v>
      </c>
      <c r="N68" s="46">
        <v>0.27285845276615661</v>
      </c>
      <c r="O68" s="46">
        <v>-1.8731638816369844</v>
      </c>
      <c r="P68">
        <f t="shared" si="1"/>
        <v>-1.3939958685496163</v>
      </c>
      <c r="W68" s="46">
        <v>30</v>
      </c>
      <c r="X68" s="46">
        <v>0.47847997905532325</v>
      </c>
      <c r="Y68" s="46">
        <v>0.11005715492516999</v>
      </c>
      <c r="Z68" s="46">
        <v>0.22827226454697369</v>
      </c>
      <c r="AG68" s="46">
        <v>33</v>
      </c>
      <c r="AH68" s="46">
        <v>0.45906313694438944</v>
      </c>
      <c r="AI68" s="46">
        <v>9.9098810172805252E-2</v>
      </c>
      <c r="AJ68" s="46">
        <v>0.20425756489488686</v>
      </c>
      <c r="AQ68" s="46">
        <v>33</v>
      </c>
      <c r="AR68" s="46">
        <v>0.45906313694438944</v>
      </c>
      <c r="AS68" s="46">
        <v>9.9098810172805252E-2</v>
      </c>
      <c r="AT68" s="46">
        <v>0.20425756489488686</v>
      </c>
      <c r="BA68" s="46">
        <v>35</v>
      </c>
      <c r="BB68" s="46">
        <v>0.29738158254417962</v>
      </c>
      <c r="BC68" s="46">
        <v>-1.3939958685496163</v>
      </c>
      <c r="BD68" s="46">
        <v>-1.6042760570511252</v>
      </c>
      <c r="BK68" s="46">
        <v>31</v>
      </c>
      <c r="BL68" s="46">
        <v>-3.6793033493575877E-2</v>
      </c>
      <c r="BM68" s="46">
        <v>5.1341856653442264E-2</v>
      </c>
      <c r="BN68" s="46">
        <v>0.10860769855608107</v>
      </c>
    </row>
    <row r="69" spans="13:66" x14ac:dyDescent="0.35">
      <c r="M69" s="46">
        <v>37</v>
      </c>
      <c r="N69" s="46">
        <v>0.21563781661743631</v>
      </c>
      <c r="O69" s="46">
        <v>-1.7297655492472122</v>
      </c>
      <c r="P69">
        <f t="shared" si="1"/>
        <v>-1.8731638816369844</v>
      </c>
      <c r="W69" s="46">
        <v>31</v>
      </c>
      <c r="X69" s="46">
        <v>1.9414437861561273E-3</v>
      </c>
      <c r="Y69" s="46">
        <v>1.2607379373710261E-2</v>
      </c>
      <c r="Z69" s="46">
        <v>2.6149277087858566E-2</v>
      </c>
      <c r="AG69" s="46">
        <v>34</v>
      </c>
      <c r="AH69" s="46">
        <v>5.9232780045780781E-2</v>
      </c>
      <c r="AI69" s="46">
        <v>-0.27519067169911621</v>
      </c>
      <c r="AJ69" s="46">
        <v>-0.56720939822620442</v>
      </c>
      <c r="AQ69" s="46">
        <v>34</v>
      </c>
      <c r="AR69" s="46">
        <v>5.9232780045780781E-2</v>
      </c>
      <c r="AS69" s="46">
        <v>-0.27519067169911621</v>
      </c>
      <c r="AT69" s="46">
        <v>-0.56720939822620442</v>
      </c>
      <c r="BA69" s="46">
        <v>36</v>
      </c>
      <c r="BB69" s="46">
        <v>0.27285845276615661</v>
      </c>
      <c r="BC69" s="46">
        <v>-1.8731638816369844</v>
      </c>
      <c r="BD69" s="46">
        <v>-2.1557251596231706</v>
      </c>
      <c r="BK69" s="46">
        <v>32</v>
      </c>
      <c r="BL69" s="46">
        <v>0.24997864132802128</v>
      </c>
      <c r="BM69" s="46">
        <v>0.709982199248957</v>
      </c>
      <c r="BN69" s="46">
        <v>1.5018843824971866</v>
      </c>
    </row>
    <row r="70" spans="13:66" x14ac:dyDescent="0.35">
      <c r="M70" s="46">
        <v>38</v>
      </c>
      <c r="N70" s="46">
        <v>0.33825346550755131</v>
      </c>
      <c r="O70" s="46">
        <v>-1.4558687013012763</v>
      </c>
      <c r="P70">
        <f t="shared" si="1"/>
        <v>-1.7297655492472122</v>
      </c>
      <c r="W70" s="46">
        <v>32</v>
      </c>
      <c r="X70" s="46">
        <v>0.39446351800835799</v>
      </c>
      <c r="Y70" s="46">
        <v>0.56549732256862029</v>
      </c>
      <c r="Z70" s="46">
        <v>1.1729119702009236</v>
      </c>
      <c r="AG70" s="46">
        <v>35</v>
      </c>
      <c r="AH70" s="46">
        <v>-0.65325982448176534</v>
      </c>
      <c r="AI70" s="46">
        <v>-0.44335446152367131</v>
      </c>
      <c r="AJ70" s="46">
        <v>-0.91382028238478319</v>
      </c>
      <c r="AQ70" s="46">
        <v>35</v>
      </c>
      <c r="AR70" s="46">
        <v>-0.65325982448176534</v>
      </c>
      <c r="AS70" s="46">
        <v>-0.44335446152367131</v>
      </c>
      <c r="AT70" s="46">
        <v>-0.91382028238478319</v>
      </c>
      <c r="BA70" s="46">
        <v>37</v>
      </c>
      <c r="BB70" s="46">
        <v>0.21563781661743631</v>
      </c>
      <c r="BC70" s="46">
        <v>-1.7297655492472122</v>
      </c>
      <c r="BD70" s="46">
        <v>-1.9906956093467221</v>
      </c>
      <c r="BK70" s="46">
        <v>33</v>
      </c>
      <c r="BL70" s="46">
        <v>0.46448582898513213</v>
      </c>
      <c r="BM70" s="46">
        <v>9.3676118132062558E-2</v>
      </c>
      <c r="BN70" s="46">
        <v>0.1981608820394844</v>
      </c>
    </row>
    <row r="71" spans="13:66" x14ac:dyDescent="0.35">
      <c r="M71" s="46">
        <v>39</v>
      </c>
      <c r="N71" s="46">
        <v>0.47176828318789871</v>
      </c>
      <c r="O71" s="46">
        <v>-1.0203342349367366</v>
      </c>
      <c r="P71">
        <f t="shared" si="1"/>
        <v>-1.4558687013012763</v>
      </c>
      <c r="W71" s="46">
        <v>33</v>
      </c>
      <c r="X71" s="46">
        <v>0.43690454293414027</v>
      </c>
      <c r="Y71" s="46">
        <v>0.12125740418305442</v>
      </c>
      <c r="Z71" s="46">
        <v>0.25150297829135676</v>
      </c>
      <c r="AG71" s="46">
        <v>36</v>
      </c>
      <c r="AH71" s="46">
        <v>-0.78947158184026311</v>
      </c>
      <c r="AI71" s="46">
        <v>-0.81083384703056471</v>
      </c>
      <c r="AJ71" s="46">
        <v>-1.6712506117885317</v>
      </c>
      <c r="AQ71" s="46">
        <v>36</v>
      </c>
      <c r="AR71" s="46">
        <v>-0.78947158184026311</v>
      </c>
      <c r="AS71" s="46">
        <v>-0.81083384703056471</v>
      </c>
      <c r="AT71" s="46">
        <v>-1.6712506117885317</v>
      </c>
      <c r="BA71" s="46">
        <v>38</v>
      </c>
      <c r="BB71" s="46">
        <v>0.33825346550755131</v>
      </c>
      <c r="BC71" s="46">
        <v>-1.4558687013012763</v>
      </c>
      <c r="BD71" s="46">
        <v>-1.6754822251645882</v>
      </c>
      <c r="BK71" s="46">
        <v>34</v>
      </c>
      <c r="BL71" s="46">
        <v>7.4625084551261822E-2</v>
      </c>
      <c r="BM71" s="46">
        <v>-0.29058297620459728</v>
      </c>
      <c r="BN71" s="46">
        <v>-0.61469433211550673</v>
      </c>
    </row>
    <row r="72" spans="13:66" x14ac:dyDescent="0.35">
      <c r="M72" s="46">
        <v>40</v>
      </c>
      <c r="N72" s="46">
        <v>0.504465789558596</v>
      </c>
      <c r="O72" s="46">
        <v>-0.94815211048695813</v>
      </c>
      <c r="P72">
        <f t="shared" si="1"/>
        <v>-1.0203342349367366</v>
      </c>
      <c r="W72" s="46">
        <v>34</v>
      </c>
      <c r="X72" s="46">
        <v>3.529222168270274E-2</v>
      </c>
      <c r="Y72" s="46">
        <v>-0.25125011333603819</v>
      </c>
      <c r="Z72" s="46">
        <v>-0.52112406847057746</v>
      </c>
      <c r="AG72" s="46">
        <v>37</v>
      </c>
      <c r="AH72" s="46">
        <v>-1.1252803267595077</v>
      </c>
      <c r="AI72" s="46">
        <v>-0.388847405870268</v>
      </c>
      <c r="AJ72" s="46">
        <v>-0.80147303585437535</v>
      </c>
      <c r="AQ72" s="46">
        <v>37</v>
      </c>
      <c r="AR72" s="46">
        <v>-1.1252803267595077</v>
      </c>
      <c r="AS72" s="46">
        <v>-0.388847405870268</v>
      </c>
      <c r="AT72" s="46">
        <v>-0.80147303585437535</v>
      </c>
      <c r="BA72" s="46">
        <v>39</v>
      </c>
      <c r="BB72" s="46">
        <v>0.47176828318789871</v>
      </c>
      <c r="BC72" s="46">
        <v>-1.0203342349367366</v>
      </c>
      <c r="BD72" s="46">
        <v>-1.174248661871355</v>
      </c>
      <c r="BK72" s="46">
        <v>35</v>
      </c>
      <c r="BL72" s="46">
        <v>-0.6537152054937625</v>
      </c>
      <c r="BM72" s="46">
        <v>-0.44289908051167415</v>
      </c>
      <c r="BN72" s="46">
        <v>-0.93690125294197601</v>
      </c>
    </row>
    <row r="73" spans="13:66" ht="15" thickBot="1" x14ac:dyDescent="0.4">
      <c r="M73" s="47">
        <v>41</v>
      </c>
      <c r="N73" s="47">
        <v>0.52898891933661907</v>
      </c>
      <c r="O73" s="47">
        <v>0.39262097401513607</v>
      </c>
      <c r="P73">
        <f t="shared" si="1"/>
        <v>-0.94815211048695813</v>
      </c>
      <c r="W73" s="46">
        <v>35</v>
      </c>
      <c r="X73" s="46">
        <v>-0.67939935278490959</v>
      </c>
      <c r="Y73" s="46">
        <v>-0.41721493322052705</v>
      </c>
      <c r="Z73" s="46">
        <v>-0.86535580239030074</v>
      </c>
      <c r="AG73" s="46">
        <v>38</v>
      </c>
      <c r="AH73" s="46">
        <v>-0.59358378926949196</v>
      </c>
      <c r="AI73" s="46">
        <v>-0.52403144652423306</v>
      </c>
      <c r="AJ73" s="46">
        <v>-1.0801076926023299</v>
      </c>
      <c r="AQ73" s="46">
        <v>38</v>
      </c>
      <c r="AR73" s="46">
        <v>-0.59358378926949196</v>
      </c>
      <c r="AS73" s="46">
        <v>-0.52403144652423306</v>
      </c>
      <c r="AT73" s="46">
        <v>-1.0801076926023299</v>
      </c>
      <c r="BA73" s="46">
        <v>40</v>
      </c>
      <c r="BB73" s="46">
        <v>0.504465789558596</v>
      </c>
      <c r="BC73" s="46">
        <v>-0.94815211048695813</v>
      </c>
      <c r="BD73" s="46">
        <v>-1.0911780756418934</v>
      </c>
      <c r="BK73" s="46">
        <v>36</v>
      </c>
      <c r="BL73" s="46">
        <v>-0.7213667455540973</v>
      </c>
      <c r="BM73" s="46">
        <v>-0.87893868331673053</v>
      </c>
      <c r="BN73" s="46">
        <v>-1.8592920823119881</v>
      </c>
    </row>
    <row r="74" spans="13:66" ht="15" thickBot="1" x14ac:dyDescent="0.4">
      <c r="W74" s="46">
        <v>36</v>
      </c>
      <c r="X74" s="46">
        <v>-0.78921394643668008</v>
      </c>
      <c r="Y74" s="46">
        <v>-0.81109148243414775</v>
      </c>
      <c r="Z74" s="46">
        <v>-1.6823048858194793</v>
      </c>
      <c r="AG74" s="46">
        <v>39</v>
      </c>
      <c r="AH74" s="46">
        <v>-0.48273985661973368</v>
      </c>
      <c r="AI74" s="46">
        <v>-6.5826095129104145E-2</v>
      </c>
      <c r="AJ74" s="46">
        <v>-0.13567749072026397</v>
      </c>
      <c r="AQ74" s="46">
        <v>39</v>
      </c>
      <c r="AR74" s="46">
        <v>-0.48273985661973368</v>
      </c>
      <c r="AS74" s="46">
        <v>-6.5826095129104145E-2</v>
      </c>
      <c r="AT74" s="46">
        <v>-0.13567749072026397</v>
      </c>
      <c r="BA74" s="47">
        <v>41</v>
      </c>
      <c r="BB74" s="47">
        <v>0.52898891933661907</v>
      </c>
      <c r="BC74" s="47">
        <v>0.39262097401513607</v>
      </c>
      <c r="BD74" s="47">
        <v>0.45184669647832304</v>
      </c>
      <c r="BK74" s="46">
        <v>37</v>
      </c>
      <c r="BL74" s="46">
        <v>-1.1328186656253396</v>
      </c>
      <c r="BM74" s="46">
        <v>-0.38130906700443612</v>
      </c>
      <c r="BN74" s="46">
        <v>-0.80661477603852361</v>
      </c>
    </row>
    <row r="75" spans="13:66" x14ac:dyDescent="0.35">
      <c r="W75" s="46">
        <v>37</v>
      </c>
      <c r="X75" s="46">
        <v>-1.1283673426611232</v>
      </c>
      <c r="Y75" s="46">
        <v>-0.38576038996865258</v>
      </c>
      <c r="Z75" s="46">
        <v>-0.80011515698857227</v>
      </c>
      <c r="AG75" s="46">
        <v>40</v>
      </c>
      <c r="AH75" s="46">
        <v>-0.77939449922528103</v>
      </c>
      <c r="AI75" s="46">
        <v>0.33570817829691896</v>
      </c>
      <c r="AJ75" s="46">
        <v>0.69194508889315054</v>
      </c>
      <c r="AQ75" s="46">
        <v>40</v>
      </c>
      <c r="AR75" s="46">
        <v>-0.77939449922528103</v>
      </c>
      <c r="AS75" s="46">
        <v>0.33570817829691896</v>
      </c>
      <c r="AT75" s="46">
        <v>0.69194508889315054</v>
      </c>
      <c r="BK75" s="46">
        <v>38</v>
      </c>
      <c r="BL75" s="46">
        <v>-0.65601234412515663</v>
      </c>
      <c r="BM75" s="46">
        <v>-0.46160289166856838</v>
      </c>
      <c r="BN75" s="46">
        <v>-0.97646697994109188</v>
      </c>
    </row>
    <row r="76" spans="13:66" ht="15" thickBot="1" x14ac:dyDescent="0.4">
      <c r="W76" s="46">
        <v>38</v>
      </c>
      <c r="X76" s="46">
        <v>-0.57130825089683035</v>
      </c>
      <c r="Y76" s="46">
        <v>-0.54630698489689467</v>
      </c>
      <c r="Z76" s="46">
        <v>-1.1331088166419898</v>
      </c>
      <c r="AG76" s="47">
        <v>41</v>
      </c>
      <c r="AH76" s="47">
        <v>-0.73365242731540059</v>
      </c>
      <c r="AI76" s="47">
        <v>1.6552623206671557</v>
      </c>
      <c r="AJ76" s="47">
        <v>3.4117448059382869</v>
      </c>
      <c r="AQ76" s="47">
        <v>41</v>
      </c>
      <c r="AR76" s="47">
        <v>-0.73365242731540059</v>
      </c>
      <c r="AS76" s="47">
        <v>1.6552623206671557</v>
      </c>
      <c r="AT76" s="47">
        <v>3.4117448059382869</v>
      </c>
      <c r="BK76" s="46">
        <v>39</v>
      </c>
      <c r="BL76" s="46">
        <v>-0.33567176790814912</v>
      </c>
      <c r="BM76" s="46">
        <v>-0.2128941838406887</v>
      </c>
      <c r="BN76" s="46">
        <v>-0.45035276965119631</v>
      </c>
    </row>
    <row r="77" spans="13:66" ht="15" thickBot="1" x14ac:dyDescent="0.4">
      <c r="W77" s="46">
        <v>39</v>
      </c>
      <c r="X77" s="46">
        <v>-0.4621373631787985</v>
      </c>
      <c r="Y77" s="46">
        <v>-8.6428588570039322E-2</v>
      </c>
      <c r="Z77" s="46">
        <v>-0.17926367120698211</v>
      </c>
      <c r="AG77" s="47"/>
      <c r="AH77" s="47"/>
      <c r="AI77" s="47"/>
      <c r="AJ77" s="47"/>
      <c r="BK77" s="46">
        <v>40</v>
      </c>
      <c r="BL77" s="46">
        <v>-0.82703774550608777</v>
      </c>
      <c r="BM77" s="46">
        <v>0.3833514245777257</v>
      </c>
      <c r="BN77" s="46">
        <v>0.81093514483937978</v>
      </c>
    </row>
    <row r="78" spans="13:66" ht="15" thickBot="1" x14ac:dyDescent="0.4">
      <c r="W78" s="46">
        <v>40</v>
      </c>
      <c r="X78" s="46">
        <v>-0.75816729104103131</v>
      </c>
      <c r="Y78" s="46">
        <v>0.31448097011266923</v>
      </c>
      <c r="Z78" s="46">
        <v>0.65227275094797554</v>
      </c>
      <c r="BK78" s="47">
        <v>41</v>
      </c>
      <c r="BL78" s="47">
        <v>-0.53948857837761766</v>
      </c>
      <c r="BM78" s="47">
        <v>1.4610984717293727</v>
      </c>
      <c r="BN78" s="47">
        <v>3.0907830904805262</v>
      </c>
    </row>
    <row r="79" spans="13:66" ht="15" thickBot="1" x14ac:dyDescent="0.4">
      <c r="W79" s="47">
        <v>41</v>
      </c>
      <c r="X79" s="47">
        <v>-0.65299916511855227</v>
      </c>
      <c r="Y79" s="47">
        <v>1.5746090584703074</v>
      </c>
      <c r="Z79" s="47">
        <v>3.2659355568257711</v>
      </c>
    </row>
    <row r="80" spans="13:66" ht="15" thickBot="1" x14ac:dyDescent="0.4">
      <c r="W80" s="47"/>
      <c r="X80" s="47"/>
      <c r="Y80" s="47"/>
      <c r="Z80" s="47"/>
    </row>
  </sheetData>
  <conditionalFormatting sqref="BL27:BL31">
    <cfRule type="colorScale" priority="1">
      <colorScale>
        <cfvo type="min"/>
        <cfvo type="percentile" val="50"/>
        <cfvo type="max"/>
        <color rgb="FFF8696B"/>
        <color rgb="FFFFEB84"/>
        <color rgb="FF63BE7B"/>
      </colorScale>
    </cfRule>
  </conditionalFormatting>
  <conditionalFormatting sqref="BO26:BO31">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6783-6AE1-4ACD-8ED3-1568BB2A8B25}">
  <dimension ref="B7:AO80"/>
  <sheetViews>
    <sheetView workbookViewId="0">
      <selection activeCell="AK25" sqref="AK25"/>
    </sheetView>
  </sheetViews>
  <sheetFormatPr defaultRowHeight="14.5" x14ac:dyDescent="0.35"/>
  <cols>
    <col min="33" max="33" width="14.1796875" customWidth="1"/>
  </cols>
  <sheetData>
    <row r="7" spans="2:34" x14ac:dyDescent="0.35">
      <c r="B7" t="s">
        <v>221</v>
      </c>
      <c r="C7" t="s">
        <v>222</v>
      </c>
      <c r="D7" t="s">
        <v>223</v>
      </c>
      <c r="E7" t="s">
        <v>25</v>
      </c>
      <c r="F7" t="s">
        <v>267</v>
      </c>
      <c r="G7" s="56" t="s">
        <v>238</v>
      </c>
      <c r="H7" s="56" t="s">
        <v>89</v>
      </c>
      <c r="I7" s="56" t="s">
        <v>94</v>
      </c>
      <c r="J7" t="s">
        <v>343</v>
      </c>
      <c r="K7" t="s">
        <v>134</v>
      </c>
      <c r="W7" t="s">
        <v>102</v>
      </c>
      <c r="AG7" t="s">
        <v>102</v>
      </c>
    </row>
    <row r="8" spans="2:34" ht="15" thickBot="1" x14ac:dyDescent="0.4">
      <c r="B8">
        <v>1973</v>
      </c>
      <c r="C8">
        <v>1.4352</v>
      </c>
      <c r="D8">
        <v>1.855</v>
      </c>
      <c r="E8">
        <f>C8</f>
        <v>1.4352</v>
      </c>
      <c r="F8" s="106">
        <v>-1.004736098</v>
      </c>
      <c r="G8" s="26">
        <v>-0.45436859200000002</v>
      </c>
      <c r="H8" s="26">
        <v>0.85058438800000002</v>
      </c>
      <c r="I8" s="26">
        <v>0.65053241699999997</v>
      </c>
      <c r="J8">
        <v>180</v>
      </c>
      <c r="K8">
        <f>LN(D8/C8)</f>
        <v>0.25658048373700376</v>
      </c>
      <c r="M8" t="s">
        <v>342</v>
      </c>
    </row>
    <row r="9" spans="2:34" x14ac:dyDescent="0.35">
      <c r="B9">
        <v>1974</v>
      </c>
      <c r="C9">
        <v>0.67679999999999996</v>
      </c>
      <c r="D9">
        <v>1.5960000000000001</v>
      </c>
      <c r="E9">
        <f t="shared" ref="E9:E52" si="0">C9</f>
        <v>0.67679999999999996</v>
      </c>
      <c r="F9" s="106">
        <v>-0.98113719700000002</v>
      </c>
      <c r="G9" s="26">
        <v>-0.66768808400000002</v>
      </c>
      <c r="H9" s="26">
        <v>0.41198033499999998</v>
      </c>
      <c r="I9" s="26">
        <v>-0.296143718</v>
      </c>
      <c r="J9">
        <v>180</v>
      </c>
      <c r="K9">
        <f t="shared" ref="K9:K52" si="1">LN(D9/C9)</f>
        <v>0.85787996971774061</v>
      </c>
      <c r="M9" t="s">
        <v>102</v>
      </c>
      <c r="W9" s="49" t="s">
        <v>103</v>
      </c>
      <c r="X9" s="49"/>
      <c r="AG9" s="49" t="s">
        <v>103</v>
      </c>
      <c r="AH9" s="49"/>
    </row>
    <row r="10" spans="2:34" ht="15" thickBot="1" x14ac:dyDescent="0.4">
      <c r="B10">
        <v>1975</v>
      </c>
      <c r="C10">
        <v>0.58079999999999998</v>
      </c>
      <c r="D10">
        <v>1.3979999999999999</v>
      </c>
      <c r="E10">
        <f t="shared" si="0"/>
        <v>0.58079999999999998</v>
      </c>
      <c r="F10" s="106">
        <v>-0.95661425600000005</v>
      </c>
      <c r="G10" s="26">
        <v>0.67791839499999995</v>
      </c>
      <c r="H10" s="26">
        <v>-0.82605873500000004</v>
      </c>
      <c r="I10" s="26">
        <v>0.63491713999999999</v>
      </c>
      <c r="J10">
        <v>180</v>
      </c>
      <c r="K10">
        <f t="shared" si="1"/>
        <v>0.87839145928316908</v>
      </c>
      <c r="W10" s="46" t="s">
        <v>104</v>
      </c>
      <c r="X10" s="46">
        <v>0.84536237974700712</v>
      </c>
      <c r="AG10" s="46" t="s">
        <v>104</v>
      </c>
      <c r="AH10" s="46">
        <v>0.84327588357306249</v>
      </c>
    </row>
    <row r="11" spans="2:34" x14ac:dyDescent="0.35">
      <c r="B11">
        <v>1976</v>
      </c>
      <c r="C11">
        <v>1.0224</v>
      </c>
      <c r="D11">
        <v>1.7729999999999999</v>
      </c>
      <c r="E11">
        <f t="shared" si="0"/>
        <v>1.0224</v>
      </c>
      <c r="F11" s="106">
        <v>-0.93112346800000001</v>
      </c>
      <c r="G11" s="26">
        <v>-0.18766196099999999</v>
      </c>
      <c r="H11" s="26">
        <v>-0.30968159200000001</v>
      </c>
      <c r="I11" s="26">
        <v>1.1716922679999999</v>
      </c>
      <c r="J11">
        <v>180</v>
      </c>
      <c r="K11">
        <f t="shared" si="1"/>
        <v>0.55052022245093746</v>
      </c>
      <c r="M11" s="49" t="s">
        <v>103</v>
      </c>
      <c r="N11" s="49"/>
      <c r="W11" s="46" t="s">
        <v>105</v>
      </c>
      <c r="X11" s="46">
        <v>0.71463755309152299</v>
      </c>
      <c r="AG11" s="46" t="s">
        <v>105</v>
      </c>
      <c r="AH11" s="46">
        <v>0.71111421581592915</v>
      </c>
    </row>
    <row r="12" spans="2:34" x14ac:dyDescent="0.35">
      <c r="B12">
        <v>1977</v>
      </c>
      <c r="C12">
        <v>0.49440000000000001</v>
      </c>
      <c r="D12">
        <v>2.4860000000000002</v>
      </c>
      <c r="E12">
        <f t="shared" si="0"/>
        <v>0.49440000000000001</v>
      </c>
      <c r="F12" s="106">
        <v>-0.90461819600000004</v>
      </c>
      <c r="G12" s="26">
        <v>-0.104851871</v>
      </c>
      <c r="H12" s="26">
        <v>6.2001431000000003E-2</v>
      </c>
      <c r="I12" s="26">
        <v>0.39678417500000002</v>
      </c>
      <c r="J12">
        <v>191</v>
      </c>
      <c r="K12">
        <f t="shared" si="1"/>
        <v>1.6150853659271756</v>
      </c>
      <c r="M12" s="46" t="s">
        <v>104</v>
      </c>
      <c r="N12" s="46">
        <v>0.22586863581723085</v>
      </c>
      <c r="W12" s="46" t="s">
        <v>106</v>
      </c>
      <c r="X12" s="46">
        <v>0.66958032463228978</v>
      </c>
      <c r="AG12" s="46" t="s">
        <v>106</v>
      </c>
      <c r="AH12" s="46">
        <v>0.67407757681797142</v>
      </c>
    </row>
    <row r="13" spans="2:34" x14ac:dyDescent="0.35">
      <c r="B13">
        <v>1978</v>
      </c>
      <c r="C13">
        <v>1.1519999999999999</v>
      </c>
      <c r="D13">
        <v>2.7829999999999999</v>
      </c>
      <c r="E13">
        <f t="shared" si="0"/>
        <v>1.1519999999999999</v>
      </c>
      <c r="F13" s="106">
        <v>-0.87704872899999997</v>
      </c>
      <c r="G13" s="26">
        <v>-1.0396338789999999</v>
      </c>
      <c r="H13" s="26">
        <v>-1.0168741059999999</v>
      </c>
      <c r="I13" s="26">
        <v>0.78326226700000001</v>
      </c>
      <c r="J13">
        <v>193</v>
      </c>
      <c r="K13">
        <f t="shared" si="1"/>
        <v>0.88202992027005422</v>
      </c>
      <c r="M13" s="46" t="s">
        <v>105</v>
      </c>
      <c r="N13" s="46">
        <v>5.1016640645936862E-2</v>
      </c>
      <c r="W13" s="46" t="s">
        <v>107</v>
      </c>
      <c r="X13" s="46">
        <v>0.61953611110560181</v>
      </c>
      <c r="AG13" s="46" t="s">
        <v>107</v>
      </c>
      <c r="AH13" s="46">
        <v>0.61530549774035204</v>
      </c>
    </row>
    <row r="14" spans="2:34" ht="15" thickBot="1" x14ac:dyDescent="0.4">
      <c r="B14">
        <v>1979</v>
      </c>
      <c r="C14">
        <v>0.71499999999999997</v>
      </c>
      <c r="D14">
        <v>4.5490000000000004</v>
      </c>
      <c r="E14">
        <f t="shared" si="0"/>
        <v>0.71499999999999997</v>
      </c>
      <c r="F14" s="106">
        <v>-0.84836201700000002</v>
      </c>
      <c r="G14" s="26">
        <v>-9.2941430000000005E-2</v>
      </c>
      <c r="H14" s="26">
        <v>-0.79169388100000004</v>
      </c>
      <c r="I14" s="26">
        <v>1.653813929</v>
      </c>
      <c r="J14">
        <v>201</v>
      </c>
      <c r="K14">
        <f t="shared" si="1"/>
        <v>1.8503801648759965</v>
      </c>
      <c r="M14" s="46" t="s">
        <v>106</v>
      </c>
      <c r="N14" s="46">
        <v>2.8947260195842366E-2</v>
      </c>
      <c r="W14" s="47" t="s">
        <v>108</v>
      </c>
      <c r="X14" s="47">
        <v>45</v>
      </c>
      <c r="AG14" s="47" t="s">
        <v>108</v>
      </c>
      <c r="AH14" s="47">
        <v>45</v>
      </c>
    </row>
    <row r="15" spans="2:34" x14ac:dyDescent="0.35">
      <c r="B15">
        <v>1980</v>
      </c>
      <c r="C15">
        <v>0.89300000000000002</v>
      </c>
      <c r="D15">
        <v>4.1849999999999996</v>
      </c>
      <c r="E15">
        <f t="shared" si="0"/>
        <v>0.89300000000000002</v>
      </c>
      <c r="F15" s="106">
        <v>-0.81850136900000003</v>
      </c>
      <c r="G15" s="26">
        <v>-0.61505355299999998</v>
      </c>
      <c r="H15" s="26">
        <v>0.76919394500000005</v>
      </c>
      <c r="I15" s="26">
        <v>0.66029196499999998</v>
      </c>
      <c r="J15">
        <v>210</v>
      </c>
      <c r="K15">
        <f t="shared" si="1"/>
        <v>1.5446754020470765</v>
      </c>
      <c r="M15" s="46" t="s">
        <v>107</v>
      </c>
      <c r="N15" s="46">
        <v>1.0620747506123178</v>
      </c>
    </row>
    <row r="16" spans="2:34" ht="15" thickBot="1" x14ac:dyDescent="0.4">
      <c r="B16">
        <v>1981</v>
      </c>
      <c r="C16">
        <v>0.58599999999999997</v>
      </c>
      <c r="D16">
        <v>4.0570000000000004</v>
      </c>
      <c r="E16">
        <f t="shared" si="0"/>
        <v>0.58599999999999997</v>
      </c>
      <c r="F16" s="106">
        <v>-0.78740612799999998</v>
      </c>
      <c r="G16" s="26">
        <v>-0.36233204499999999</v>
      </c>
      <c r="H16" s="26">
        <v>2.2210548E-2</v>
      </c>
      <c r="I16" s="26">
        <v>1.019443323</v>
      </c>
      <c r="J16">
        <v>211</v>
      </c>
      <c r="K16">
        <f t="shared" si="1"/>
        <v>1.9348792736294347</v>
      </c>
      <c r="M16" s="47" t="s">
        <v>108</v>
      </c>
      <c r="N16" s="47">
        <v>45</v>
      </c>
      <c r="W16" t="s">
        <v>109</v>
      </c>
      <c r="AG16" t="s">
        <v>109</v>
      </c>
    </row>
    <row r="17" spans="2:41" x14ac:dyDescent="0.35">
      <c r="B17">
        <v>1982</v>
      </c>
      <c r="C17">
        <v>0.93600000000000005</v>
      </c>
      <c r="D17">
        <v>3.7669999999999999</v>
      </c>
      <c r="E17">
        <f t="shared" si="0"/>
        <v>0.93600000000000005</v>
      </c>
      <c r="F17" s="106">
        <v>-0.75501131600000004</v>
      </c>
      <c r="G17" s="26">
        <v>-0.30371192800000002</v>
      </c>
      <c r="H17" s="26">
        <v>-0.56922667100000002</v>
      </c>
      <c r="I17" s="26">
        <v>1.761168954</v>
      </c>
      <c r="J17">
        <v>209</v>
      </c>
      <c r="K17">
        <f t="shared" si="1"/>
        <v>1.3924187312144489</v>
      </c>
      <c r="W17" s="48"/>
      <c r="X17" s="48" t="s">
        <v>113</v>
      </c>
      <c r="Y17" s="48" t="s">
        <v>114</v>
      </c>
      <c r="Z17" s="48" t="s">
        <v>115</v>
      </c>
      <c r="AA17" s="48" t="s">
        <v>116</v>
      </c>
      <c r="AB17" s="48" t="s">
        <v>117</v>
      </c>
      <c r="AG17" s="48"/>
      <c r="AH17" s="48" t="s">
        <v>113</v>
      </c>
      <c r="AI17" s="48" t="s">
        <v>114</v>
      </c>
      <c r="AJ17" s="48" t="s">
        <v>115</v>
      </c>
      <c r="AK17" s="48" t="s">
        <v>116</v>
      </c>
      <c r="AL17" s="48" t="s">
        <v>117</v>
      </c>
    </row>
    <row r="18" spans="2:41" ht="15" thickBot="1" x14ac:dyDescent="0.4">
      <c r="B18">
        <v>1983</v>
      </c>
      <c r="C18">
        <v>1.5309999999999999</v>
      </c>
      <c r="D18">
        <v>1.9119999999999999</v>
      </c>
      <c r="E18">
        <f t="shared" si="0"/>
        <v>1.5309999999999999</v>
      </c>
      <c r="F18" s="106">
        <v>-0.72124723000000002</v>
      </c>
      <c r="G18" s="26">
        <v>-1.0114984300000001</v>
      </c>
      <c r="H18" s="26">
        <v>0.12892246099999999</v>
      </c>
      <c r="I18" s="26">
        <v>0.86133864900000001</v>
      </c>
      <c r="J18">
        <v>210</v>
      </c>
      <c r="K18">
        <f t="shared" si="1"/>
        <v>0.2222286979536629</v>
      </c>
      <c r="M18" t="s">
        <v>109</v>
      </c>
      <c r="W18" s="46" t="s">
        <v>110</v>
      </c>
      <c r="X18" s="46">
        <v>6</v>
      </c>
      <c r="Y18" s="46">
        <v>36.52631506643629</v>
      </c>
      <c r="Z18" s="46">
        <v>6.0877191777393813</v>
      </c>
      <c r="AA18" s="46">
        <v>15.860663816419853</v>
      </c>
      <c r="AB18" s="46">
        <v>5.0147822272465831E-9</v>
      </c>
      <c r="AG18" s="46" t="s">
        <v>110</v>
      </c>
      <c r="AH18" s="46">
        <v>5</v>
      </c>
      <c r="AI18" s="46">
        <v>36.346231432632095</v>
      </c>
      <c r="AJ18" s="46">
        <v>7.2692462865264194</v>
      </c>
      <c r="AK18" s="46">
        <v>19.200290173607279</v>
      </c>
      <c r="AL18" s="46">
        <v>1.3388139737583834E-9</v>
      </c>
    </row>
    <row r="19" spans="2:41" x14ac:dyDescent="0.35">
      <c r="B19">
        <v>1984</v>
      </c>
      <c r="C19">
        <v>1.133</v>
      </c>
      <c r="D19">
        <v>0.99199999999999999</v>
      </c>
      <c r="E19">
        <f t="shared" si="0"/>
        <v>1.133</v>
      </c>
      <c r="F19" s="106">
        <v>-0.68603900600000001</v>
      </c>
      <c r="G19" s="26">
        <v>-1.350999694</v>
      </c>
      <c r="H19" s="26">
        <v>1.489047196</v>
      </c>
      <c r="I19" s="26">
        <v>-0.54208432200000001</v>
      </c>
      <c r="J19">
        <v>209</v>
      </c>
      <c r="K19">
        <f t="shared" si="1"/>
        <v>-0.13290115374313349</v>
      </c>
      <c r="M19" s="48"/>
      <c r="N19" s="48" t="s">
        <v>113</v>
      </c>
      <c r="O19" s="48" t="s">
        <v>114</v>
      </c>
      <c r="P19" s="48" t="s">
        <v>115</v>
      </c>
      <c r="Q19" s="48" t="s">
        <v>116</v>
      </c>
      <c r="R19" s="48" t="s">
        <v>117</v>
      </c>
      <c r="W19" s="46" t="s">
        <v>111</v>
      </c>
      <c r="X19" s="46">
        <v>38</v>
      </c>
      <c r="Y19" s="46">
        <v>14.585349732626398</v>
      </c>
      <c r="Z19" s="46">
        <v>0.38382499296385258</v>
      </c>
      <c r="AA19" s="46"/>
      <c r="AB19" s="46"/>
      <c r="AG19" s="46" t="s">
        <v>111</v>
      </c>
      <c r="AH19" s="46">
        <v>39</v>
      </c>
      <c r="AI19" s="46">
        <v>14.765433366430594</v>
      </c>
      <c r="AJ19" s="46">
        <v>0.3786008555495024</v>
      </c>
      <c r="AK19" s="46"/>
      <c r="AL19" s="46"/>
    </row>
    <row r="20" spans="2:41" ht="15" thickBot="1" x14ac:dyDescent="0.4">
      <c r="B20">
        <v>1985</v>
      </c>
      <c r="C20">
        <v>3.149</v>
      </c>
      <c r="D20">
        <v>0.98</v>
      </c>
      <c r="E20">
        <f t="shared" si="0"/>
        <v>3.149</v>
      </c>
      <c r="F20" s="106">
        <v>-0.64930613500000001</v>
      </c>
      <c r="G20" s="26">
        <v>0.70196238600000005</v>
      </c>
      <c r="H20" s="26">
        <v>0.40926731999999999</v>
      </c>
      <c r="I20" s="26">
        <v>-0.47767130699999999</v>
      </c>
      <c r="J20">
        <v>218</v>
      </c>
      <c r="K20">
        <f t="shared" si="1"/>
        <v>-1.1672876494364071</v>
      </c>
      <c r="M20" s="46" t="s">
        <v>110</v>
      </c>
      <c r="N20" s="46">
        <v>1</v>
      </c>
      <c r="O20" s="46">
        <v>2.6075454358693619</v>
      </c>
      <c r="P20" s="46">
        <v>2.6075454358693619</v>
      </c>
      <c r="Q20" s="46">
        <v>2.3116480664829187</v>
      </c>
      <c r="R20" s="46">
        <v>0.13572771576970163</v>
      </c>
      <c r="W20" s="47" t="s">
        <v>9</v>
      </c>
      <c r="X20" s="47">
        <v>44</v>
      </c>
      <c r="Y20" s="47">
        <v>51.111664799062687</v>
      </c>
      <c r="Z20" s="47"/>
      <c r="AA20" s="47"/>
      <c r="AB20" s="47"/>
      <c r="AG20" s="47" t="s">
        <v>9</v>
      </c>
      <c r="AH20" s="47">
        <v>44</v>
      </c>
      <c r="AI20" s="47">
        <v>51.111664799062687</v>
      </c>
      <c r="AJ20" s="47"/>
      <c r="AK20" s="47"/>
      <c r="AL20" s="47"/>
    </row>
    <row r="21" spans="2:41" ht="15" thickBot="1" x14ac:dyDescent="0.4">
      <c r="B21">
        <v>1986</v>
      </c>
      <c r="C21">
        <v>1.992</v>
      </c>
      <c r="D21">
        <v>1.2350000000000001</v>
      </c>
      <c r="E21">
        <f t="shared" si="0"/>
        <v>1.992</v>
      </c>
      <c r="F21" s="106">
        <v>-0.61096192699999996</v>
      </c>
      <c r="G21" s="26">
        <v>6.3574677999999996E-2</v>
      </c>
      <c r="H21" s="26">
        <v>-0.205682693</v>
      </c>
      <c r="I21" s="26">
        <v>-1.3169924159999999</v>
      </c>
      <c r="J21">
        <v>228</v>
      </c>
      <c r="K21">
        <f t="shared" si="1"/>
        <v>-0.4780681890824659</v>
      </c>
      <c r="M21" s="46" t="s">
        <v>111</v>
      </c>
      <c r="N21" s="46">
        <v>43</v>
      </c>
      <c r="O21" s="46">
        <v>48.504119363193325</v>
      </c>
      <c r="P21" s="46">
        <v>1.128002775888217</v>
      </c>
      <c r="Q21" s="46"/>
      <c r="R21" s="46"/>
    </row>
    <row r="22" spans="2:41" ht="15" thickBot="1" x14ac:dyDescent="0.4">
      <c r="B22">
        <v>1987</v>
      </c>
      <c r="C22">
        <v>2.3279999999999998</v>
      </c>
      <c r="D22">
        <v>1.8819999999999999</v>
      </c>
      <c r="E22">
        <f t="shared" si="0"/>
        <v>2.3279999999999998</v>
      </c>
      <c r="F22" s="106">
        <v>-0.57091291799999999</v>
      </c>
      <c r="G22" s="26">
        <v>-0.33903293800000001</v>
      </c>
      <c r="H22" s="26">
        <v>-0.17312651500000001</v>
      </c>
      <c r="I22" s="26">
        <v>0.40459181300000002</v>
      </c>
      <c r="J22">
        <v>237</v>
      </c>
      <c r="K22">
        <f t="shared" si="1"/>
        <v>-0.21267448870600347</v>
      </c>
      <c r="M22" s="47" t="s">
        <v>9</v>
      </c>
      <c r="N22" s="47">
        <v>44</v>
      </c>
      <c r="O22" s="47">
        <v>51.111664799062687</v>
      </c>
      <c r="P22" s="47"/>
      <c r="Q22" s="47"/>
      <c r="R22" s="47"/>
      <c r="W22" s="48"/>
      <c r="X22" s="48" t="s">
        <v>118</v>
      </c>
      <c r="Y22" s="48" t="s">
        <v>107</v>
      </c>
      <c r="Z22" s="48" t="s">
        <v>119</v>
      </c>
      <c r="AA22" s="48" t="s">
        <v>120</v>
      </c>
      <c r="AB22" s="48" t="s">
        <v>121</v>
      </c>
      <c r="AC22" s="48" t="s">
        <v>122</v>
      </c>
      <c r="AD22" s="48" t="s">
        <v>123</v>
      </c>
      <c r="AE22" s="48" t="s">
        <v>124</v>
      </c>
      <c r="AG22" s="48"/>
      <c r="AH22" s="48" t="s">
        <v>118</v>
      </c>
      <c r="AI22" s="48" t="s">
        <v>107</v>
      </c>
      <c r="AJ22" s="48" t="s">
        <v>119</v>
      </c>
      <c r="AK22" s="48" t="s">
        <v>120</v>
      </c>
      <c r="AL22" s="48" t="s">
        <v>121</v>
      </c>
      <c r="AM22" s="48" t="s">
        <v>122</v>
      </c>
      <c r="AN22" s="48" t="s">
        <v>123</v>
      </c>
      <c r="AO22" s="48" t="s">
        <v>124</v>
      </c>
    </row>
    <row r="23" spans="2:41" ht="15" thickBot="1" x14ac:dyDescent="0.4">
      <c r="B23">
        <v>1988</v>
      </c>
      <c r="C23">
        <v>2.3420000000000001</v>
      </c>
      <c r="D23">
        <v>1.5580000000000001</v>
      </c>
      <c r="E23">
        <f t="shared" si="0"/>
        <v>2.3420000000000001</v>
      </c>
      <c r="F23" s="106">
        <v>-0.529058217</v>
      </c>
      <c r="G23" s="26">
        <v>3.1181279999999999E-2</v>
      </c>
      <c r="H23" s="26">
        <v>-1.743057724</v>
      </c>
      <c r="I23" s="26">
        <v>0.58026367300000004</v>
      </c>
      <c r="J23">
        <v>240</v>
      </c>
      <c r="K23">
        <f t="shared" si="1"/>
        <v>-0.40760231772696898</v>
      </c>
      <c r="W23" s="46" t="s">
        <v>112</v>
      </c>
      <c r="X23" s="46">
        <v>0.18809249208862489</v>
      </c>
      <c r="Y23" s="46">
        <v>1.2780827204459253</v>
      </c>
      <c r="Z23" s="46">
        <v>0.14716769820892273</v>
      </c>
      <c r="AA23" s="46">
        <v>0.88377771568912999</v>
      </c>
      <c r="AB23" s="46">
        <v>-2.3992507081788403</v>
      </c>
      <c r="AC23" s="46">
        <v>2.7754356923560906</v>
      </c>
      <c r="AD23" s="46">
        <v>-2.3992507081788403</v>
      </c>
      <c r="AE23" s="46">
        <v>2.7754356923560906</v>
      </c>
      <c r="AG23" s="46" t="s">
        <v>112</v>
      </c>
      <c r="AH23" s="187">
        <v>1.0541487818047861</v>
      </c>
      <c r="AI23" s="187">
        <v>0.18541564869566521</v>
      </c>
      <c r="AJ23" s="187">
        <v>5.6853280142229483</v>
      </c>
      <c r="AK23" s="183">
        <v>1.4167051929847435E-6</v>
      </c>
      <c r="AL23" s="187">
        <v>0.67911023275533844</v>
      </c>
      <c r="AM23" s="187">
        <v>1.4291873308542338</v>
      </c>
      <c r="AN23" s="187">
        <v>0.67911023275533844</v>
      </c>
      <c r="AO23" s="187">
        <v>1.4291873308542338</v>
      </c>
    </row>
    <row r="24" spans="2:41" x14ac:dyDescent="0.35">
      <c r="B24">
        <v>1989</v>
      </c>
      <c r="C24">
        <v>0.61</v>
      </c>
      <c r="D24">
        <v>1.403</v>
      </c>
      <c r="E24">
        <f t="shared" si="0"/>
        <v>0.61</v>
      </c>
      <c r="F24" s="106">
        <v>-0.48528878199999997</v>
      </c>
      <c r="G24" s="26">
        <v>0.65489779400000003</v>
      </c>
      <c r="H24" s="26">
        <v>-1.103690579</v>
      </c>
      <c r="I24" s="26">
        <v>0.89842493000000001</v>
      </c>
      <c r="J24">
        <v>244</v>
      </c>
      <c r="K24">
        <f t="shared" si="1"/>
        <v>0.83290912293510411</v>
      </c>
      <c r="M24" s="191"/>
      <c r="N24" s="191" t="s">
        <v>118</v>
      </c>
      <c r="O24" s="191" t="s">
        <v>107</v>
      </c>
      <c r="P24" s="191" t="s">
        <v>119</v>
      </c>
      <c r="Q24" s="191" t="s">
        <v>120</v>
      </c>
      <c r="R24" s="191" t="s">
        <v>121</v>
      </c>
      <c r="S24" s="191" t="s">
        <v>122</v>
      </c>
      <c r="T24" s="48" t="s">
        <v>123</v>
      </c>
      <c r="U24" s="48" t="s">
        <v>124</v>
      </c>
      <c r="W24" s="46" t="s">
        <v>25</v>
      </c>
      <c r="X24" s="46">
        <v>-1.0254001218391144</v>
      </c>
      <c r="Y24" s="46">
        <v>0.17754733101728978</v>
      </c>
      <c r="Z24" s="46">
        <v>-5.7753620736729614</v>
      </c>
      <c r="AA24" s="46">
        <v>1.1575556635453013E-6</v>
      </c>
      <c r="AB24" s="46">
        <v>-1.3848259025686627</v>
      </c>
      <c r="AC24" s="46">
        <v>-0.66597434110956621</v>
      </c>
      <c r="AD24" s="46">
        <v>-1.3848259025686627</v>
      </c>
      <c r="AE24" s="46">
        <v>-0.66597434110956621</v>
      </c>
      <c r="AG24" s="46" t="s">
        <v>25</v>
      </c>
      <c r="AH24" s="187">
        <v>-1.0226163319806632</v>
      </c>
      <c r="AI24" s="187">
        <v>0.17628871439150323</v>
      </c>
      <c r="AJ24" s="187">
        <v>-5.8008042971464953</v>
      </c>
      <c r="AK24" s="183">
        <v>9.7937539271778502E-7</v>
      </c>
      <c r="AL24" s="187">
        <v>-1.3791939138853104</v>
      </c>
      <c r="AM24" s="187">
        <v>-0.66603875007601587</v>
      </c>
      <c r="AN24" s="187">
        <v>-1.3791939138853104</v>
      </c>
      <c r="AO24" s="187">
        <v>-0.66603875007601587</v>
      </c>
    </row>
    <row r="25" spans="2:41" x14ac:dyDescent="0.35">
      <c r="B25">
        <v>1990</v>
      </c>
      <c r="C25">
        <v>0.40300000000000002</v>
      </c>
      <c r="D25">
        <v>1.1299999999999999</v>
      </c>
      <c r="E25">
        <f t="shared" si="0"/>
        <v>0.40300000000000002</v>
      </c>
      <c r="F25" s="106">
        <v>-0.43948661700000002</v>
      </c>
      <c r="G25" s="26">
        <v>0.296112294</v>
      </c>
      <c r="H25" s="26">
        <v>-0.39107203499999998</v>
      </c>
      <c r="I25" s="26">
        <v>-0.62016070400000001</v>
      </c>
      <c r="J25">
        <v>255</v>
      </c>
      <c r="K25">
        <f t="shared" si="1"/>
        <v>1.031036349759703</v>
      </c>
      <c r="M25" s="58" t="s">
        <v>112</v>
      </c>
      <c r="N25" s="187">
        <v>0.40168326073135091</v>
      </c>
      <c r="O25" s="187">
        <v>0.2666407990141324</v>
      </c>
      <c r="P25" s="187">
        <v>1.5064583597728458</v>
      </c>
      <c r="Q25" s="187">
        <v>0.13926128317060221</v>
      </c>
      <c r="R25" s="187">
        <v>-0.13604915863632422</v>
      </c>
      <c r="S25" s="187">
        <v>0.9394156800990261</v>
      </c>
      <c r="T25" s="46">
        <v>-0.13604915863632422</v>
      </c>
      <c r="U25" s="46">
        <v>0.9394156800990261</v>
      </c>
      <c r="W25" s="46" t="s">
        <v>267</v>
      </c>
      <c r="X25" s="46">
        <v>-0.93844938737956862</v>
      </c>
      <c r="Y25" s="46">
        <v>0.27171770747044405</v>
      </c>
      <c r="Z25" s="46">
        <v>-3.4537660284125868</v>
      </c>
      <c r="AA25" s="46">
        <v>1.3729882367020127E-3</v>
      </c>
      <c r="AB25" s="46">
        <v>-1.4885131286142754</v>
      </c>
      <c r="AC25" s="46">
        <v>-0.38838564614486171</v>
      </c>
      <c r="AD25" s="46">
        <v>-1.4885131286142754</v>
      </c>
      <c r="AE25" s="46">
        <v>-0.38838564614486171</v>
      </c>
      <c r="AG25" s="46" t="s">
        <v>400</v>
      </c>
      <c r="AH25" s="187">
        <v>-0.79254389467976205</v>
      </c>
      <c r="AI25" s="187">
        <v>0.16754011808989688</v>
      </c>
      <c r="AJ25" s="187">
        <v>-4.7304723412842966</v>
      </c>
      <c r="AK25" s="183">
        <v>2.9203410583871814E-5</v>
      </c>
      <c r="AL25" s="187">
        <v>-1.1314257702820829</v>
      </c>
      <c r="AM25" s="187">
        <v>-0.45366201907744119</v>
      </c>
      <c r="AN25" s="187">
        <v>-1.1314257702820829</v>
      </c>
      <c r="AO25" s="187">
        <v>-0.45366201907744119</v>
      </c>
    </row>
    <row r="26" spans="2:41" ht="15" thickBot="1" x14ac:dyDescent="0.4">
      <c r="B26">
        <v>1991</v>
      </c>
      <c r="C26">
        <v>0.46600000000000003</v>
      </c>
      <c r="D26">
        <v>1.3440000000000001</v>
      </c>
      <c r="E26">
        <f t="shared" si="0"/>
        <v>0.46600000000000003</v>
      </c>
      <c r="F26" s="106">
        <v>-0.39152388999999999</v>
      </c>
      <c r="G26" s="26">
        <v>-0.25997554099999998</v>
      </c>
      <c r="H26" s="26">
        <v>-1.4789909539999999</v>
      </c>
      <c r="I26" s="26">
        <v>0.91989593599999997</v>
      </c>
      <c r="J26">
        <v>264</v>
      </c>
      <c r="K26">
        <f t="shared" si="1"/>
        <v>1.059219886957449</v>
      </c>
      <c r="M26" s="59" t="s">
        <v>222</v>
      </c>
      <c r="N26" s="190">
        <v>-0.38047633775743345</v>
      </c>
      <c r="O26" s="190">
        <v>0.25024579846704692</v>
      </c>
      <c r="P26" s="190">
        <v>-1.5204104927561277</v>
      </c>
      <c r="Q26" s="190">
        <v>0.1357277157697003</v>
      </c>
      <c r="R26" s="190">
        <v>-0.88514508741546538</v>
      </c>
      <c r="S26" s="190">
        <v>0.12419241190059843</v>
      </c>
      <c r="T26" s="47">
        <v>-0.88514508741546538</v>
      </c>
      <c r="U26" s="47">
        <v>0.12419241190059843</v>
      </c>
      <c r="W26" s="46" t="s">
        <v>238</v>
      </c>
      <c r="X26" s="46">
        <v>-0.13821420675166357</v>
      </c>
      <c r="Y26" s="46">
        <v>0.15527206584775732</v>
      </c>
      <c r="Z26" s="46">
        <v>-0.89014212567495044</v>
      </c>
      <c r="AA26" s="46">
        <v>0.37899069541460517</v>
      </c>
      <c r="AB26" s="46">
        <v>-0.45254607067241864</v>
      </c>
      <c r="AC26" s="46">
        <v>0.1761176571690915</v>
      </c>
      <c r="AD26" s="46">
        <v>-0.45254607067241864</v>
      </c>
      <c r="AE26" s="46">
        <v>0.1761176571690915</v>
      </c>
      <c r="AG26" s="46" t="s">
        <v>238</v>
      </c>
      <c r="AH26" s="187">
        <v>-0.1272420049865417</v>
      </c>
      <c r="AI26" s="187">
        <v>0.15338893749601723</v>
      </c>
      <c r="AJ26" s="187">
        <v>-0.82953834261904036</v>
      </c>
      <c r="AK26" s="182">
        <v>0.41184869536510627</v>
      </c>
      <c r="AL26" s="187">
        <v>-0.43750041609382179</v>
      </c>
      <c r="AM26" s="187">
        <v>0.18301640612073838</v>
      </c>
      <c r="AN26" s="187">
        <v>-0.43750041609382179</v>
      </c>
      <c r="AO26" s="187">
        <v>0.18301640612073838</v>
      </c>
    </row>
    <row r="27" spans="2:41" x14ac:dyDescent="0.35">
      <c r="B27">
        <v>1992</v>
      </c>
      <c r="C27">
        <v>0.54200000000000004</v>
      </c>
      <c r="D27">
        <v>1.0920000000000001</v>
      </c>
      <c r="E27">
        <f t="shared" si="0"/>
        <v>0.54200000000000004</v>
      </c>
      <c r="F27" s="106">
        <v>-0.34126194500000001</v>
      </c>
      <c r="G27" s="26">
        <v>-0.11141192900000001</v>
      </c>
      <c r="H27" s="26">
        <v>-1.2718974940000001</v>
      </c>
      <c r="I27" s="26">
        <v>0.55098502900000002</v>
      </c>
      <c r="J27">
        <v>267</v>
      </c>
      <c r="K27">
        <f t="shared" si="1"/>
        <v>0.70050015486520401</v>
      </c>
      <c r="W27" s="46" t="s">
        <v>89</v>
      </c>
      <c r="X27" s="46">
        <v>0.13482698569670151</v>
      </c>
      <c r="Y27" s="46">
        <v>0.11794801939342793</v>
      </c>
      <c r="Z27" s="46">
        <v>1.1431051270727322</v>
      </c>
      <c r="AA27" s="46">
        <v>0.26014575987667998</v>
      </c>
      <c r="AB27" s="46">
        <v>-0.10394629640832986</v>
      </c>
      <c r="AC27" s="46">
        <v>0.37360026780173289</v>
      </c>
      <c r="AD27" s="46">
        <v>-0.10394629640832986</v>
      </c>
      <c r="AE27" s="46">
        <v>0.37360026780173289</v>
      </c>
      <c r="AG27" s="46" t="s">
        <v>89</v>
      </c>
      <c r="AH27" s="187">
        <v>0.15228062973250653</v>
      </c>
      <c r="AI27" s="187">
        <v>0.11437632963275622</v>
      </c>
      <c r="AJ27" s="187">
        <v>1.3313998641279612</v>
      </c>
      <c r="AK27" s="182">
        <v>0.19078783584470879</v>
      </c>
      <c r="AL27" s="187">
        <v>-7.9067333682800833E-2</v>
      </c>
      <c r="AM27" s="187">
        <v>0.38362859314781389</v>
      </c>
      <c r="AN27" s="187">
        <v>-7.9067333682800833E-2</v>
      </c>
      <c r="AO27" s="187">
        <v>0.38362859314781389</v>
      </c>
    </row>
    <row r="28" spans="2:41" ht="15" thickBot="1" x14ac:dyDescent="0.4">
      <c r="B28">
        <v>1993</v>
      </c>
      <c r="C28">
        <v>1.546</v>
      </c>
      <c r="D28">
        <v>0.91400000000000003</v>
      </c>
      <c r="E28">
        <f t="shared" si="0"/>
        <v>1.546</v>
      </c>
      <c r="F28" s="106">
        <v>-0.28855022200000002</v>
      </c>
      <c r="G28" s="26">
        <v>1.204387737</v>
      </c>
      <c r="H28" s="26">
        <v>-0.91197086900000002</v>
      </c>
      <c r="I28" s="26">
        <v>1.499613074</v>
      </c>
      <c r="J28">
        <v>271</v>
      </c>
      <c r="K28">
        <f t="shared" si="1"/>
        <v>-0.52559565769321726</v>
      </c>
      <c r="W28" s="46" t="s">
        <v>94</v>
      </c>
      <c r="X28" s="46">
        <v>0.20103137659009523</v>
      </c>
      <c r="Y28" s="46">
        <v>0.13544369807293738</v>
      </c>
      <c r="Z28" s="46">
        <v>1.4842431168841714</v>
      </c>
      <c r="AA28" s="46">
        <v>0.14599275136673492</v>
      </c>
      <c r="AB28" s="46">
        <v>-7.3160055327414153E-2</v>
      </c>
      <c r="AC28" s="46">
        <v>0.47522280850760462</v>
      </c>
      <c r="AD28" s="46">
        <v>-7.3160055327414153E-2</v>
      </c>
      <c r="AE28" s="46">
        <v>0.47522280850760462</v>
      </c>
      <c r="AG28" s="47" t="s">
        <v>94</v>
      </c>
      <c r="AH28" s="190">
        <v>0.2022508674859384</v>
      </c>
      <c r="AI28" s="190">
        <v>0.13450717479090979</v>
      </c>
      <c r="AJ28" s="190">
        <v>1.5036437112022878</v>
      </c>
      <c r="AK28" s="185">
        <v>0.14072869854109085</v>
      </c>
      <c r="AL28" s="190">
        <v>-6.9815573643432161E-2</v>
      </c>
      <c r="AM28" s="190">
        <v>0.47431730861530896</v>
      </c>
      <c r="AN28" s="190">
        <v>-6.9815573643432161E-2</v>
      </c>
      <c r="AO28" s="190">
        <v>0.47431730861530896</v>
      </c>
    </row>
    <row r="29" spans="2:41" ht="15" thickBot="1" x14ac:dyDescent="0.4">
      <c r="B29">
        <v>1994</v>
      </c>
      <c r="C29">
        <v>0.91700000000000004</v>
      </c>
      <c r="D29">
        <v>0.94099999999999995</v>
      </c>
      <c r="E29">
        <f t="shared" si="0"/>
        <v>0.91700000000000004</v>
      </c>
      <c r="F29" s="106">
        <v>-0.23322504999999999</v>
      </c>
      <c r="G29" s="26">
        <v>-0.353596297</v>
      </c>
      <c r="H29" s="26">
        <v>0.13253981500000001</v>
      </c>
      <c r="I29" s="26">
        <v>-0.72751573000000003</v>
      </c>
      <c r="J29">
        <v>276</v>
      </c>
      <c r="K29">
        <f t="shared" si="1"/>
        <v>2.5835667328914673E-2</v>
      </c>
      <c r="W29" s="47" t="s">
        <v>343</v>
      </c>
      <c r="X29" s="47">
        <v>3.4536132118373206E-3</v>
      </c>
      <c r="Y29" s="47">
        <v>5.0420041596776714E-3</v>
      </c>
      <c r="Z29" s="47">
        <v>0.68496833847477534</v>
      </c>
      <c r="AA29" s="47">
        <v>0.49752103357058575</v>
      </c>
      <c r="AB29" s="47">
        <v>-6.7533905834340343E-3</v>
      </c>
      <c r="AC29" s="47">
        <v>1.3660617007108675E-2</v>
      </c>
      <c r="AD29" s="47">
        <v>-6.7533905834340343E-3</v>
      </c>
      <c r="AE29" s="47">
        <v>1.3660617007108675E-2</v>
      </c>
    </row>
    <row r="30" spans="2:41" x14ac:dyDescent="0.35">
      <c r="B30">
        <v>1995</v>
      </c>
      <c r="C30">
        <v>0.83</v>
      </c>
      <c r="D30">
        <v>1.2430000000000001</v>
      </c>
      <c r="E30">
        <f t="shared" si="0"/>
        <v>0.83</v>
      </c>
      <c r="F30" s="106">
        <v>-0.17510831299999999</v>
      </c>
      <c r="G30" s="26">
        <v>-1.2603346879999999</v>
      </c>
      <c r="H30" s="26">
        <v>1.332596678</v>
      </c>
      <c r="I30" s="26">
        <v>-1.3443191489999999</v>
      </c>
      <c r="J30">
        <v>277</v>
      </c>
      <c r="K30">
        <f t="shared" si="1"/>
        <v>0.4038573907200676</v>
      </c>
      <c r="M30" t="s">
        <v>125</v>
      </c>
    </row>
    <row r="31" spans="2:41" ht="15" thickBot="1" x14ac:dyDescent="0.4">
      <c r="B31">
        <v>1996</v>
      </c>
      <c r="C31">
        <v>0.51800000000000002</v>
      </c>
      <c r="D31">
        <v>1.274</v>
      </c>
      <c r="E31">
        <f t="shared" si="0"/>
        <v>0.51800000000000002</v>
      </c>
      <c r="F31" s="106">
        <v>-0.11400597599999999</v>
      </c>
      <c r="G31" s="26">
        <v>0.25265755200000001</v>
      </c>
      <c r="H31" s="26">
        <v>1.888764704</v>
      </c>
      <c r="I31" s="26">
        <v>7.2767187999999997E-2</v>
      </c>
      <c r="J31">
        <v>279</v>
      </c>
      <c r="K31">
        <f t="shared" si="1"/>
        <v>0.89994159387262551</v>
      </c>
    </row>
    <row r="32" spans="2:41" ht="29" x14ac:dyDescent="0.35">
      <c r="B32">
        <v>1997</v>
      </c>
      <c r="C32">
        <v>1.373</v>
      </c>
      <c r="D32">
        <v>1.04</v>
      </c>
      <c r="E32">
        <f t="shared" si="0"/>
        <v>1.373</v>
      </c>
      <c r="F32" s="106">
        <v>-4.9706443000000003E-2</v>
      </c>
      <c r="G32" s="26">
        <v>-0.85755870000000001</v>
      </c>
      <c r="H32" s="26">
        <v>1.648210728</v>
      </c>
      <c r="I32" s="26">
        <v>-0.82315929799999998</v>
      </c>
      <c r="J32">
        <v>276</v>
      </c>
      <c r="K32">
        <f t="shared" si="1"/>
        <v>-0.27777741363255271</v>
      </c>
      <c r="M32" s="132" t="s">
        <v>126</v>
      </c>
      <c r="N32" s="132" t="s">
        <v>298</v>
      </c>
      <c r="O32" s="132" t="s">
        <v>128</v>
      </c>
      <c r="AG32" t="s">
        <v>125</v>
      </c>
    </row>
    <row r="33" spans="2:36" ht="15" thickBot="1" x14ac:dyDescent="0.4">
      <c r="B33">
        <v>1998</v>
      </c>
      <c r="C33">
        <v>0.67200000000000004</v>
      </c>
      <c r="D33">
        <v>0.55000000000000004</v>
      </c>
      <c r="E33">
        <f t="shared" si="0"/>
        <v>0.67200000000000004</v>
      </c>
      <c r="F33" s="106">
        <v>1.8021255999999999E-2</v>
      </c>
      <c r="G33" s="26">
        <v>0.34956636200000002</v>
      </c>
      <c r="H33" s="26">
        <v>0.87861887400000005</v>
      </c>
      <c r="I33" s="26">
        <v>1.501564983</v>
      </c>
      <c r="J33">
        <v>275</v>
      </c>
      <c r="K33">
        <f t="shared" si="1"/>
        <v>-0.20034006229663295</v>
      </c>
      <c r="M33" s="46">
        <v>1</v>
      </c>
      <c r="N33" s="46">
        <v>-0.14437637921811758</v>
      </c>
      <c r="O33" s="46">
        <v>0.40095686295512134</v>
      </c>
      <c r="W33" t="s">
        <v>125</v>
      </c>
    </row>
    <row r="34" spans="2:36" ht="15" thickBot="1" x14ac:dyDescent="0.4">
      <c r="B34">
        <v>1999</v>
      </c>
      <c r="C34">
        <v>0.74399999999999999</v>
      </c>
      <c r="D34">
        <v>0.504</v>
      </c>
      <c r="E34">
        <f t="shared" si="0"/>
        <v>0.74399999999999999</v>
      </c>
      <c r="F34" s="106">
        <v>8.9429476999999993E-2</v>
      </c>
      <c r="G34" s="26">
        <v>4.3848934999999999E-2</v>
      </c>
      <c r="H34" s="26">
        <v>0.71222063499999999</v>
      </c>
      <c r="I34" s="26">
        <v>-7.5577937999999997E-2</v>
      </c>
      <c r="J34">
        <v>269</v>
      </c>
      <c r="K34">
        <f t="shared" si="1"/>
        <v>-0.38946476676172315</v>
      </c>
      <c r="M34" s="46">
        <v>2</v>
      </c>
      <c r="N34" s="46">
        <v>0.14417687533711998</v>
      </c>
      <c r="O34" s="46">
        <v>0.71370309438062063</v>
      </c>
      <c r="P34">
        <f>O33</f>
        <v>0.40095686295512134</v>
      </c>
      <c r="AG34" s="48" t="s">
        <v>126</v>
      </c>
      <c r="AH34" s="48" t="s">
        <v>298</v>
      </c>
      <c r="AI34" s="48" t="s">
        <v>128</v>
      </c>
      <c r="AJ34" s="48" t="s">
        <v>129</v>
      </c>
    </row>
    <row r="35" spans="2:36" x14ac:dyDescent="0.35">
      <c r="B35">
        <v>2000</v>
      </c>
      <c r="C35">
        <v>0.73899999999999999</v>
      </c>
      <c r="D35">
        <v>0.59899999999999998</v>
      </c>
      <c r="E35">
        <f t="shared" si="0"/>
        <v>0.73899999999999999</v>
      </c>
      <c r="F35" s="106">
        <v>0.16479419300000001</v>
      </c>
      <c r="G35" s="26">
        <v>1.208955494</v>
      </c>
      <c r="H35" s="26">
        <v>6.8331797999999999E-2</v>
      </c>
      <c r="I35" s="26">
        <v>6.4022630000000001E-3</v>
      </c>
      <c r="J35">
        <v>264</v>
      </c>
      <c r="K35">
        <f t="shared" si="1"/>
        <v>-0.21003632283275248</v>
      </c>
      <c r="M35" s="46">
        <v>3</v>
      </c>
      <c r="N35" s="46">
        <v>0.18070260376183356</v>
      </c>
      <c r="O35" s="46">
        <v>0.69768885552133553</v>
      </c>
      <c r="P35">
        <f t="shared" ref="P35:P77" si="2">O34</f>
        <v>0.71370309438062063</v>
      </c>
      <c r="W35" s="48" t="s">
        <v>126</v>
      </c>
      <c r="X35" s="48" t="s">
        <v>298</v>
      </c>
      <c r="Y35" s="48" t="s">
        <v>128</v>
      </c>
      <c r="Z35" s="48" t="s">
        <v>129</v>
      </c>
      <c r="AG35" s="46">
        <v>1</v>
      </c>
      <c r="AH35" s="46">
        <v>0.70170032494065016</v>
      </c>
      <c r="AI35" s="46">
        <v>-0.44511984120364639</v>
      </c>
      <c r="AJ35" s="46">
        <v>-0.76838732550355549</v>
      </c>
    </row>
    <row r="36" spans="2:36" x14ac:dyDescent="0.35">
      <c r="B36">
        <v>2001</v>
      </c>
      <c r="C36">
        <v>1.258</v>
      </c>
      <c r="D36">
        <v>0.48399999999999999</v>
      </c>
      <c r="E36">
        <f t="shared" si="0"/>
        <v>1.258</v>
      </c>
      <c r="F36" s="106">
        <v>0.244417472</v>
      </c>
      <c r="G36" s="26">
        <v>0.95703736299999997</v>
      </c>
      <c r="H36" s="26">
        <v>-0.83329344100000002</v>
      </c>
      <c r="I36" s="26">
        <v>-8.9241305000000007E-2</v>
      </c>
      <c r="J36">
        <v>250</v>
      </c>
      <c r="K36">
        <f t="shared" si="1"/>
        <v>-0.95519353054375422</v>
      </c>
      <c r="M36" s="46">
        <v>4</v>
      </c>
      <c r="N36" s="46">
        <v>1.2684253008150959E-2</v>
      </c>
      <c r="O36" s="46">
        <v>0.53783596944278655</v>
      </c>
      <c r="P36">
        <f t="shared" si="2"/>
        <v>0.69768885552133553</v>
      </c>
      <c r="W36" s="46">
        <v>1</v>
      </c>
      <c r="X36" s="46">
        <v>0.58924194193893953</v>
      </c>
      <c r="Y36" s="46">
        <v>-0.33266145820193577</v>
      </c>
      <c r="Z36" s="46">
        <v>-0.57779050610833327</v>
      </c>
      <c r="AG36" s="46">
        <v>2</v>
      </c>
      <c r="AH36" s="46">
        <v>1.2274356151448185</v>
      </c>
      <c r="AI36" s="46">
        <v>-0.36955564542707786</v>
      </c>
      <c r="AJ36" s="46">
        <v>-0.63794476841695635</v>
      </c>
    </row>
    <row r="37" spans="2:36" x14ac:dyDescent="0.35">
      <c r="B37">
        <v>2002</v>
      </c>
      <c r="C37">
        <v>1.1140000000000001</v>
      </c>
      <c r="D37">
        <v>0.29899999999999999</v>
      </c>
      <c r="E37">
        <f t="shared" si="0"/>
        <v>1.1140000000000001</v>
      </c>
      <c r="F37" s="106">
        <v>0.32863021999999997</v>
      </c>
      <c r="G37" s="26">
        <v>-0.67757831099999999</v>
      </c>
      <c r="H37" s="26">
        <v>-0.229195487</v>
      </c>
      <c r="I37" s="26">
        <v>-0.46400794000000001</v>
      </c>
      <c r="J37">
        <v>247</v>
      </c>
      <c r="K37">
        <f t="shared" si="1"/>
        <v>-1.315268847096543</v>
      </c>
      <c r="M37" s="46">
        <v>5</v>
      </c>
      <c r="N37" s="46">
        <v>0.2135757593440758</v>
      </c>
      <c r="O37" s="46">
        <v>1.4015096065830996</v>
      </c>
      <c r="P37">
        <f t="shared" si="2"/>
        <v>0.53783596944278655</v>
      </c>
      <c r="W37" s="46">
        <v>2</v>
      </c>
      <c r="X37" s="46">
        <v>1.1247955355425034</v>
      </c>
      <c r="Y37" s="46">
        <v>-0.26691556582476283</v>
      </c>
      <c r="Z37" s="46">
        <v>-0.46359828006424708</v>
      </c>
      <c r="AG37" s="46">
        <v>3</v>
      </c>
      <c r="AH37" s="46">
        <v>1.134732106534635</v>
      </c>
      <c r="AI37" s="46">
        <v>-0.25634064725146588</v>
      </c>
      <c r="AJ37" s="46">
        <v>-0.44250758138927609</v>
      </c>
    </row>
    <row r="38" spans="2:36" x14ac:dyDescent="0.35">
      <c r="B38">
        <v>2003</v>
      </c>
      <c r="C38">
        <v>0.91700000000000004</v>
      </c>
      <c r="D38">
        <v>0.33100000000000002</v>
      </c>
      <c r="E38">
        <f t="shared" si="0"/>
        <v>0.91700000000000004</v>
      </c>
      <c r="F38" s="106">
        <v>0.41779522499999999</v>
      </c>
      <c r="G38" s="26">
        <v>-0.60482184500000002</v>
      </c>
      <c r="H38" s="26">
        <v>0.50603151300000004</v>
      </c>
      <c r="I38" s="26">
        <v>-1.0144464339999999</v>
      </c>
      <c r="J38">
        <v>251</v>
      </c>
      <c r="K38">
        <f t="shared" si="1"/>
        <v>-1.018989096879402</v>
      </c>
      <c r="M38" s="46">
        <v>6</v>
      </c>
      <c r="N38" s="46">
        <v>-3.6625480365212404E-2</v>
      </c>
      <c r="O38" s="46">
        <v>0.91865540063526663</v>
      </c>
      <c r="P38">
        <f t="shared" si="2"/>
        <v>1.4015096065830996</v>
      </c>
      <c r="W38" s="46">
        <v>3</v>
      </c>
      <c r="X38" s="46">
        <v>1.0344898461760268</v>
      </c>
      <c r="Y38" s="46">
        <v>-0.15609838689285771</v>
      </c>
      <c r="Z38" s="46">
        <v>-0.27112298026051829</v>
      </c>
      <c r="AG38" s="46">
        <v>4</v>
      </c>
      <c r="AH38" s="46">
        <v>0.96027781770479059</v>
      </c>
      <c r="AI38" s="46">
        <v>-0.40975759525385314</v>
      </c>
      <c r="AJ38" s="46">
        <v>-0.70734331201791711</v>
      </c>
    </row>
    <row r="39" spans="2:36" x14ac:dyDescent="0.35">
      <c r="B39">
        <v>2004</v>
      </c>
      <c r="C39">
        <v>0.254</v>
      </c>
      <c r="D39">
        <v>0.27600000000000002</v>
      </c>
      <c r="E39">
        <f t="shared" si="0"/>
        <v>0.254</v>
      </c>
      <c r="F39" s="106">
        <v>0.51231053699999995</v>
      </c>
      <c r="G39" s="26">
        <v>-1.394178981</v>
      </c>
      <c r="H39" s="26">
        <v>1.452873665</v>
      </c>
      <c r="I39" s="26">
        <v>-1.404828346</v>
      </c>
      <c r="J39">
        <v>270</v>
      </c>
      <c r="K39">
        <f t="shared" si="1"/>
        <v>8.3066598698613478E-2</v>
      </c>
      <c r="M39" s="46">
        <v>7</v>
      </c>
      <c r="N39" s="46">
        <v>0.12964267923478601</v>
      </c>
      <c r="O39" s="46">
        <v>1.7207374856412105</v>
      </c>
      <c r="P39">
        <f t="shared" si="2"/>
        <v>0.91865540063526663</v>
      </c>
      <c r="W39" s="46">
        <v>4</v>
      </c>
      <c r="X39" s="46">
        <v>0.85491705684834285</v>
      </c>
      <c r="Y39" s="46">
        <v>-0.30439683439740539</v>
      </c>
      <c r="Z39" s="46">
        <v>-0.52869846105673057</v>
      </c>
      <c r="AG39" s="46">
        <v>5</v>
      </c>
      <c r="AH39" s="46">
        <v>1.3685500183776358</v>
      </c>
      <c r="AI39" s="46">
        <v>0.24653534754953976</v>
      </c>
      <c r="AJ39" s="46">
        <v>0.42558120040982922</v>
      </c>
    </row>
    <row r="40" spans="2:36" x14ac:dyDescent="0.35">
      <c r="B40">
        <v>2005</v>
      </c>
      <c r="C40">
        <v>0.38400000000000001</v>
      </c>
      <c r="D40">
        <v>0.38400000000000001</v>
      </c>
      <c r="E40">
        <f t="shared" si="0"/>
        <v>0.38400000000000001</v>
      </c>
      <c r="F40" s="106">
        <v>0.61261321899999999</v>
      </c>
      <c r="G40" s="26">
        <v>-0.444916951</v>
      </c>
      <c r="H40" s="26">
        <v>0.383041511</v>
      </c>
      <c r="I40" s="26">
        <v>8.3541729999999995E-3</v>
      </c>
      <c r="J40">
        <v>279</v>
      </c>
      <c r="K40">
        <f t="shared" si="1"/>
        <v>0</v>
      </c>
      <c r="M40" s="46">
        <v>8</v>
      </c>
      <c r="N40" s="46">
        <v>6.1917891113962842E-2</v>
      </c>
      <c r="O40" s="46">
        <v>1.4827575109331137</v>
      </c>
      <c r="P40">
        <f t="shared" si="2"/>
        <v>1.7207374856412105</v>
      </c>
      <c r="W40" s="46">
        <v>5</v>
      </c>
      <c r="X40" s="46">
        <v>1.2923307402976256</v>
      </c>
      <c r="Y40" s="46">
        <v>0.32275462562954993</v>
      </c>
      <c r="Z40" s="46">
        <v>0.56058360201770474</v>
      </c>
      <c r="AG40" s="46">
        <v>6</v>
      </c>
      <c r="AH40" s="46">
        <v>0.70704472583394629</v>
      </c>
      <c r="AI40" s="46">
        <v>0.17498519443610794</v>
      </c>
      <c r="AJ40" s="46">
        <v>0.30206787725278139</v>
      </c>
    </row>
    <row r="41" spans="2:36" x14ac:dyDescent="0.35">
      <c r="B41">
        <v>2006</v>
      </c>
      <c r="C41">
        <v>0.55200000000000005</v>
      </c>
      <c r="D41">
        <v>0.436</v>
      </c>
      <c r="E41">
        <f t="shared" si="0"/>
        <v>0.55200000000000005</v>
      </c>
      <c r="F41" s="106">
        <v>0.71918350099999995</v>
      </c>
      <c r="G41" s="26">
        <v>-0.15371162799999999</v>
      </c>
      <c r="H41" s="26">
        <v>1.568628962</v>
      </c>
      <c r="I41" s="26">
        <v>-1.326751963</v>
      </c>
      <c r="J41">
        <v>290</v>
      </c>
      <c r="K41">
        <f t="shared" si="1"/>
        <v>-0.23590580292806104</v>
      </c>
      <c r="M41" s="46">
        <v>9</v>
      </c>
      <c r="N41" s="46">
        <v>0.17872412680549493</v>
      </c>
      <c r="O41" s="46">
        <v>1.7561551468239398</v>
      </c>
      <c r="P41">
        <f t="shared" si="2"/>
        <v>1.4827575109331137</v>
      </c>
      <c r="W41" s="46">
        <v>6</v>
      </c>
      <c r="X41" s="46">
        <v>0.66049513716586772</v>
      </c>
      <c r="Y41" s="46">
        <v>0.22153478310418651</v>
      </c>
      <c r="Z41" s="46">
        <v>0.38477765095548694</v>
      </c>
      <c r="AG41" s="46">
        <v>7</v>
      </c>
      <c r="AH41" s="46">
        <v>1.2210939544362129</v>
      </c>
      <c r="AI41" s="46">
        <v>0.62928621043978361</v>
      </c>
      <c r="AJ41" s="46">
        <v>1.0863041892461294</v>
      </c>
    </row>
    <row r="42" spans="2:36" x14ac:dyDescent="0.35">
      <c r="B42">
        <v>2007</v>
      </c>
      <c r="C42">
        <v>0.374</v>
      </c>
      <c r="D42">
        <v>0.56399999999999995</v>
      </c>
      <c r="E42">
        <f t="shared" si="0"/>
        <v>0.374</v>
      </c>
      <c r="F42" s="106">
        <v>0.83254940499999996</v>
      </c>
      <c r="G42" s="26">
        <v>-0.726701229</v>
      </c>
      <c r="H42" s="26">
        <v>1.1426856439999999</v>
      </c>
      <c r="I42" s="26">
        <v>-1.7288453319999999</v>
      </c>
      <c r="J42">
        <v>295</v>
      </c>
      <c r="K42">
        <f t="shared" si="1"/>
        <v>0.41079845408352683</v>
      </c>
      <c r="M42" s="46">
        <v>10</v>
      </c>
      <c r="N42" s="46">
        <v>4.55574085903932E-2</v>
      </c>
      <c r="O42" s="46">
        <v>1.3468613226240558</v>
      </c>
      <c r="P42">
        <f t="shared" si="2"/>
        <v>1.7561551468239398</v>
      </c>
      <c r="W42" s="46">
        <v>7</v>
      </c>
      <c r="X42" s="46">
        <v>1.183825092905511</v>
      </c>
      <c r="Y42" s="46">
        <v>0.66655507197048558</v>
      </c>
      <c r="Z42" s="46">
        <v>1.1577211092158384</v>
      </c>
      <c r="AG42" s="46">
        <v>8</v>
      </c>
      <c r="AH42" s="46">
        <v>1.1185892684381231</v>
      </c>
      <c r="AI42" s="46">
        <v>0.42608613360895342</v>
      </c>
      <c r="AJ42" s="46">
        <v>0.73553042199290819</v>
      </c>
    </row>
    <row r="43" spans="2:36" x14ac:dyDescent="0.35">
      <c r="B43">
        <v>2008</v>
      </c>
      <c r="C43">
        <v>0.158</v>
      </c>
      <c r="D43">
        <v>1.0029999999999999</v>
      </c>
      <c r="E43">
        <f t="shared" si="0"/>
        <v>0.158</v>
      </c>
      <c r="F43" s="106">
        <v>0.95329186200000005</v>
      </c>
      <c r="G43" s="26">
        <v>-1.0574423900000001</v>
      </c>
      <c r="H43" s="26">
        <v>1.3524921190000001</v>
      </c>
      <c r="I43" s="26">
        <v>-0.90123567999999998</v>
      </c>
      <c r="J43">
        <v>299</v>
      </c>
      <c r="K43">
        <f t="shared" si="1"/>
        <v>1.8481557549349685</v>
      </c>
      <c r="M43" s="46">
        <v>11</v>
      </c>
      <c r="N43" s="46">
        <v>-0.18082601237527968</v>
      </c>
      <c r="O43" s="46">
        <v>0.40305471032894258</v>
      </c>
      <c r="P43">
        <f t="shared" si="2"/>
        <v>1.3468613226240558</v>
      </c>
      <c r="W43" s="46">
        <v>8</v>
      </c>
      <c r="X43" s="46">
        <v>1.0872477087130419</v>
      </c>
      <c r="Y43" s="46">
        <v>0.45742769333403466</v>
      </c>
      <c r="Z43" s="46">
        <v>0.79449353666634459</v>
      </c>
      <c r="AG43" s="46">
        <v>9</v>
      </c>
      <c r="AH43" s="46">
        <v>1.3346189191862641</v>
      </c>
      <c r="AI43" s="46">
        <v>0.60026035444317061</v>
      </c>
      <c r="AJ43" s="46">
        <v>1.0361983575236451</v>
      </c>
    </row>
    <row r="44" spans="2:36" x14ac:dyDescent="0.35">
      <c r="B44">
        <v>2009</v>
      </c>
      <c r="C44">
        <v>0.35</v>
      </c>
      <c r="D44">
        <v>0.69599999999999995</v>
      </c>
      <c r="E44">
        <f t="shared" si="0"/>
        <v>0.35</v>
      </c>
      <c r="F44" s="106">
        <v>1.082050403</v>
      </c>
      <c r="G44" s="26">
        <v>0.89261870099999996</v>
      </c>
      <c r="H44" s="26">
        <v>0.65162997199999995</v>
      </c>
      <c r="I44" s="26">
        <v>-0.28638416999999999</v>
      </c>
      <c r="J44">
        <v>303</v>
      </c>
      <c r="K44">
        <f t="shared" si="1"/>
        <v>0.68741650585096037</v>
      </c>
      <c r="M44" s="46">
        <v>12</v>
      </c>
      <c r="N44" s="46">
        <v>-2.9396429947821212E-2</v>
      </c>
      <c r="O44" s="46">
        <v>-0.10350472379531228</v>
      </c>
      <c r="P44">
        <f t="shared" si="2"/>
        <v>0.40305471032894258</v>
      </c>
      <c r="W44" s="46">
        <v>9</v>
      </c>
      <c r="X44" s="46">
        <v>1.3128753188252626</v>
      </c>
      <c r="Y44" s="46">
        <v>0.62200395480417203</v>
      </c>
      <c r="Z44" s="46">
        <v>1.0803415033115371</v>
      </c>
      <c r="AG44" s="46">
        <v>10</v>
      </c>
      <c r="AH44" s="46">
        <v>1.0035201714532505</v>
      </c>
      <c r="AI44" s="46">
        <v>0.38889855976119847</v>
      </c>
      <c r="AJ44" s="46">
        <v>0.67133543950555308</v>
      </c>
    </row>
    <row r="45" spans="2:36" x14ac:dyDescent="0.35">
      <c r="B45">
        <v>2010</v>
      </c>
      <c r="C45">
        <v>0.14399999999999999</v>
      </c>
      <c r="D45">
        <v>0.30199999999999999</v>
      </c>
      <c r="E45">
        <f t="shared" si="0"/>
        <v>0.14399999999999999</v>
      </c>
      <c r="F45" s="106">
        <v>1.2195294750000001</v>
      </c>
      <c r="G45" s="26">
        <v>2.0609843379999999</v>
      </c>
      <c r="H45" s="26">
        <v>8.7322901999999994E-2</v>
      </c>
      <c r="I45" s="26">
        <v>1.741649859</v>
      </c>
      <c r="J45">
        <v>308</v>
      </c>
      <c r="K45">
        <f t="shared" si="1"/>
        <v>0.74061371779886909</v>
      </c>
      <c r="M45" s="46">
        <v>13</v>
      </c>
      <c r="N45" s="46">
        <v>-0.79643672686680689</v>
      </c>
      <c r="O45" s="46">
        <v>-0.37085092256960017</v>
      </c>
      <c r="P45">
        <f t="shared" si="2"/>
        <v>-0.10350472379531228</v>
      </c>
      <c r="W45" s="46">
        <v>10</v>
      </c>
      <c r="X45" s="46">
        <v>0.9779434524968541</v>
      </c>
      <c r="Y45" s="46">
        <v>0.41447527871759482</v>
      </c>
      <c r="Z45" s="46">
        <v>0.71989067310063892</v>
      </c>
      <c r="AG45" s="46">
        <v>11</v>
      </c>
      <c r="AH45" s="46">
        <v>0.38268723701468077</v>
      </c>
      <c r="AI45" s="46">
        <v>-0.16045853906101787</v>
      </c>
      <c r="AJ45" s="46">
        <v>-0.27699126453204997</v>
      </c>
    </row>
    <row r="46" spans="2:36" x14ac:dyDescent="0.35">
      <c r="B46">
        <v>2011</v>
      </c>
      <c r="C46">
        <v>0.374</v>
      </c>
      <c r="D46">
        <v>0.22800000000000001</v>
      </c>
      <c r="E46">
        <f t="shared" si="0"/>
        <v>0.374</v>
      </c>
      <c r="F46" s="106">
        <v>1.3665054459999999</v>
      </c>
      <c r="G46" s="26">
        <v>1.737063217</v>
      </c>
      <c r="H46" s="26">
        <v>-0.76998976299999999</v>
      </c>
      <c r="I46" s="26">
        <v>1.0545776950000001</v>
      </c>
      <c r="J46">
        <v>311</v>
      </c>
      <c r="K46">
        <f t="shared" si="1"/>
        <v>-0.49491016846009117</v>
      </c>
      <c r="M46" s="46">
        <v>14</v>
      </c>
      <c r="N46" s="46">
        <v>-0.35622560408145648</v>
      </c>
      <c r="O46" s="46">
        <v>-0.12184258500100942</v>
      </c>
      <c r="P46">
        <f t="shared" si="2"/>
        <v>-0.37085092256960017</v>
      </c>
      <c r="W46" s="46">
        <v>11</v>
      </c>
      <c r="X46" s="46">
        <v>0.35065947543844561</v>
      </c>
      <c r="Y46" s="46">
        <v>-0.12843077748478271</v>
      </c>
      <c r="Z46" s="46">
        <v>-0.2230678730379819</v>
      </c>
      <c r="AG46" s="46">
        <v>12</v>
      </c>
      <c r="AH46" s="46">
        <v>0.72826043352220804</v>
      </c>
      <c r="AI46" s="46">
        <v>-0.86116158726534153</v>
      </c>
      <c r="AJ46" s="46">
        <v>-1.4865786415539182</v>
      </c>
    </row>
    <row r="47" spans="2:36" x14ac:dyDescent="0.35">
      <c r="B47">
        <v>2012</v>
      </c>
      <c r="C47">
        <v>0.307</v>
      </c>
      <c r="D47">
        <v>0.14099999999999999</v>
      </c>
      <c r="E47">
        <f t="shared" si="0"/>
        <v>0.307</v>
      </c>
      <c r="F47" s="106">
        <v>1.5238343910000001</v>
      </c>
      <c r="G47" s="26">
        <v>1.9340650450000001</v>
      </c>
      <c r="H47" s="26">
        <v>-0.73562490899999999</v>
      </c>
      <c r="I47" s="26">
        <v>0.57831176299999998</v>
      </c>
      <c r="J47">
        <v>317</v>
      </c>
      <c r="K47">
        <f t="shared" si="1"/>
        <v>-0.77808785720902895</v>
      </c>
      <c r="M47" s="46">
        <v>15</v>
      </c>
      <c r="N47" s="46">
        <v>-0.48406565356795411</v>
      </c>
      <c r="O47" s="46">
        <v>0.27139116486195064</v>
      </c>
      <c r="P47">
        <f t="shared" si="2"/>
        <v>-0.12184258500100942</v>
      </c>
      <c r="W47" s="46">
        <v>12</v>
      </c>
      <c r="X47" s="46">
        <v>0.67044733876328355</v>
      </c>
      <c r="Y47" s="46">
        <v>-0.80334849250641704</v>
      </c>
      <c r="Z47" s="46">
        <v>-1.395313826180866</v>
      </c>
      <c r="AG47" s="46">
        <v>13</v>
      </c>
      <c r="AH47" s="46">
        <v>-1.7750714869450928</v>
      </c>
      <c r="AI47" s="46">
        <v>0.6077838375086857</v>
      </c>
      <c r="AJ47" s="46">
        <v>1.0491857566374436</v>
      </c>
    </row>
    <row r="48" spans="2:36" x14ac:dyDescent="0.35">
      <c r="B48">
        <v>2013</v>
      </c>
      <c r="C48">
        <v>0.374</v>
      </c>
      <c r="D48">
        <v>0.112</v>
      </c>
      <c r="E48">
        <f t="shared" si="0"/>
        <v>0.374</v>
      </c>
      <c r="F48" s="106">
        <v>1.6924607309999999</v>
      </c>
      <c r="G48" s="26">
        <v>0.22747257000000001</v>
      </c>
      <c r="H48" s="26">
        <v>-0.53305314000000004</v>
      </c>
      <c r="I48" s="26">
        <v>6.6911460000000006E-2</v>
      </c>
      <c r="J48">
        <v>316</v>
      </c>
      <c r="K48">
        <f t="shared" si="1"/>
        <v>-1.2057569261194372</v>
      </c>
      <c r="M48" s="46">
        <v>16</v>
      </c>
      <c r="N48" s="46">
        <v>-0.48939232229655821</v>
      </c>
      <c r="O48" s="46">
        <v>8.1790004569589236E-2</v>
      </c>
      <c r="P48">
        <f t="shared" si="2"/>
        <v>0.27139116486195064</v>
      </c>
      <c r="W48" s="46">
        <v>13</v>
      </c>
      <c r="X48" s="46">
        <v>-1.8165316824441931</v>
      </c>
      <c r="Y48" s="46">
        <v>0.64924403300778599</v>
      </c>
      <c r="Z48" s="46">
        <v>1.1276540433838609</v>
      </c>
      <c r="AG48" s="46">
        <v>14</v>
      </c>
      <c r="AH48" s="46">
        <v>-0.80446252449367606</v>
      </c>
      <c r="AI48" s="46">
        <v>0.32639433541121016</v>
      </c>
      <c r="AJ48" s="46">
        <v>0.56343763461082863</v>
      </c>
    </row>
    <row r="49" spans="2:36" x14ac:dyDescent="0.35">
      <c r="B49">
        <v>2014</v>
      </c>
      <c r="C49">
        <v>0.95499999999999996</v>
      </c>
      <c r="D49">
        <v>5.8000000000000003E-2</v>
      </c>
      <c r="E49">
        <f t="shared" si="0"/>
        <v>0.95499999999999996</v>
      </c>
      <c r="F49" s="106">
        <v>1.8734268300000001</v>
      </c>
      <c r="G49" s="26">
        <v>0.98533114700000002</v>
      </c>
      <c r="H49" s="26">
        <v>-1.8570043439999999</v>
      </c>
      <c r="I49" s="26">
        <v>-0.19464442100000001</v>
      </c>
      <c r="J49">
        <v>324</v>
      </c>
      <c r="K49">
        <f t="shared" si="1"/>
        <v>-2.8012683299343109</v>
      </c>
      <c r="M49" s="46">
        <v>17</v>
      </c>
      <c r="N49" s="46">
        <v>0.16959269469931651</v>
      </c>
      <c r="O49" s="46">
        <v>0.66331642823578763</v>
      </c>
      <c r="P49">
        <f t="shared" si="2"/>
        <v>8.1790004569589236E-2</v>
      </c>
      <c r="W49" s="46">
        <v>14</v>
      </c>
      <c r="X49" s="46">
        <v>-0.79499919175421885</v>
      </c>
      <c r="Y49" s="46">
        <v>0.31693100267175295</v>
      </c>
      <c r="Z49" s="46">
        <v>0.55046871202005709</v>
      </c>
      <c r="AG49" s="46">
        <v>15</v>
      </c>
      <c r="AH49" s="46">
        <v>-0.77542403027452778</v>
      </c>
      <c r="AI49" s="46">
        <v>0.5627495415685243</v>
      </c>
      <c r="AJ49" s="46">
        <v>0.97144538424733795</v>
      </c>
    </row>
    <row r="50" spans="2:36" x14ac:dyDescent="0.35">
      <c r="B50">
        <v>2015</v>
      </c>
      <c r="C50">
        <v>0.41799999999999998</v>
      </c>
      <c r="D50">
        <v>2.7E-2</v>
      </c>
      <c r="E50">
        <f t="shared" si="0"/>
        <v>0.41799999999999998</v>
      </c>
      <c r="F50" s="106">
        <v>2.067883642</v>
      </c>
      <c r="G50" s="26">
        <v>2.2785281519999998</v>
      </c>
      <c r="H50" s="26">
        <v>-1.7982223580000001</v>
      </c>
      <c r="I50" s="26">
        <v>-0.73727527800000003</v>
      </c>
      <c r="J50">
        <v>325</v>
      </c>
      <c r="K50">
        <f t="shared" si="1"/>
        <v>-2.7396445665204272</v>
      </c>
      <c r="M50" s="46">
        <v>18</v>
      </c>
      <c r="N50" s="46">
        <v>0.24835129661510522</v>
      </c>
      <c r="O50" s="46">
        <v>0.7826850531445978</v>
      </c>
      <c r="P50">
        <f t="shared" si="2"/>
        <v>0.66331642823578763</v>
      </c>
      <c r="W50" s="46">
        <v>15</v>
      </c>
      <c r="X50" s="46">
        <v>-0.73990709065200289</v>
      </c>
      <c r="Y50" s="46">
        <v>0.52723260194599941</v>
      </c>
      <c r="Z50" s="46">
        <v>0.91573575598972035</v>
      </c>
      <c r="AG50" s="46">
        <v>16</v>
      </c>
      <c r="AH50" s="46">
        <v>-1.0735594731016658</v>
      </c>
      <c r="AI50" s="46">
        <v>0.6659571553746968</v>
      </c>
      <c r="AJ50" s="46">
        <v>1.1496073420016468</v>
      </c>
    </row>
    <row r="51" spans="2:36" x14ac:dyDescent="0.35">
      <c r="B51">
        <v>2016</v>
      </c>
      <c r="C51">
        <v>0.13400000000000001</v>
      </c>
      <c r="D51">
        <v>3.9E-2</v>
      </c>
      <c r="E51">
        <f t="shared" si="0"/>
        <v>0.13400000000000001</v>
      </c>
      <c r="F51" s="106">
        <v>2.2771025479999998</v>
      </c>
      <c r="G51" s="26">
        <v>1.46155122</v>
      </c>
      <c r="H51" s="26">
        <v>-1.3487662460000001</v>
      </c>
      <c r="I51" s="26">
        <v>-0.90123567999999998</v>
      </c>
      <c r="J51">
        <v>331</v>
      </c>
      <c r="K51">
        <f t="shared" si="1"/>
        <v>-1.2342781538212648</v>
      </c>
      <c r="M51" s="46">
        <v>19</v>
      </c>
      <c r="N51" s="46">
        <v>0.2243812873363869</v>
      </c>
      <c r="O51" s="46">
        <v>0.83483859962106211</v>
      </c>
      <c r="P51">
        <f t="shared" si="2"/>
        <v>0.7826850531445978</v>
      </c>
      <c r="W51" s="46">
        <v>16</v>
      </c>
      <c r="X51" s="46">
        <v>-1.0107027725204067</v>
      </c>
      <c r="Y51" s="46">
        <v>0.60310045479343777</v>
      </c>
      <c r="Z51" s="46">
        <v>1.0475085358332581</v>
      </c>
      <c r="AG51" s="46">
        <v>17</v>
      </c>
      <c r="AH51" s="46">
        <v>0.74527149732097531</v>
      </c>
      <c r="AI51" s="46">
        <v>8.76376256141288E-2</v>
      </c>
      <c r="AJ51" s="46">
        <v>0.15128429363433793</v>
      </c>
    </row>
    <row r="52" spans="2:36" x14ac:dyDescent="0.35">
      <c r="B52">
        <v>2017</v>
      </c>
      <c r="C52">
        <v>0.187</v>
      </c>
      <c r="D52">
        <v>0.11</v>
      </c>
      <c r="E52">
        <f t="shared" si="0"/>
        <v>0.187</v>
      </c>
      <c r="F52" s="106">
        <v>2.5024884869999999</v>
      </c>
      <c r="G52" s="26">
        <v>0.62435404299999997</v>
      </c>
      <c r="H52" s="26">
        <v>-0.78807652800000005</v>
      </c>
      <c r="I52" s="26">
        <v>-1.9689302070000001</v>
      </c>
      <c r="J52">
        <v>337</v>
      </c>
      <c r="K52">
        <f t="shared" si="1"/>
        <v>-0.53062825106217038</v>
      </c>
      <c r="M52" s="46">
        <v>20</v>
      </c>
      <c r="N52" s="46">
        <v>0.19546508566682197</v>
      </c>
      <c r="O52" s="46">
        <v>0.50503506919838204</v>
      </c>
      <c r="P52">
        <f t="shared" si="2"/>
        <v>0.83483859962106211</v>
      </c>
      <c r="W52" s="46">
        <v>17</v>
      </c>
      <c r="X52" s="46">
        <v>0.8019871490563667</v>
      </c>
      <c r="Y52" s="46">
        <v>3.0921973878737408E-2</v>
      </c>
      <c r="Z52" s="46">
        <v>5.3707523059130215E-2</v>
      </c>
      <c r="AG52" s="46">
        <v>18</v>
      </c>
      <c r="AH52" s="46">
        <v>0.7676881769984043</v>
      </c>
      <c r="AI52" s="46">
        <v>0.26334817276129874</v>
      </c>
      <c r="AJ52" s="46">
        <v>0.4546043097003265</v>
      </c>
    </row>
    <row r="53" spans="2:36" x14ac:dyDescent="0.35">
      <c r="B53">
        <v>2018</v>
      </c>
      <c r="J53">
        <v>329</v>
      </c>
      <c r="M53" s="46">
        <v>21</v>
      </c>
      <c r="N53" s="46">
        <v>-0.18653315744164117</v>
      </c>
      <c r="O53" s="46">
        <v>-0.33906250025157608</v>
      </c>
      <c r="P53">
        <f t="shared" si="2"/>
        <v>0.50503506919838204</v>
      </c>
      <c r="W53" s="46">
        <v>18</v>
      </c>
      <c r="X53" s="46">
        <v>0.84963780896499475</v>
      </c>
      <c r="Y53" s="46">
        <v>0.1813985407947083</v>
      </c>
      <c r="Z53" s="46">
        <v>0.31506611935027506</v>
      </c>
      <c r="AG53" s="46">
        <v>19</v>
      </c>
      <c r="AH53" s="46">
        <v>0.88181732603585727</v>
      </c>
      <c r="AI53" s="46">
        <v>0.17740256092159168</v>
      </c>
      <c r="AJ53" s="46">
        <v>0.30624085180165794</v>
      </c>
    </row>
    <row r="54" spans="2:36" x14ac:dyDescent="0.35">
      <c r="B54">
        <v>2019</v>
      </c>
      <c r="J54">
        <v>333</v>
      </c>
      <c r="M54" s="46">
        <v>22</v>
      </c>
      <c r="N54" s="46">
        <v>5.2786459007784448E-2</v>
      </c>
      <c r="O54" s="46">
        <v>-2.6950791678869775E-2</v>
      </c>
      <c r="P54">
        <f t="shared" si="2"/>
        <v>-0.33906250025157608</v>
      </c>
      <c r="W54" s="46">
        <v>19</v>
      </c>
      <c r="X54" s="46">
        <v>1.0108876452589706</v>
      </c>
      <c r="Y54" s="46">
        <v>4.8332241698478384E-2</v>
      </c>
      <c r="Z54" s="46">
        <v>8.3946936754429255E-2</v>
      </c>
      <c r="AG54" s="46">
        <v>20</v>
      </c>
      <c r="AH54" s="46">
        <v>0.70228392683843344</v>
      </c>
      <c r="AI54" s="46">
        <v>-1.783771973229431E-3</v>
      </c>
      <c r="AJ54" s="46">
        <v>-3.0792331613698782E-3</v>
      </c>
    </row>
    <row r="55" spans="2:36" x14ac:dyDescent="0.35">
      <c r="B55">
        <v>2020</v>
      </c>
      <c r="J55">
        <v>338</v>
      </c>
      <c r="M55" s="46">
        <v>23</v>
      </c>
      <c r="N55" s="46">
        <v>8.5887900392681182E-2</v>
      </c>
      <c r="O55" s="46">
        <v>0.31796949032738642</v>
      </c>
      <c r="P55">
        <f t="shared" si="2"/>
        <v>-2.6950791678869775E-2</v>
      </c>
      <c r="W55" s="46">
        <v>20</v>
      </c>
      <c r="X55" s="46">
        <v>0.82937530185220221</v>
      </c>
      <c r="Y55" s="46">
        <v>-0.1288751469869982</v>
      </c>
      <c r="Z55" s="46">
        <v>-0.22383968616286859</v>
      </c>
      <c r="AG55" s="46">
        <v>21</v>
      </c>
      <c r="AH55" s="46">
        <v>-0.28695351423907939</v>
      </c>
      <c r="AI55" s="46">
        <v>-0.23864214345413787</v>
      </c>
      <c r="AJ55" s="46">
        <v>-0.41195557103298736</v>
      </c>
    </row>
    <row r="56" spans="2:36" x14ac:dyDescent="0.35">
      <c r="B56">
        <v>2021</v>
      </c>
      <c r="J56">
        <v>350</v>
      </c>
      <c r="M56" s="46">
        <v>24</v>
      </c>
      <c r="N56" s="46">
        <v>0.20459651777300039</v>
      </c>
      <c r="O56" s="46">
        <v>0.69534507609962515</v>
      </c>
      <c r="P56">
        <f t="shared" si="2"/>
        <v>0.31796949032738642</v>
      </c>
      <c r="W56" s="46">
        <v>21</v>
      </c>
      <c r="X56" s="46">
        <v>-0.17840963518522679</v>
      </c>
      <c r="Y56" s="46">
        <v>-0.34718602250799047</v>
      </c>
      <c r="Z56" s="46">
        <v>-0.60301782100906953</v>
      </c>
      <c r="AG56" s="46">
        <v>22</v>
      </c>
      <c r="AH56" s="46">
        <v>0.21928555561916108</v>
      </c>
      <c r="AI56" s="46">
        <v>-0.1934498882902464</v>
      </c>
      <c r="AJ56" s="46">
        <v>-0.3339425218169455</v>
      </c>
    </row>
    <row r="57" spans="2:36" x14ac:dyDescent="0.35">
      <c r="B57">
        <v>2022</v>
      </c>
      <c r="J57">
        <v>354</v>
      </c>
      <c r="M57" s="46">
        <v>25</v>
      </c>
      <c r="N57" s="46">
        <v>-0.12071075100960521</v>
      </c>
      <c r="O57" s="46">
        <v>-0.15706666262294749</v>
      </c>
      <c r="P57">
        <f t="shared" si="2"/>
        <v>0.69534507609962515</v>
      </c>
      <c r="W57" s="46">
        <v>22</v>
      </c>
      <c r="X57" s="46">
        <v>0.3403562188719077</v>
      </c>
      <c r="Y57" s="46">
        <v>-0.31452055154299302</v>
      </c>
      <c r="Z57" s="46">
        <v>-0.54628206597706952</v>
      </c>
      <c r="AG57" s="46">
        <v>23</v>
      </c>
      <c r="AH57" s="46">
        <v>0.4355647105339438</v>
      </c>
      <c r="AI57" s="46">
        <v>-3.17073198138762E-2</v>
      </c>
      <c r="AJ57" s="46">
        <v>-5.4734703815469105E-2</v>
      </c>
    </row>
    <row r="58" spans="2:36" x14ac:dyDescent="0.35">
      <c r="M58" s="46">
        <v>26</v>
      </c>
      <c r="N58" s="46">
        <v>0.14600316175835559</v>
      </c>
      <c r="O58" s="46">
        <v>-0.34634322405498852</v>
      </c>
      <c r="P58">
        <f t="shared" si="2"/>
        <v>-0.15706666262294749</v>
      </c>
      <c r="W58" s="46">
        <v>23</v>
      </c>
      <c r="X58" s="46">
        <v>0.5416073629888255</v>
      </c>
      <c r="Y58" s="46">
        <v>-0.1377499722687579</v>
      </c>
      <c r="Z58" s="46">
        <v>-0.23925412527128564</v>
      </c>
      <c r="AG58" s="46">
        <v>24</v>
      </c>
      <c r="AH58" s="46">
        <v>0.88497911402230212</v>
      </c>
      <c r="AI58" s="46">
        <v>1.4962479850323396E-2</v>
      </c>
      <c r="AJ58" s="46">
        <v>2.5828953937442792E-2</v>
      </c>
    </row>
    <row r="59" spans="2:36" x14ac:dyDescent="0.35">
      <c r="M59" s="46">
        <v>27</v>
      </c>
      <c r="N59" s="46">
        <v>0.11860886543982041</v>
      </c>
      <c r="O59" s="46">
        <v>-0.50807363220154356</v>
      </c>
      <c r="P59">
        <f t="shared" si="2"/>
        <v>-0.34634322405498852</v>
      </c>
      <c r="W59" s="46">
        <v>24</v>
      </c>
      <c r="X59" s="46">
        <v>0.96184622998876146</v>
      </c>
      <c r="Y59" s="46">
        <v>-6.1904636116135947E-2</v>
      </c>
      <c r="Z59" s="46">
        <v>-0.10752045405356868</v>
      </c>
      <c r="AG59" s="46">
        <v>25</v>
      </c>
      <c r="AH59" s="46">
        <v>-0.11688553020501777</v>
      </c>
      <c r="AI59" s="46">
        <v>-0.16089188342753494</v>
      </c>
      <c r="AJ59" s="46">
        <v>-0.27773932446554944</v>
      </c>
    </row>
    <row r="60" spans="2:36" x14ac:dyDescent="0.35">
      <c r="M60" s="46">
        <v>28</v>
      </c>
      <c r="N60" s="46">
        <v>0.12051124712860761</v>
      </c>
      <c r="O60" s="46">
        <v>-0.33054756996136009</v>
      </c>
      <c r="P60">
        <f t="shared" si="2"/>
        <v>-0.50807363220154356</v>
      </c>
      <c r="W60" s="46">
        <v>25</v>
      </c>
      <c r="X60" s="46">
        <v>-4.4668414864393879E-2</v>
      </c>
      <c r="Y60" s="46">
        <v>-0.23310899876815883</v>
      </c>
      <c r="Z60" s="46">
        <v>-0.40488058672219684</v>
      </c>
      <c r="AG60" s="46">
        <v>26</v>
      </c>
      <c r="AH60" s="46">
        <v>0.74567790134563228</v>
      </c>
      <c r="AI60" s="46">
        <v>-0.9460179636422652</v>
      </c>
      <c r="AJ60" s="46">
        <v>-1.6330618086935216</v>
      </c>
    </row>
    <row r="61" spans="2:36" x14ac:dyDescent="0.35">
      <c r="M61" s="46">
        <v>29</v>
      </c>
      <c r="N61" s="46">
        <v>-7.6955972167500386E-2</v>
      </c>
      <c r="O61" s="46">
        <v>-0.87823755837625384</v>
      </c>
      <c r="P61">
        <f t="shared" si="2"/>
        <v>-0.33054756996136009</v>
      </c>
      <c r="W61" s="46">
        <v>26</v>
      </c>
      <c r="X61" s="46">
        <v>0.80386337931372087</v>
      </c>
      <c r="Y61" s="46">
        <v>-1.0042034416103538</v>
      </c>
      <c r="Z61" s="46">
        <v>-1.744173244174158</v>
      </c>
      <c r="AG61" s="46">
        <v>27</v>
      </c>
      <c r="AH61" s="46">
        <v>0.31003772168748117</v>
      </c>
      <c r="AI61" s="46">
        <v>-0.69950248844920426</v>
      </c>
      <c r="AJ61" s="46">
        <v>-1.2075149129033313</v>
      </c>
    </row>
    <row r="62" spans="2:36" x14ac:dyDescent="0.35">
      <c r="M62" s="46">
        <v>30</v>
      </c>
      <c r="N62" s="46">
        <v>-2.2167379530429965E-2</v>
      </c>
      <c r="O62" s="46">
        <v>-1.293101467566113</v>
      </c>
      <c r="P62">
        <f t="shared" si="2"/>
        <v>-0.87823755837625384</v>
      </c>
      <c r="W62" s="46">
        <v>27</v>
      </c>
      <c r="X62" s="46">
        <v>0.34506419620436724</v>
      </c>
      <c r="Y62" s="46">
        <v>-0.73452896296609038</v>
      </c>
      <c r="Z62" s="46">
        <v>-1.2757830845729663</v>
      </c>
      <c r="AG62" s="46">
        <v>28</v>
      </c>
      <c r="AH62" s="46">
        <v>2.5699232410010195E-2</v>
      </c>
      <c r="AI62" s="46">
        <v>-0.23573555524276268</v>
      </c>
      <c r="AJ62" s="46">
        <v>-0.40693807835946499</v>
      </c>
    </row>
    <row r="63" spans="2:36" x14ac:dyDescent="0.35">
      <c r="M63" s="46">
        <v>31</v>
      </c>
      <c r="N63" s="46">
        <v>5.2786459007784448E-2</v>
      </c>
      <c r="O63" s="46">
        <v>-1.0717755558871864</v>
      </c>
      <c r="P63">
        <f t="shared" si="2"/>
        <v>-1.293101467566113</v>
      </c>
      <c r="W63" s="46">
        <v>28</v>
      </c>
      <c r="X63" s="46">
        <v>3.0829882004493658E-2</v>
      </c>
      <c r="Y63" s="46">
        <v>-0.24086620483724613</v>
      </c>
      <c r="Z63" s="46">
        <v>-0.41835386386367995</v>
      </c>
      <c r="AG63" s="46">
        <v>29</v>
      </c>
      <c r="AH63" s="46">
        <v>-0.69273307322797695</v>
      </c>
      <c r="AI63" s="46">
        <v>-0.26246045731577727</v>
      </c>
      <c r="AJ63" s="46">
        <v>-0.45307189250870467</v>
      </c>
    </row>
    <row r="64" spans="2:36" x14ac:dyDescent="0.35">
      <c r="M64" s="46">
        <v>32</v>
      </c>
      <c r="N64" s="46">
        <v>0.30504227094096281</v>
      </c>
      <c r="O64" s="46">
        <v>-0.22197567224234932</v>
      </c>
      <c r="P64">
        <f t="shared" si="2"/>
        <v>-1.0717755558871864</v>
      </c>
      <c r="W64" s="46">
        <v>29</v>
      </c>
      <c r="X64" s="46">
        <v>-0.73039789029137159</v>
      </c>
      <c r="Y64" s="46">
        <v>-0.22479564025238263</v>
      </c>
      <c r="Z64" s="46">
        <v>-0.39044134374450706</v>
      </c>
      <c r="AG64" s="46">
        <v>30</v>
      </c>
      <c r="AH64" s="46">
        <v>-0.38803130514047712</v>
      </c>
      <c r="AI64" s="46">
        <v>-0.92723754195606589</v>
      </c>
      <c r="AJ64" s="46">
        <v>-1.6006421395269759</v>
      </c>
    </row>
    <row r="65" spans="13:36" x14ac:dyDescent="0.35">
      <c r="M65" s="46">
        <v>33</v>
      </c>
      <c r="N65" s="46">
        <v>0.25558034703249644</v>
      </c>
      <c r="O65" s="46">
        <v>-0.25558034703249644</v>
      </c>
      <c r="P65">
        <f t="shared" si="2"/>
        <v>-0.22197567224234932</v>
      </c>
      <c r="W65" s="46">
        <v>30</v>
      </c>
      <c r="X65" s="46">
        <v>-0.44009455175717804</v>
      </c>
      <c r="Y65" s="46">
        <v>-0.87517429533936497</v>
      </c>
      <c r="Z65" s="46">
        <v>-1.5200660809049298</v>
      </c>
      <c r="AG65" s="46">
        <v>31</v>
      </c>
      <c r="AH65" s="46">
        <v>-0.26586657903451388</v>
      </c>
      <c r="AI65" s="46">
        <v>-0.75312251784488815</v>
      </c>
      <c r="AJ65" s="46">
        <v>-1.3000763922329435</v>
      </c>
    </row>
    <row r="66" spans="13:36" x14ac:dyDescent="0.35">
      <c r="M66" s="46">
        <v>34</v>
      </c>
      <c r="N66" s="46">
        <v>0.19166032228924762</v>
      </c>
      <c r="O66" s="46">
        <v>-0.42756612521730863</v>
      </c>
      <c r="P66">
        <f t="shared" si="2"/>
        <v>-0.25558034703249644</v>
      </c>
      <c r="W66" s="46">
        <v>31</v>
      </c>
      <c r="X66" s="46">
        <v>-0.32953606442388406</v>
      </c>
      <c r="Y66" s="46">
        <v>-0.68945303245551792</v>
      </c>
      <c r="Z66" s="46">
        <v>-1.1974919448545864</v>
      </c>
      <c r="AG66" s="46">
        <v>32</v>
      </c>
      <c r="AH66" s="46">
        <v>0.5028905390354097</v>
      </c>
      <c r="AI66" s="46">
        <v>-0.41982394033679621</v>
      </c>
      <c r="AJ66" s="46">
        <v>-0.72472032211695636</v>
      </c>
    </row>
    <row r="67" spans="13:36" x14ac:dyDescent="0.35">
      <c r="M67" s="46">
        <v>35</v>
      </c>
      <c r="N67" s="46">
        <v>0.25938511041007084</v>
      </c>
      <c r="O67" s="46">
        <v>0.15141334367345599</v>
      </c>
      <c r="P67">
        <f t="shared" si="2"/>
        <v>-0.42756612521730863</v>
      </c>
      <c r="W67" s="46">
        <v>32</v>
      </c>
      <c r="X67" s="46">
        <v>0.485506261251479</v>
      </c>
      <c r="Y67" s="46">
        <v>-0.40243966255286551</v>
      </c>
      <c r="Z67" s="46">
        <v>-0.69898634353768951</v>
      </c>
      <c r="AG67" s="46">
        <v>33</v>
      </c>
      <c r="AH67" s="46">
        <v>0.29257280994853274</v>
      </c>
      <c r="AI67" s="46">
        <v>-0.29257280994853274</v>
      </c>
      <c r="AJ67" s="46">
        <v>-0.50505328709568986</v>
      </c>
    </row>
    <row r="68" spans="13:36" x14ac:dyDescent="0.35">
      <c r="M68" s="46">
        <v>36</v>
      </c>
      <c r="N68" s="46">
        <v>0.34156799936567644</v>
      </c>
      <c r="O68" s="46">
        <v>1.5065877555692921</v>
      </c>
      <c r="P68">
        <f t="shared" si="2"/>
        <v>0.15141334367345599</v>
      </c>
      <c r="W68" s="46">
        <v>33</v>
      </c>
      <c r="X68" s="46">
        <v>0.29780805800997734</v>
      </c>
      <c r="Y68" s="46">
        <v>-0.29780805800997734</v>
      </c>
      <c r="Z68" s="46">
        <v>-0.51725459718352007</v>
      </c>
      <c r="AG68" s="46">
        <v>34</v>
      </c>
      <c r="AH68" s="46">
        <v>-9.0226279889454697E-2</v>
      </c>
      <c r="AI68" s="46">
        <v>-0.14567952303860635</v>
      </c>
      <c r="AJ68" s="46">
        <v>-0.25147901469765199</v>
      </c>
    </row>
    <row r="69" spans="13:36" x14ac:dyDescent="0.35">
      <c r="M69" s="46">
        <v>37</v>
      </c>
      <c r="N69" s="46">
        <v>0.26851654251624923</v>
      </c>
      <c r="O69" s="46">
        <v>0.41889996333471113</v>
      </c>
      <c r="P69">
        <f t="shared" si="2"/>
        <v>1.5065877555692921</v>
      </c>
      <c r="W69" s="46">
        <v>34</v>
      </c>
      <c r="X69" s="46">
        <v>-8.5277987820655099E-2</v>
      </c>
      <c r="Y69" s="46">
        <v>-0.15062781510740594</v>
      </c>
      <c r="Z69" s="46">
        <v>-0.26162129510076826</v>
      </c>
      <c r="AG69" s="46">
        <v>35</v>
      </c>
      <c r="AH69" s="46">
        <v>-7.1326331595256864E-2</v>
      </c>
      <c r="AI69" s="46">
        <v>0.4821247856787837</v>
      </c>
      <c r="AJ69" s="46">
        <v>0.83226704436481702</v>
      </c>
    </row>
    <row r="70" spans="13:36" x14ac:dyDescent="0.35">
      <c r="M70" s="46">
        <v>38</v>
      </c>
      <c r="N70" s="46">
        <v>0.34689466809428049</v>
      </c>
      <c r="O70" s="46">
        <v>0.3937190497045886</v>
      </c>
      <c r="P70">
        <f t="shared" si="2"/>
        <v>0.41889996333471113</v>
      </c>
      <c r="W70" s="46">
        <v>35</v>
      </c>
      <c r="X70" s="46">
        <v>-5.0943597184880618E-2</v>
      </c>
      <c r="Y70" s="46">
        <v>0.46174205126840745</v>
      </c>
      <c r="Z70" s="46">
        <v>0.80198702589683002</v>
      </c>
      <c r="AG70" s="46">
        <v>36</v>
      </c>
      <c r="AH70" s="46">
        <v>0.29528349963749223</v>
      </c>
      <c r="AI70" s="46">
        <v>1.5528722552974763</v>
      </c>
      <c r="AJ70" s="46">
        <v>2.6806429384728303</v>
      </c>
    </row>
    <row r="71" spans="13:36" x14ac:dyDescent="0.35">
      <c r="M71" s="46">
        <v>39</v>
      </c>
      <c r="N71" s="46">
        <v>0.25938511041007084</v>
      </c>
      <c r="O71" s="46">
        <v>-0.75429527887016201</v>
      </c>
      <c r="P71">
        <f t="shared" si="2"/>
        <v>0.3937190497045886</v>
      </c>
      <c r="W71" s="46">
        <v>36</v>
      </c>
      <c r="X71" s="46">
        <v>0.3114228066098127</v>
      </c>
      <c r="Y71" s="46">
        <v>1.5367329483251559</v>
      </c>
      <c r="Z71" s="46">
        <v>2.6691090478751955</v>
      </c>
      <c r="AG71" s="46">
        <v>37</v>
      </c>
      <c r="AH71" s="46">
        <v>-0.23360879255359923</v>
      </c>
      <c r="AI71" s="46">
        <v>0.9210252984045596</v>
      </c>
      <c r="AJ71" s="46">
        <v>1.5899182652664825</v>
      </c>
    </row>
    <row r="72" spans="13:36" x14ac:dyDescent="0.35">
      <c r="M72" s="46">
        <v>40</v>
      </c>
      <c r="N72" s="46">
        <v>0.28487702503981882</v>
      </c>
      <c r="O72" s="46">
        <v>-1.0629648822488478</v>
      </c>
      <c r="P72">
        <f t="shared" si="2"/>
        <v>-0.75429527887016201</v>
      </c>
      <c r="W72" s="46">
        <v>37</v>
      </c>
      <c r="X72" s="46">
        <v>-0.2328897698822634</v>
      </c>
      <c r="Y72" s="46">
        <v>0.92030627573322377</v>
      </c>
      <c r="Z72" s="46">
        <v>1.5984545721187498</v>
      </c>
      <c r="AG72" s="46">
        <v>38</v>
      </c>
      <c r="AH72" s="46">
        <v>4.3665392139466963E-2</v>
      </c>
      <c r="AI72" s="46">
        <v>0.69694832565940212</v>
      </c>
      <c r="AJ72" s="46">
        <v>1.2031057939801</v>
      </c>
    </row>
    <row r="73" spans="13:36" x14ac:dyDescent="0.35">
      <c r="M73" s="46">
        <v>41</v>
      </c>
      <c r="N73" s="46">
        <v>0.25938511041007084</v>
      </c>
      <c r="O73" s="46">
        <v>-1.465142036529508</v>
      </c>
      <c r="P73">
        <f t="shared" si="2"/>
        <v>-1.0629648822488478</v>
      </c>
      <c r="W73" s="46">
        <v>38</v>
      </c>
      <c r="X73" s="46">
        <v>3.6723492032001648E-2</v>
      </c>
      <c r="Y73" s="46">
        <v>0.70389022576686744</v>
      </c>
      <c r="Z73" s="46">
        <v>1.2225675074858451</v>
      </c>
      <c r="AG73" s="46">
        <v>39</v>
      </c>
      <c r="AH73" s="46">
        <v>-0.53631795350153144</v>
      </c>
      <c r="AI73" s="46">
        <v>4.140778504144027E-2</v>
      </c>
      <c r="AJ73" s="46">
        <v>7.1480114472052381E-2</v>
      </c>
    </row>
    <row r="74" spans="13:36" x14ac:dyDescent="0.35">
      <c r="M74" s="46">
        <v>42</v>
      </c>
      <c r="N74" s="46">
        <v>3.8328358173002008E-2</v>
      </c>
      <c r="O74" s="46">
        <v>-2.8395966881073127</v>
      </c>
      <c r="P74">
        <f t="shared" si="2"/>
        <v>-1.465142036529508</v>
      </c>
      <c r="W74" s="46">
        <v>39</v>
      </c>
      <c r="X74" s="46">
        <v>-0.53562865087803702</v>
      </c>
      <c r="Y74" s="46">
        <v>4.0718482417945845E-2</v>
      </c>
      <c r="Z74" s="46">
        <v>7.072280838120637E-2</v>
      </c>
      <c r="AG74" s="46">
        <v>40</v>
      </c>
      <c r="AH74" s="46">
        <v>-0.70865175794893231</v>
      </c>
      <c r="AI74" s="46">
        <v>-6.943609926009664E-2</v>
      </c>
      <c r="AJ74" s="46">
        <v>-0.11986394149402836</v>
      </c>
    </row>
    <row r="75" spans="13:36" x14ac:dyDescent="0.35">
      <c r="M75" s="46">
        <v>43</v>
      </c>
      <c r="N75" s="46">
        <v>0.24264415154874375</v>
      </c>
      <c r="O75" s="46">
        <v>-2.9822887180691708</v>
      </c>
      <c r="P75">
        <f t="shared" si="2"/>
        <v>-2.8395966881073127</v>
      </c>
      <c r="W75" s="46">
        <v>40</v>
      </c>
      <c r="X75" s="46">
        <v>-0.7121899531359619</v>
      </c>
      <c r="Y75" s="46">
        <v>-6.589790407306706E-2</v>
      </c>
      <c r="Z75" s="46">
        <v>-0.11445625096353362</v>
      </c>
      <c r="AG75" s="46">
        <v>41</v>
      </c>
      <c r="AH75" s="46">
        <v>-0.76624397859185966</v>
      </c>
      <c r="AI75" s="46">
        <v>-0.43951294752757752</v>
      </c>
      <c r="AJ75" s="46">
        <v>-0.75870843537705068</v>
      </c>
    </row>
    <row r="76" spans="13:36" x14ac:dyDescent="0.35">
      <c r="M76" s="46">
        <v>44</v>
      </c>
      <c r="N76" s="46">
        <v>0.35069943147185484</v>
      </c>
      <c r="O76" s="46">
        <v>-1.5849775852931196</v>
      </c>
      <c r="P76">
        <f t="shared" si="2"/>
        <v>-2.9822887180691708</v>
      </c>
      <c r="W76" s="46">
        <v>41</v>
      </c>
      <c r="X76" s="46">
        <v>-0.78221270069875848</v>
      </c>
      <c r="Y76" s="46">
        <v>-0.42354422542067871</v>
      </c>
      <c r="Z76" s="46">
        <v>-0.73564227634847745</v>
      </c>
      <c r="AG76" s="46">
        <v>42</v>
      </c>
      <c r="AH76" s="46">
        <v>-1.854751116121345</v>
      </c>
      <c r="AI76" s="46">
        <v>-0.94651721381296583</v>
      </c>
      <c r="AJ76" s="46">
        <v>-1.6339236384029872</v>
      </c>
    </row>
    <row r="77" spans="13:36" ht="15" thickBot="1" x14ac:dyDescent="0.4">
      <c r="M77" s="47">
        <v>45</v>
      </c>
      <c r="N77" s="47">
        <v>0.33053418557071085</v>
      </c>
      <c r="O77" s="47">
        <v>-0.86116243663288117</v>
      </c>
      <c r="P77">
        <f t="shared" si="2"/>
        <v>-1.5849775852931196</v>
      </c>
      <c r="W77" s="46">
        <v>42</v>
      </c>
      <c r="X77" s="46">
        <v>-1.8560009014431091</v>
      </c>
      <c r="Y77" s="46">
        <v>-0.94526742849120171</v>
      </c>
      <c r="Z77" s="46">
        <v>-1.6418089094773167</v>
      </c>
      <c r="AG77" s="46">
        <v>43</v>
      </c>
      <c r="AH77" s="46">
        <v>-1.7250668884438909</v>
      </c>
      <c r="AI77" s="46">
        <v>-1.0145776780765363</v>
      </c>
      <c r="AJ77" s="46">
        <v>-1.7514128924578047</v>
      </c>
    </row>
    <row r="78" spans="13:36" x14ac:dyDescent="0.35">
      <c r="W78" s="46">
        <v>43</v>
      </c>
      <c r="X78" s="46">
        <v>-1.7642939272938809</v>
      </c>
      <c r="Y78" s="46">
        <v>-0.9753506392265463</v>
      </c>
      <c r="Z78" s="46">
        <v>-1.6940596079804993</v>
      </c>
      <c r="AG78" s="46">
        <v>44</v>
      </c>
      <c r="AH78" s="46">
        <v>-1.4612229076731866</v>
      </c>
      <c r="AI78" s="46">
        <v>0.22694475385192181</v>
      </c>
      <c r="AJ78" s="46">
        <v>0.39176297326534992</v>
      </c>
    </row>
    <row r="79" spans="13:36" ht="15" thickBot="1" x14ac:dyDescent="0.4">
      <c r="W79" s="46">
        <v>44</v>
      </c>
      <c r="X79" s="46">
        <v>-1.5081445215300902</v>
      </c>
      <c r="Y79" s="46">
        <v>0.27386636770882533</v>
      </c>
      <c r="Z79" s="46">
        <v>0.47567093603154381</v>
      </c>
      <c r="AG79" s="47">
        <v>45</v>
      </c>
      <c r="AH79" s="47">
        <v>-1.7180831367528822</v>
      </c>
      <c r="AI79" s="47">
        <v>1.1874548856907117</v>
      </c>
      <c r="AJ79" s="47">
        <v>2.0498418612496163</v>
      </c>
    </row>
    <row r="80" spans="13:36" ht="15" thickBot="1" x14ac:dyDescent="0.4">
      <c r="W80" s="47">
        <v>45</v>
      </c>
      <c r="X80" s="47">
        <v>-1.7766137973327183</v>
      </c>
      <c r="Y80" s="47">
        <v>1.245985546270548</v>
      </c>
      <c r="Z80" s="47">
        <v>2.1641179091637217</v>
      </c>
    </row>
  </sheetData>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4965-491D-4B18-AF88-438258187CBC}">
  <dimension ref="A1:AS87"/>
  <sheetViews>
    <sheetView zoomScale="55" zoomScaleNormal="55" workbookViewId="0">
      <selection activeCell="O6" sqref="O6"/>
    </sheetView>
  </sheetViews>
  <sheetFormatPr defaultRowHeight="14.5" x14ac:dyDescent="0.35"/>
  <cols>
    <col min="11" max="11" width="12.54296875" customWidth="1"/>
    <col min="19" max="19" width="12.7265625" bestFit="1" customWidth="1"/>
    <col min="21" max="21" width="9.81640625" customWidth="1"/>
    <col min="22" max="22" width="7" customWidth="1"/>
  </cols>
  <sheetData>
    <row r="1" spans="1:35" x14ac:dyDescent="0.35">
      <c r="C1" t="s">
        <v>334</v>
      </c>
      <c r="D1" t="s">
        <v>237</v>
      </c>
      <c r="E1" t="s">
        <v>276</v>
      </c>
    </row>
    <row r="2" spans="1:35" x14ac:dyDescent="0.35">
      <c r="C2" t="s">
        <v>99</v>
      </c>
      <c r="D2" t="s">
        <v>99</v>
      </c>
      <c r="E2" t="s">
        <v>99</v>
      </c>
      <c r="AC2" t="s">
        <v>430</v>
      </c>
      <c r="AD2" t="s">
        <v>433</v>
      </c>
    </row>
    <row r="3" spans="1:35" x14ac:dyDescent="0.35">
      <c r="B3" t="s">
        <v>58</v>
      </c>
      <c r="C3" s="72">
        <v>0.10741516534518507</v>
      </c>
      <c r="D3" s="72">
        <v>0</v>
      </c>
      <c r="E3" s="4">
        <v>0</v>
      </c>
      <c r="L3" t="str">
        <f>'Orig data'!S1</f>
        <v>Age 3</v>
      </c>
      <c r="M3" t="str">
        <f>'Orig data'!T1</f>
        <v>Age 4</v>
      </c>
      <c r="N3" t="str">
        <f>'Orig data'!U1</f>
        <v>Age 5</v>
      </c>
      <c r="O3" t="str">
        <f>'Orig data'!V1</f>
        <v>Age 6</v>
      </c>
      <c r="P3" t="s">
        <v>421</v>
      </c>
      <c r="Q3" t="s">
        <v>422</v>
      </c>
      <c r="R3" t="s">
        <v>281</v>
      </c>
      <c r="U3" t="s">
        <v>283</v>
      </c>
      <c r="V3">
        <f>AVERAGE(N$11:N$76)</f>
        <v>16088.708673270821</v>
      </c>
      <c r="AB3" t="s">
        <v>283</v>
      </c>
      <c r="AC3" s="92">
        <f>AVERAGE(AC$38:AC$78)</f>
        <v>23610.490624783917</v>
      </c>
      <c r="AD3" s="92">
        <f>AVERAGE(AD$33:AD$77)</f>
        <v>21919.907643703482</v>
      </c>
    </row>
    <row r="4" spans="1:35" x14ac:dyDescent="0.35">
      <c r="B4" t="s">
        <v>59</v>
      </c>
      <c r="C4" s="72">
        <v>0.75930233821489568</v>
      </c>
      <c r="D4" s="72">
        <v>3.5750695088044487E-2</v>
      </c>
      <c r="E4" s="72">
        <v>7.6142131979695434E-3</v>
      </c>
      <c r="K4" t="s">
        <v>418</v>
      </c>
      <c r="L4">
        <f>'Orig data'!S2</f>
        <v>0.10741516534518507</v>
      </c>
      <c r="M4">
        <f>'Orig data'!T2</f>
        <v>0.75930233821489568</v>
      </c>
      <c r="N4">
        <f>'Orig data'!U2</f>
        <v>0.13183604264117066</v>
      </c>
      <c r="O4">
        <f>'Orig data'!V2</f>
        <v>1.4464537987485602E-3</v>
      </c>
      <c r="P4">
        <v>0</v>
      </c>
      <c r="Q4">
        <v>0</v>
      </c>
      <c r="R4" t="s">
        <v>282</v>
      </c>
      <c r="U4" t="s">
        <v>284</v>
      </c>
      <c r="V4">
        <f>STDEV(N$11:N$76)</f>
        <v>12075.157324801276</v>
      </c>
      <c r="AB4" t="s">
        <v>284</v>
      </c>
      <c r="AC4" s="92">
        <f>STDEV(AC$38:AC$78)</f>
        <v>14522.985143567075</v>
      </c>
      <c r="AD4" s="92">
        <f>STDEV(AD$33:AD$77)</f>
        <v>14447.561481342822</v>
      </c>
    </row>
    <row r="5" spans="1:35" x14ac:dyDescent="0.35">
      <c r="B5" t="s">
        <v>60</v>
      </c>
      <c r="C5" s="72">
        <v>0.13183604264117066</v>
      </c>
      <c r="D5" s="72">
        <v>0.8358758109360519</v>
      </c>
      <c r="E5" s="72">
        <v>0.29512169725367693</v>
      </c>
      <c r="K5" t="s">
        <v>419</v>
      </c>
      <c r="L5">
        <v>0</v>
      </c>
      <c r="M5" s="44">
        <v>3.5750695088044487E-2</v>
      </c>
      <c r="N5" s="44">
        <v>0.8358758109360519</v>
      </c>
      <c r="O5" s="44">
        <v>0.11956904541241889</v>
      </c>
      <c r="P5" s="44">
        <v>8.3410565338276187E-3</v>
      </c>
      <c r="Q5" s="44">
        <v>4.6339202965708991E-4</v>
      </c>
      <c r="R5" t="s">
        <v>100</v>
      </c>
      <c r="T5">
        <f>AVERAGE(T$11:T$76)</f>
        <v>-5.2685128986757427E-15</v>
      </c>
      <c r="U5">
        <f t="shared" ref="U5:Z5" si="0">AVERAGE(U$11:U$76)</f>
        <v>3.3643121958338078E-17</v>
      </c>
      <c r="V5">
        <f t="shared" si="0"/>
        <v>-2.6914497566670462E-16</v>
      </c>
      <c r="W5">
        <f t="shared" si="0"/>
        <v>-4.3736058545839498E-17</v>
      </c>
      <c r="X5">
        <f t="shared" si="0"/>
        <v>3.7007434154171883E-17</v>
      </c>
      <c r="Z5">
        <f t="shared" si="0"/>
        <v>1.0765799026668185E-16</v>
      </c>
    </row>
    <row r="6" spans="1:35" x14ac:dyDescent="0.35">
      <c r="B6" t="s">
        <v>61</v>
      </c>
      <c r="C6" s="72">
        <v>1.4464537987485602E-3</v>
      </c>
      <c r="D6" s="72">
        <v>0.11956904541241889</v>
      </c>
      <c r="E6" s="72">
        <v>0.6060236886632826</v>
      </c>
      <c r="K6" t="s">
        <v>420</v>
      </c>
      <c r="L6">
        <v>0</v>
      </c>
      <c r="M6" s="26">
        <v>7.6142131979695434E-3</v>
      </c>
      <c r="N6" s="26">
        <v>0.29512169725367693</v>
      </c>
      <c r="O6" s="26">
        <v>0.6060236886632826</v>
      </c>
      <c r="P6" s="26">
        <v>8.8702329819081091E-2</v>
      </c>
      <c r="Q6" s="26">
        <v>2.5380710659898475E-3</v>
      </c>
      <c r="R6" t="s">
        <v>101</v>
      </c>
      <c r="T6">
        <f>STDEV(T$11:T$76)</f>
        <v>0.99999999999999978</v>
      </c>
      <c r="U6">
        <f t="shared" ref="U6:Z6" si="1">STDEV(U$11:U$76)</f>
        <v>1</v>
      </c>
      <c r="V6">
        <f t="shared" si="1"/>
        <v>1.0000000000000004</v>
      </c>
      <c r="W6">
        <f t="shared" si="1"/>
        <v>1.0000000000000002</v>
      </c>
      <c r="X6">
        <f t="shared" si="1"/>
        <v>1</v>
      </c>
      <c r="Z6">
        <f t="shared" si="1"/>
        <v>1</v>
      </c>
    </row>
    <row r="7" spans="1:35" x14ac:dyDescent="0.35">
      <c r="B7" t="s">
        <v>423</v>
      </c>
      <c r="C7" s="72">
        <v>0</v>
      </c>
      <c r="D7" s="72">
        <v>8.3410565338276187E-3</v>
      </c>
      <c r="E7" s="72">
        <v>8.8702329819081091E-2</v>
      </c>
    </row>
    <row r="8" spans="1:35" x14ac:dyDescent="0.35">
      <c r="B8" t="s">
        <v>422</v>
      </c>
      <c r="C8" s="72">
        <v>0</v>
      </c>
      <c r="D8" s="72">
        <v>4.6339202965708991E-4</v>
      </c>
      <c r="E8" s="72">
        <v>2.5380710659898475E-3</v>
      </c>
      <c r="K8" t="s">
        <v>424</v>
      </c>
      <c r="L8" t="s">
        <v>424</v>
      </c>
      <c r="M8" t="s">
        <v>424</v>
      </c>
      <c r="N8" t="s">
        <v>424</v>
      </c>
      <c r="O8" t="s">
        <v>424</v>
      </c>
      <c r="P8" t="s">
        <v>424</v>
      </c>
      <c r="Q8" t="s">
        <v>424</v>
      </c>
      <c r="R8" t="s">
        <v>424</v>
      </c>
      <c r="S8" t="s">
        <v>424</v>
      </c>
      <c r="T8" t="s">
        <v>424</v>
      </c>
      <c r="U8" t="s">
        <v>424</v>
      </c>
      <c r="V8" t="s">
        <v>424</v>
      </c>
      <c r="W8" t="s">
        <v>424</v>
      </c>
      <c r="X8" t="s">
        <v>424</v>
      </c>
      <c r="Y8" t="s">
        <v>424</v>
      </c>
      <c r="Z8" t="s">
        <v>424</v>
      </c>
      <c r="AA8" t="s">
        <v>424</v>
      </c>
      <c r="AC8" t="s">
        <v>428</v>
      </c>
      <c r="AD8" t="s">
        <v>429</v>
      </c>
      <c r="AE8" t="s">
        <v>425</v>
      </c>
      <c r="AF8" t="s">
        <v>425</v>
      </c>
      <c r="AG8" t="s">
        <v>425</v>
      </c>
      <c r="AH8" t="s">
        <v>425</v>
      </c>
      <c r="AI8" t="s">
        <v>425</v>
      </c>
    </row>
    <row r="9" spans="1:35" ht="58" x14ac:dyDescent="0.35">
      <c r="A9" t="s">
        <v>1</v>
      </c>
      <c r="B9" t="s">
        <v>90</v>
      </c>
      <c r="C9" t="s">
        <v>91</v>
      </c>
      <c r="D9" s="9" t="s">
        <v>89</v>
      </c>
      <c r="E9" s="118" t="s">
        <v>157</v>
      </c>
      <c r="F9" s="64" t="s">
        <v>93</v>
      </c>
      <c r="G9" s="9" t="s">
        <v>94</v>
      </c>
      <c r="H9" s="9" t="s">
        <v>186</v>
      </c>
      <c r="I9" t="s">
        <v>161</v>
      </c>
      <c r="J9" s="9" t="s">
        <v>1</v>
      </c>
      <c r="K9" s="9" t="s">
        <v>90</v>
      </c>
      <c r="L9" s="9" t="s">
        <v>89</v>
      </c>
      <c r="M9" s="9" t="s">
        <v>189</v>
      </c>
      <c r="N9" s="9" t="str">
        <f>E9</f>
        <v>SSLs, control stopped 1970</v>
      </c>
      <c r="O9" s="9" t="str">
        <f>F9</f>
        <v>adult.sst</v>
      </c>
      <c r="P9" s="33" t="s">
        <v>188</v>
      </c>
      <c r="Q9" s="33" t="s">
        <v>187</v>
      </c>
      <c r="R9" s="9" t="s">
        <v>30</v>
      </c>
      <c r="S9" s="9" t="str">
        <f>I9</f>
        <v>aquaculture.production</v>
      </c>
      <c r="T9" s="9" t="str">
        <f>K9</f>
        <v>smolt.sst</v>
      </c>
      <c r="U9" s="9" t="str">
        <f>L9</f>
        <v>NPGO</v>
      </c>
      <c r="V9" s="21" t="str">
        <f>N9</f>
        <v>SSLs, control stopped 1970</v>
      </c>
      <c r="W9" s="9" t="str">
        <f>O9</f>
        <v>adult.sst</v>
      </c>
      <c r="X9" s="9" t="str">
        <f>P9</f>
        <v>PDO adult</v>
      </c>
      <c r="Y9" s="9" t="s">
        <v>187</v>
      </c>
      <c r="Z9" s="9" t="str">
        <f t="shared" ref="Z9:AA9" si="2">R9</f>
        <v>spawners</v>
      </c>
      <c r="AA9" s="9" t="str">
        <f t="shared" si="2"/>
        <v>aquaculture.production</v>
      </c>
      <c r="AB9" s="9" t="s">
        <v>1</v>
      </c>
      <c r="AC9" t="s">
        <v>426</v>
      </c>
      <c r="AD9" s="9" t="s">
        <v>426</v>
      </c>
    </row>
    <row r="10" spans="1:35" x14ac:dyDescent="0.35">
      <c r="A10">
        <v>1950</v>
      </c>
      <c r="B10">
        <v>8.0875000000000004</v>
      </c>
      <c r="C10">
        <v>0.19900000000000001</v>
      </c>
      <c r="D10">
        <v>-0.5</v>
      </c>
      <c r="E10" s="25" t="s">
        <v>95</v>
      </c>
      <c r="F10" s="65">
        <v>-0.74943930568794404</v>
      </c>
      <c r="G10">
        <v>-1.3879999999999999</v>
      </c>
      <c r="H10">
        <f>G10</f>
        <v>-1.3879999999999999</v>
      </c>
      <c r="I10">
        <v>0</v>
      </c>
      <c r="J10">
        <f>A10</f>
        <v>1950</v>
      </c>
      <c r="K10">
        <f>B11</f>
        <v>8.5299999999999994</v>
      </c>
      <c r="L10">
        <f>D10</f>
        <v>-0.5</v>
      </c>
      <c r="M10">
        <f>I11</f>
        <v>0</v>
      </c>
      <c r="N10">
        <f t="shared" ref="N10:N41" si="3">SUMPRODUCT($C$3:$C$6,E13:E16)</f>
        <v>19071.832912618684</v>
      </c>
      <c r="O10">
        <f t="shared" ref="O10:O41" si="4">SUMPRODUCT($C$3:$C$6,F13:F16)</f>
        <v>-0.12592006620571194</v>
      </c>
      <c r="P10">
        <f t="shared" ref="P10:P41" si="5">SUMPRODUCT($C$3:$C$6,G13:G16)</f>
        <v>-0.58379762507824395</v>
      </c>
      <c r="Q10">
        <f>G10</f>
        <v>-1.3879999999999999</v>
      </c>
      <c r="R10" t="e">
        <f>NA()</f>
        <v>#N/A</v>
      </c>
      <c r="S10" t="e">
        <f>NA()</f>
        <v>#N/A</v>
      </c>
      <c r="T10" t="e">
        <f>NA()</f>
        <v>#N/A</v>
      </c>
      <c r="U10" t="e">
        <f>NA()</f>
        <v>#N/A</v>
      </c>
      <c r="V10" t="e">
        <f>NA()</f>
        <v>#N/A</v>
      </c>
      <c r="W10" t="e">
        <f>NA()</f>
        <v>#N/A</v>
      </c>
      <c r="X10" t="e">
        <f>NA()</f>
        <v>#N/A</v>
      </c>
      <c r="Y10" t="e">
        <f>NA()</f>
        <v>#N/A</v>
      </c>
      <c r="Z10" t="e">
        <f>NA()</f>
        <v>#N/A</v>
      </c>
      <c r="AA10" t="e">
        <f>NA()</f>
        <v>#N/A</v>
      </c>
      <c r="AB10">
        <v>1950</v>
      </c>
      <c r="AC10" t="e">
        <f>NA()</f>
        <v>#N/A</v>
      </c>
      <c r="AD10" t="e">
        <f>NA()</f>
        <v>#N/A</v>
      </c>
    </row>
    <row r="11" spans="1:35" x14ac:dyDescent="0.35">
      <c r="A11">
        <v>1951</v>
      </c>
      <c r="B11">
        <v>8.5299999999999994</v>
      </c>
      <c r="C11">
        <v>0.33100000000000002</v>
      </c>
      <c r="D11">
        <v>-1.075</v>
      </c>
      <c r="E11" s="215">
        <v>20351.448</v>
      </c>
      <c r="F11" s="65">
        <v>0.54919548395555395</v>
      </c>
      <c r="G11">
        <v>-1.3939999999999999</v>
      </c>
      <c r="H11">
        <f t="shared" ref="H11:H74" si="6">G11</f>
        <v>-1.3939999999999999</v>
      </c>
      <c r="I11">
        <v>0</v>
      </c>
      <c r="J11">
        <f t="shared" ref="J11:J74" si="7">A11</f>
        <v>1951</v>
      </c>
      <c r="K11">
        <f t="shared" ref="K11:K74" si="8">B12</f>
        <v>8.25</v>
      </c>
      <c r="L11">
        <f t="shared" ref="L11:L74" si="9">D11</f>
        <v>-1.075</v>
      </c>
      <c r="M11">
        <f t="shared" ref="M11:M74" si="10">I12</f>
        <v>0</v>
      </c>
      <c r="N11">
        <f t="shared" si="3"/>
        <v>18698.969720039091</v>
      </c>
      <c r="O11">
        <f t="shared" si="4"/>
        <v>-0.57905003664870469</v>
      </c>
      <c r="P11">
        <f t="shared" si="5"/>
        <v>-2.0867491105515414</v>
      </c>
      <c r="Q11">
        <f t="shared" ref="Q11:Q74" si="11">G11</f>
        <v>-1.3939999999999999</v>
      </c>
      <c r="R11" s="5">
        <f>'SR + catch data Murdoch_age var'!C3</f>
        <v>171725</v>
      </c>
      <c r="S11" s="26">
        <f>(M11-AVERAGE(M$11:M$76))/STDEV(M$11:M$76)</f>
        <v>-0.76057812645171108</v>
      </c>
      <c r="T11" s="26">
        <f>(K11-AVERAGE(K$11:K$76))/STDEV(K$11:K$76)</f>
        <v>-1.4648118701481911</v>
      </c>
      <c r="U11" s="26">
        <f t="shared" ref="U11:U42" si="12">(L11-AVERAGE(L$11:L$76))/STDEV(L$11:L$76)</f>
        <v>-1.0984670611522276</v>
      </c>
      <c r="V11" s="26">
        <f>(N11-AVERAGE(N$11:N$76))/STDEV(N$11:N$76)</f>
        <v>0.21616787065846596</v>
      </c>
      <c r="W11" s="26">
        <f t="shared" ref="W11:AA11" si="13">(O11-AVERAGE(O$11:O$76))/STDEV(O$11:O$76)</f>
        <v>-1.1106466558980101</v>
      </c>
      <c r="X11" s="26">
        <f t="shared" si="13"/>
        <v>-2.2405166393895652</v>
      </c>
      <c r="Y11" s="26">
        <f t="shared" si="13"/>
        <v>-1.1840628881527986</v>
      </c>
      <c r="Z11" s="26">
        <f t="shared" si="13"/>
        <v>-0.79979150942997701</v>
      </c>
      <c r="AA11" s="26">
        <f t="shared" si="13"/>
        <v>-0.76057812645171086</v>
      </c>
      <c r="AB11">
        <v>1951</v>
      </c>
      <c r="AC11" t="e">
        <f>NA()</f>
        <v>#N/A</v>
      </c>
      <c r="AD11" t="e">
        <f>NA()</f>
        <v>#N/A</v>
      </c>
    </row>
    <row r="12" spans="1:35" x14ac:dyDescent="0.35">
      <c r="A12">
        <v>1952</v>
      </c>
      <c r="B12">
        <v>8.25</v>
      </c>
      <c r="C12">
        <v>0.28299999999999997</v>
      </c>
      <c r="D12">
        <v>0.9</v>
      </c>
      <c r="E12" s="215">
        <v>19928.556</v>
      </c>
      <c r="F12" s="65">
        <v>-3.8471649865580999E-2</v>
      </c>
      <c r="G12">
        <v>-0.65</v>
      </c>
      <c r="H12">
        <f t="shared" si="6"/>
        <v>-0.65</v>
      </c>
      <c r="I12">
        <v>0</v>
      </c>
      <c r="J12">
        <f t="shared" si="7"/>
        <v>1952</v>
      </c>
      <c r="K12">
        <f t="shared" si="8"/>
        <v>8.7750000000000004</v>
      </c>
      <c r="L12">
        <f t="shared" si="9"/>
        <v>0.9</v>
      </c>
      <c r="M12">
        <f t="shared" si="10"/>
        <v>0</v>
      </c>
      <c r="N12">
        <f t="shared" si="3"/>
        <v>18070.21712799383</v>
      </c>
      <c r="O12">
        <f t="shared" si="4"/>
        <v>-0.12589217407730319</v>
      </c>
      <c r="P12">
        <f t="shared" si="5"/>
        <v>-1.274521524892581</v>
      </c>
      <c r="Q12">
        <f t="shared" si="11"/>
        <v>-0.65</v>
      </c>
      <c r="R12" s="5">
        <f>'SR + catch data Murdoch_age var'!C4</f>
        <v>176250</v>
      </c>
      <c r="S12" s="26">
        <f t="shared" ref="S12:S75" si="14">(M12-AVERAGE(M$11:M$76))/STDEV(M$11:M$76)</f>
        <v>-0.76057812645171108</v>
      </c>
      <c r="T12" s="26">
        <f t="shared" ref="T12:T42" si="15">(K12-AVERAGE(K$11:K$76))/STDEV(K$11:K$76)</f>
        <v>-0.66139704940209409</v>
      </c>
      <c r="U12" s="26">
        <f t="shared" si="12"/>
        <v>0.85361448514897043</v>
      </c>
      <c r="V12" s="26">
        <f t="shared" ref="V12:V75" si="16">(N12-AVERAGE(N$11:N$76))/STDEV(N$11:N$76)</f>
        <v>0.16409794103909278</v>
      </c>
      <c r="W12" s="26">
        <f t="shared" ref="W12:W75" si="17">(O12-AVERAGE(O$11:O$76))/STDEV(O$11:O$76)</f>
        <v>-0.40960074392191576</v>
      </c>
      <c r="X12" s="26">
        <f t="shared" ref="X12:X75" si="18">(P12-AVERAGE(P$11:P$76))/STDEV(P$11:P$76)</f>
        <v>-1.2495899854078174</v>
      </c>
      <c r="Y12" s="26">
        <f t="shared" ref="Y12:Y75" si="19">(Q12-AVERAGE(Q$11:Q$76))/STDEV(Q$11:Q$76)</f>
        <v>-0.4109978162228024</v>
      </c>
      <c r="Z12" s="26">
        <f t="shared" ref="Z12:Z75" si="20">(R12-AVERAGE(R$11:R$76))/STDEV(R$11:R$76)</f>
        <v>-0.79412444468676002</v>
      </c>
      <c r="AA12" s="26">
        <f t="shared" ref="AA12:AA75" si="21">(S12-AVERAGE(S$11:S$76))/STDEV(S$11:S$76)</f>
        <v>-0.76057812645171086</v>
      </c>
      <c r="AB12">
        <v>1952</v>
      </c>
      <c r="AC12" t="e">
        <f>NA()</f>
        <v>#N/A</v>
      </c>
      <c r="AD12" t="e">
        <f>NA()</f>
        <v>#N/A</v>
      </c>
    </row>
    <row r="13" spans="1:35" x14ac:dyDescent="0.35">
      <c r="A13">
        <v>1953</v>
      </c>
      <c r="B13">
        <v>8.7750000000000004</v>
      </c>
      <c r="C13">
        <v>0.39300000000000002</v>
      </c>
      <c r="D13">
        <v>0.95</v>
      </c>
      <c r="E13" s="215">
        <v>19505.664000000001</v>
      </c>
      <c r="F13" s="65">
        <v>4.9812622368335703E-2</v>
      </c>
      <c r="G13">
        <v>-0.78399999999999903</v>
      </c>
      <c r="H13">
        <f t="shared" si="6"/>
        <v>-0.78399999999999903</v>
      </c>
      <c r="I13">
        <v>0</v>
      </c>
      <c r="J13">
        <f t="shared" si="7"/>
        <v>1953</v>
      </c>
      <c r="K13">
        <f t="shared" si="8"/>
        <v>8.4574999999999996</v>
      </c>
      <c r="L13">
        <f t="shared" si="9"/>
        <v>0.95</v>
      </c>
      <c r="M13">
        <f t="shared" si="10"/>
        <v>0</v>
      </c>
      <c r="N13">
        <f t="shared" si="3"/>
        <v>14203.722183167749</v>
      </c>
      <c r="O13">
        <f t="shared" si="4"/>
        <v>0.74877225875864262</v>
      </c>
      <c r="P13">
        <f t="shared" si="5"/>
        <v>0.57867052619473791</v>
      </c>
      <c r="Q13">
        <f t="shared" si="11"/>
        <v>-0.78399999999999903</v>
      </c>
      <c r="R13" s="5">
        <f>'SR + catch data Murdoch_age var'!C5</f>
        <v>137625</v>
      </c>
      <c r="S13" s="26">
        <f t="shared" si="14"/>
        <v>-0.76057812645171108</v>
      </c>
      <c r="T13" s="26">
        <f t="shared" si="15"/>
        <v>-1.1472717267104489</v>
      </c>
      <c r="U13" s="26">
        <f t="shared" si="12"/>
        <v>0.90303427113127921</v>
      </c>
      <c r="V13" s="26">
        <f t="shared" si="16"/>
        <v>-0.15610450774264295</v>
      </c>
      <c r="W13" s="26">
        <f t="shared" si="17"/>
        <v>0.94352578357800954</v>
      </c>
      <c r="X13" s="26">
        <f t="shared" si="18"/>
        <v>1.0113248502778918</v>
      </c>
      <c r="Y13" s="26">
        <f t="shared" si="19"/>
        <v>-0.5502326544467524</v>
      </c>
      <c r="Z13" s="26">
        <f t="shared" si="20"/>
        <v>-0.84249800837886024</v>
      </c>
      <c r="AA13" s="26">
        <f t="shared" si="21"/>
        <v>-0.76057812645171086</v>
      </c>
      <c r="AB13">
        <v>1953</v>
      </c>
      <c r="AC13" t="e">
        <f>NA()</f>
        <v>#N/A</v>
      </c>
      <c r="AD13" t="e">
        <f>NA()</f>
        <v>#N/A</v>
      </c>
    </row>
    <row r="14" spans="1:35" x14ac:dyDescent="0.35">
      <c r="A14">
        <v>1954</v>
      </c>
      <c r="B14">
        <v>8.4574999999999996</v>
      </c>
      <c r="C14">
        <v>0.20100000000000001</v>
      </c>
      <c r="D14">
        <v>7.4999999999999997E-2</v>
      </c>
      <c r="E14" s="215">
        <v>19082.772000000001</v>
      </c>
      <c r="F14" s="65">
        <v>-4.7478391354282702E-2</v>
      </c>
      <c r="G14">
        <v>-0.22800000000000001</v>
      </c>
      <c r="H14">
        <f t="shared" si="6"/>
        <v>-0.22800000000000001</v>
      </c>
      <c r="I14">
        <v>0</v>
      </c>
      <c r="J14">
        <f t="shared" si="7"/>
        <v>1954</v>
      </c>
      <c r="K14">
        <f t="shared" si="8"/>
        <v>8.2550000000000008</v>
      </c>
      <c r="L14">
        <f t="shared" si="9"/>
        <v>7.4999999999999997E-2</v>
      </c>
      <c r="M14">
        <f t="shared" si="10"/>
        <v>0</v>
      </c>
      <c r="N14">
        <f t="shared" si="3"/>
        <v>10367.151337857522</v>
      </c>
      <c r="O14">
        <f t="shared" si="4"/>
        <v>0.70396732863975797</v>
      </c>
      <c r="P14">
        <f t="shared" si="5"/>
        <v>0.59214625296115342</v>
      </c>
      <c r="Q14">
        <f t="shared" si="11"/>
        <v>-0.22800000000000001</v>
      </c>
      <c r="R14" s="5">
        <f>'SR + catch data Murdoch_age var'!C6</f>
        <v>86375</v>
      </c>
      <c r="S14" s="26">
        <f t="shared" si="14"/>
        <v>-0.76057812645171108</v>
      </c>
      <c r="T14" s="26">
        <f t="shared" si="15"/>
        <v>-1.4571603004267986</v>
      </c>
      <c r="U14" s="26">
        <f t="shared" si="12"/>
        <v>3.8188016440875022E-2</v>
      </c>
      <c r="V14" s="26">
        <f t="shared" si="16"/>
        <v>-0.47382880251686166</v>
      </c>
      <c r="W14" s="26">
        <f t="shared" si="17"/>
        <v>0.87421149888705485</v>
      </c>
      <c r="X14" s="26">
        <f t="shared" si="18"/>
        <v>1.0277653862439076</v>
      </c>
      <c r="Y14" s="26">
        <f t="shared" si="19"/>
        <v>2.7488017586953652E-2</v>
      </c>
      <c r="Z14" s="26">
        <f t="shared" si="20"/>
        <v>-0.90668299580203515</v>
      </c>
      <c r="AA14" s="26">
        <f t="shared" si="21"/>
        <v>-0.76057812645171086</v>
      </c>
      <c r="AB14">
        <v>1954</v>
      </c>
      <c r="AC14" t="e">
        <f>NA()</f>
        <v>#N/A</v>
      </c>
      <c r="AD14" t="e">
        <f>NA()</f>
        <v>#N/A</v>
      </c>
    </row>
    <row r="15" spans="1:35" x14ac:dyDescent="0.35">
      <c r="A15">
        <v>1955</v>
      </c>
      <c r="B15">
        <v>8.2550000000000008</v>
      </c>
      <c r="C15">
        <v>0.253</v>
      </c>
      <c r="D15">
        <v>-0.125</v>
      </c>
      <c r="E15" s="215">
        <v>18659.88</v>
      </c>
      <c r="F15" s="65">
        <v>-0.71988219761600003</v>
      </c>
      <c r="G15">
        <v>-2.46</v>
      </c>
      <c r="H15">
        <f t="shared" si="6"/>
        <v>-2.46</v>
      </c>
      <c r="I15">
        <v>0</v>
      </c>
      <c r="J15">
        <f t="shared" si="7"/>
        <v>1955</v>
      </c>
      <c r="K15">
        <f t="shared" si="8"/>
        <v>8.14</v>
      </c>
      <c r="L15">
        <f t="shared" si="9"/>
        <v>-0.125</v>
      </c>
      <c r="M15">
        <f t="shared" si="10"/>
        <v>0</v>
      </c>
      <c r="N15">
        <f t="shared" si="3"/>
        <v>8451.9430459712585</v>
      </c>
      <c r="O15">
        <f t="shared" si="4"/>
        <v>-9.3106130670294468E-2</v>
      </c>
      <c r="P15">
        <f t="shared" si="5"/>
        <v>0.63970715495959452</v>
      </c>
      <c r="Q15">
        <f t="shared" si="11"/>
        <v>-2.46</v>
      </c>
      <c r="R15" s="5">
        <f>'SR + catch data Murdoch_age var'!C7</f>
        <v>110500</v>
      </c>
      <c r="S15" s="26">
        <f t="shared" si="14"/>
        <v>-0.76057812645171108</v>
      </c>
      <c r="T15" s="26">
        <f t="shared" si="15"/>
        <v>-1.6331464040188008</v>
      </c>
      <c r="U15" s="26">
        <f t="shared" si="12"/>
        <v>-0.15949112748836022</v>
      </c>
      <c r="V15" s="26">
        <f t="shared" si="16"/>
        <v>-0.6324361183778815</v>
      </c>
      <c r="W15" s="26">
        <f t="shared" si="17"/>
        <v>-0.3588799607274441</v>
      </c>
      <c r="X15" s="26">
        <f t="shared" si="18"/>
        <v>1.0857902136565754</v>
      </c>
      <c r="Y15" s="26">
        <f t="shared" si="19"/>
        <v>-2.2917071982030355</v>
      </c>
      <c r="Z15" s="26">
        <f t="shared" si="20"/>
        <v>-0.87646908708819915</v>
      </c>
      <c r="AA15" s="26">
        <f t="shared" si="21"/>
        <v>-0.76057812645171086</v>
      </c>
      <c r="AB15">
        <v>1955</v>
      </c>
      <c r="AC15" t="e">
        <f>NA()</f>
        <v>#N/A</v>
      </c>
      <c r="AD15" t="e">
        <f>NA()</f>
        <v>#N/A</v>
      </c>
    </row>
    <row r="16" spans="1:35" x14ac:dyDescent="0.35">
      <c r="A16">
        <v>1956</v>
      </c>
      <c r="B16">
        <v>8.14</v>
      </c>
      <c r="C16">
        <v>0.13100000000000001</v>
      </c>
      <c r="D16">
        <v>-1.35</v>
      </c>
      <c r="E16" s="215">
        <v>18659.88</v>
      </c>
      <c r="F16" s="65">
        <v>-0.21696068166444599</v>
      </c>
      <c r="G16">
        <v>-1.484</v>
      </c>
      <c r="H16">
        <f t="shared" si="6"/>
        <v>-1.484</v>
      </c>
      <c r="I16">
        <v>0</v>
      </c>
      <c r="J16">
        <f t="shared" si="7"/>
        <v>1956</v>
      </c>
      <c r="K16">
        <f t="shared" si="8"/>
        <v>8.5950000000000006</v>
      </c>
      <c r="L16">
        <f t="shared" si="9"/>
        <v>-1.35</v>
      </c>
      <c r="M16">
        <f t="shared" si="10"/>
        <v>0</v>
      </c>
      <c r="N16">
        <f t="shared" si="3"/>
        <v>8619.6366468433171</v>
      </c>
      <c r="O16">
        <f t="shared" si="4"/>
        <v>-0.2448382807185325</v>
      </c>
      <c r="P16">
        <f t="shared" si="5"/>
        <v>0.23443088159894412</v>
      </c>
      <c r="Q16">
        <f t="shared" si="11"/>
        <v>-1.484</v>
      </c>
      <c r="R16" s="5">
        <f>'SR + catch data Murdoch_age var'!C8</f>
        <v>32950</v>
      </c>
      <c r="S16" s="26">
        <f t="shared" si="14"/>
        <v>-0.76057812645171108</v>
      </c>
      <c r="T16" s="26">
        <f t="shared" si="15"/>
        <v>-0.93685355937218384</v>
      </c>
      <c r="U16" s="26">
        <f t="shared" si="12"/>
        <v>-1.3702758840549263</v>
      </c>
      <c r="V16" s="26">
        <f t="shared" si="16"/>
        <v>-0.61854863050825093</v>
      </c>
      <c r="W16" s="26">
        <f t="shared" si="17"/>
        <v>-0.59361317908774636</v>
      </c>
      <c r="X16" s="26">
        <f t="shared" si="18"/>
        <v>0.59134866969738575</v>
      </c>
      <c r="Y16" s="26">
        <f t="shared" si="19"/>
        <v>-1.2775788242733628</v>
      </c>
      <c r="Z16" s="26">
        <f t="shared" si="20"/>
        <v>-0.97359193147194978</v>
      </c>
      <c r="AA16" s="26">
        <f t="shared" si="21"/>
        <v>-0.76057812645171086</v>
      </c>
      <c r="AB16">
        <v>1956</v>
      </c>
      <c r="AC16" t="e">
        <f>NA()</f>
        <v>#N/A</v>
      </c>
      <c r="AD16" t="e">
        <f>NA()</f>
        <v>#N/A</v>
      </c>
    </row>
    <row r="17" spans="1:30" x14ac:dyDescent="0.35">
      <c r="A17">
        <v>1957</v>
      </c>
      <c r="B17">
        <v>8.5950000000000006</v>
      </c>
      <c r="C17">
        <v>0.223</v>
      </c>
      <c r="D17">
        <v>-0.42499999999999999</v>
      </c>
      <c r="E17" s="215">
        <v>14280</v>
      </c>
      <c r="F17" s="65">
        <v>0.87201967909932099</v>
      </c>
      <c r="G17">
        <v>0.878</v>
      </c>
      <c r="H17">
        <f t="shared" si="6"/>
        <v>0.878</v>
      </c>
      <c r="I17">
        <v>0</v>
      </c>
      <c r="J17">
        <f t="shared" si="7"/>
        <v>1957</v>
      </c>
      <c r="K17">
        <f t="shared" si="8"/>
        <v>9.7274999999999991</v>
      </c>
      <c r="L17">
        <f t="shared" si="9"/>
        <v>-0.42499999999999999</v>
      </c>
      <c r="M17">
        <f t="shared" si="10"/>
        <v>0</v>
      </c>
      <c r="N17">
        <f t="shared" si="3"/>
        <v>8478.6499306941387</v>
      </c>
      <c r="O17">
        <f t="shared" si="4"/>
        <v>0.21678287963905601</v>
      </c>
      <c r="P17">
        <f t="shared" si="5"/>
        <v>-0.89590946851712738</v>
      </c>
      <c r="Q17">
        <f t="shared" si="11"/>
        <v>0.878</v>
      </c>
      <c r="R17" s="5">
        <f>'SR + catch data Murdoch_age var'!C9</f>
        <v>84655</v>
      </c>
      <c r="S17" s="26">
        <f t="shared" si="14"/>
        <v>-0.76057812645171108</v>
      </c>
      <c r="T17" s="26">
        <f t="shared" si="15"/>
        <v>0.79622698252296464</v>
      </c>
      <c r="U17" s="26">
        <f t="shared" si="12"/>
        <v>-0.45600984338221306</v>
      </c>
      <c r="V17" s="26">
        <f t="shared" si="16"/>
        <v>-0.63022439690672305</v>
      </c>
      <c r="W17" s="26">
        <f t="shared" si="17"/>
        <v>0.12052565437309411</v>
      </c>
      <c r="X17" s="26">
        <f t="shared" si="18"/>
        <v>-0.78767908160996614</v>
      </c>
      <c r="Y17" s="26">
        <f t="shared" si="19"/>
        <v>1.1766949659129966</v>
      </c>
      <c r="Z17" s="26">
        <f t="shared" si="20"/>
        <v>-0.90883710659945682</v>
      </c>
      <c r="AA17" s="26">
        <f t="shared" si="21"/>
        <v>-0.76057812645171086</v>
      </c>
      <c r="AB17">
        <v>1957</v>
      </c>
      <c r="AC17" t="e">
        <f>NA()</f>
        <v>#N/A</v>
      </c>
      <c r="AD17" t="e">
        <f>NA()</f>
        <v>#N/A</v>
      </c>
    </row>
    <row r="18" spans="1:30" x14ac:dyDescent="0.35">
      <c r="A18">
        <v>1958</v>
      </c>
      <c r="B18">
        <v>9.7274999999999991</v>
      </c>
      <c r="C18">
        <v>0.18099999999999999</v>
      </c>
      <c r="D18">
        <v>-0.32500000000000001</v>
      </c>
      <c r="E18" s="215">
        <v>10200</v>
      </c>
      <c r="F18" s="65">
        <v>0.83598971536751598</v>
      </c>
      <c r="G18">
        <v>0.53400000000000003</v>
      </c>
      <c r="H18">
        <f t="shared" si="6"/>
        <v>0.53400000000000003</v>
      </c>
      <c r="I18">
        <v>0</v>
      </c>
      <c r="J18">
        <f t="shared" si="7"/>
        <v>1958</v>
      </c>
      <c r="K18">
        <f t="shared" si="8"/>
        <v>9.1024999999999991</v>
      </c>
      <c r="L18">
        <f t="shared" si="9"/>
        <v>-0.32500000000000001</v>
      </c>
      <c r="M18">
        <f t="shared" si="10"/>
        <v>0</v>
      </c>
      <c r="N18">
        <f t="shared" si="3"/>
        <v>8254.6579306941403</v>
      </c>
      <c r="O18">
        <f t="shared" si="4"/>
        <v>0.45608448901717336</v>
      </c>
      <c r="P18">
        <f t="shared" si="5"/>
        <v>-0.23139882612205326</v>
      </c>
      <c r="Q18">
        <f t="shared" si="11"/>
        <v>0.53400000000000003</v>
      </c>
      <c r="R18" s="5">
        <f>'SR + catch data Murdoch_age var'!C10</f>
        <v>89400</v>
      </c>
      <c r="S18" s="26">
        <f t="shared" si="14"/>
        <v>-0.76057812645171108</v>
      </c>
      <c r="T18" s="26">
        <f t="shared" si="15"/>
        <v>-0.16021923265095964</v>
      </c>
      <c r="U18" s="26">
        <f t="shared" si="12"/>
        <v>-0.3571702714175955</v>
      </c>
      <c r="V18" s="26">
        <f t="shared" si="16"/>
        <v>-0.64877421733348783</v>
      </c>
      <c r="W18" s="26">
        <f t="shared" si="17"/>
        <v>0.49073089373909129</v>
      </c>
      <c r="X18" s="26">
        <f t="shared" si="18"/>
        <v>2.3031264886805868E-2</v>
      </c>
      <c r="Y18" s="26">
        <f t="shared" si="19"/>
        <v>0.81925627674106294</v>
      </c>
      <c r="Z18" s="26">
        <f t="shared" si="20"/>
        <v>-0.90289451605656978</v>
      </c>
      <c r="AA18" s="26">
        <f t="shared" si="21"/>
        <v>-0.76057812645171086</v>
      </c>
      <c r="AB18">
        <v>1958</v>
      </c>
      <c r="AC18" t="e">
        <f>NA()</f>
        <v>#N/A</v>
      </c>
      <c r="AD18" t="e">
        <f>NA()</f>
        <v>#N/A</v>
      </c>
    </row>
    <row r="19" spans="1:30" x14ac:dyDescent="0.35">
      <c r="A19">
        <v>1959</v>
      </c>
      <c r="B19">
        <v>9.1024999999999991</v>
      </c>
      <c r="C19">
        <v>0.247</v>
      </c>
      <c r="D19">
        <v>0.77500000000000002</v>
      </c>
      <c r="E19" s="215">
        <v>8160</v>
      </c>
      <c r="F19" s="65">
        <v>-0.18184529605011099</v>
      </c>
      <c r="G19">
        <v>0.69599999999999995</v>
      </c>
      <c r="H19">
        <f t="shared" si="6"/>
        <v>0.69599999999999995</v>
      </c>
      <c r="I19">
        <v>0</v>
      </c>
      <c r="J19">
        <f t="shared" si="7"/>
        <v>1959</v>
      </c>
      <c r="K19">
        <f t="shared" si="8"/>
        <v>8.9725000000000001</v>
      </c>
      <c r="L19">
        <f t="shared" si="9"/>
        <v>0.77500000000000002</v>
      </c>
      <c r="M19">
        <f t="shared" si="10"/>
        <v>0</v>
      </c>
      <c r="N19">
        <f t="shared" si="3"/>
        <v>8030.6659306941383</v>
      </c>
      <c r="O19">
        <f t="shared" si="4"/>
        <v>0.69155750159263429</v>
      </c>
      <c r="P19">
        <f t="shared" si="5"/>
        <v>-0.1255020417968325</v>
      </c>
      <c r="Q19">
        <f t="shared" si="11"/>
        <v>0.69599999999999995</v>
      </c>
      <c r="R19" s="5">
        <f>'SR + catch data Murdoch_age var'!C11</f>
        <v>152300</v>
      </c>
      <c r="S19" s="26">
        <f t="shared" si="14"/>
        <v>-0.76057812645171108</v>
      </c>
      <c r="T19" s="26">
        <f t="shared" si="15"/>
        <v>-0.35916004540713437</v>
      </c>
      <c r="U19" s="26">
        <f t="shared" si="12"/>
        <v>0.73006502019319841</v>
      </c>
      <c r="V19" s="26">
        <f t="shared" si="16"/>
        <v>-0.66732403776025306</v>
      </c>
      <c r="W19" s="26">
        <f t="shared" si="17"/>
        <v>0.8550132034622554</v>
      </c>
      <c r="X19" s="26">
        <f t="shared" si="18"/>
        <v>0.15222651509944574</v>
      </c>
      <c r="Y19" s="26">
        <f t="shared" si="19"/>
        <v>0.98758496175807819</v>
      </c>
      <c r="Z19" s="26">
        <f t="shared" si="20"/>
        <v>-0.82411918515085836</v>
      </c>
      <c r="AA19" s="26">
        <f t="shared" si="21"/>
        <v>-0.76057812645171086</v>
      </c>
      <c r="AB19">
        <v>1959</v>
      </c>
      <c r="AC19" t="e">
        <f>NA()</f>
        <v>#N/A</v>
      </c>
      <c r="AD19" t="e">
        <f>NA()</f>
        <v>#N/A</v>
      </c>
    </row>
    <row r="20" spans="1:30" x14ac:dyDescent="0.35">
      <c r="A20">
        <v>1960</v>
      </c>
      <c r="B20">
        <v>8.9725000000000001</v>
      </c>
      <c r="C20">
        <v>0.156</v>
      </c>
      <c r="D20">
        <v>1.325</v>
      </c>
      <c r="E20" s="215">
        <v>8708.76</v>
      </c>
      <c r="F20" s="65">
        <v>-0.34290122047532301</v>
      </c>
      <c r="G20">
        <v>0.42199999999999999</v>
      </c>
      <c r="H20">
        <f t="shared" si="6"/>
        <v>0.42199999999999999</v>
      </c>
      <c r="I20">
        <v>0</v>
      </c>
      <c r="J20">
        <f t="shared" si="7"/>
        <v>1960</v>
      </c>
      <c r="K20">
        <f t="shared" si="8"/>
        <v>9.4149999999999991</v>
      </c>
      <c r="L20">
        <f t="shared" si="9"/>
        <v>1.325</v>
      </c>
      <c r="M20">
        <f t="shared" si="10"/>
        <v>0</v>
      </c>
      <c r="N20">
        <f t="shared" si="3"/>
        <v>7806.6739306941399</v>
      </c>
      <c r="O20">
        <f t="shared" si="4"/>
        <v>-0.11759746069020598</v>
      </c>
      <c r="P20">
        <f t="shared" si="5"/>
        <v>-0.5016747342507345</v>
      </c>
      <c r="Q20">
        <f t="shared" si="11"/>
        <v>0.42199999999999999</v>
      </c>
      <c r="R20" s="5">
        <f>'SR + catch data Murdoch_age var'!C12</f>
        <v>144782</v>
      </c>
      <c r="S20" s="26">
        <f t="shared" si="14"/>
        <v>-0.76057812645171108</v>
      </c>
      <c r="T20" s="26">
        <f t="shared" si="15"/>
        <v>0.31800387493600252</v>
      </c>
      <c r="U20" s="26">
        <f t="shared" si="12"/>
        <v>1.2736826659985954</v>
      </c>
      <c r="V20" s="26">
        <f t="shared" si="16"/>
        <v>-0.68587385818701796</v>
      </c>
      <c r="W20" s="26">
        <f t="shared" si="17"/>
        <v>-0.39676862648266104</v>
      </c>
      <c r="X20" s="26">
        <f t="shared" si="18"/>
        <v>-0.30670833768597178</v>
      </c>
      <c r="Y20" s="26">
        <f t="shared" si="19"/>
        <v>0.70288088956880534</v>
      </c>
      <c r="Z20" s="26">
        <f t="shared" si="20"/>
        <v>-0.83353465315958875</v>
      </c>
      <c r="AA20" s="26">
        <f t="shared" si="21"/>
        <v>-0.76057812645171086</v>
      </c>
      <c r="AB20">
        <v>1960</v>
      </c>
      <c r="AC20" t="e">
        <f>NA()</f>
        <v>#N/A</v>
      </c>
      <c r="AD20" t="e">
        <f>NA()</f>
        <v>#N/A</v>
      </c>
    </row>
    <row r="21" spans="1:30" x14ac:dyDescent="0.35">
      <c r="A21">
        <v>1961</v>
      </c>
      <c r="B21">
        <v>9.4149999999999991</v>
      </c>
      <c r="C21">
        <v>0.217</v>
      </c>
      <c r="D21">
        <v>-2.4999999999999901E-2</v>
      </c>
      <c r="E21" s="215">
        <v>8484.768</v>
      </c>
      <c r="F21" s="65">
        <v>0.26146305915899498</v>
      </c>
      <c r="G21">
        <v>-1.218</v>
      </c>
      <c r="H21">
        <f t="shared" si="6"/>
        <v>-1.218</v>
      </c>
      <c r="I21">
        <v>0</v>
      </c>
      <c r="J21">
        <f t="shared" si="7"/>
        <v>1961</v>
      </c>
      <c r="K21">
        <f t="shared" si="8"/>
        <v>8.8049999999999997</v>
      </c>
      <c r="L21">
        <f t="shared" si="9"/>
        <v>-2.4999999999999901E-2</v>
      </c>
      <c r="M21">
        <f t="shared" si="10"/>
        <v>0</v>
      </c>
      <c r="N21">
        <f t="shared" si="3"/>
        <v>7582.6819306941397</v>
      </c>
      <c r="O21">
        <f t="shared" si="4"/>
        <v>-0.1171415287130515</v>
      </c>
      <c r="P21">
        <f t="shared" si="5"/>
        <v>-0.33324500041442046</v>
      </c>
      <c r="Q21">
        <f t="shared" si="11"/>
        <v>-1.218</v>
      </c>
      <c r="R21" s="5">
        <f>'SR + catch data Murdoch_age var'!C13</f>
        <v>103920</v>
      </c>
      <c r="S21" s="26">
        <f t="shared" si="14"/>
        <v>-0.76057812645171108</v>
      </c>
      <c r="T21" s="26">
        <f t="shared" si="15"/>
        <v>-0.61548763107374671</v>
      </c>
      <c r="U21" s="26">
        <f t="shared" si="12"/>
        <v>-6.0651555523742504E-2</v>
      </c>
      <c r="V21" s="26">
        <f t="shared" si="16"/>
        <v>-0.70442367861378297</v>
      </c>
      <c r="W21" s="26">
        <f t="shared" si="17"/>
        <v>-0.39606328894993104</v>
      </c>
      <c r="X21" s="26">
        <f t="shared" si="18"/>
        <v>-0.10122219620501262</v>
      </c>
      <c r="Y21" s="26">
        <f t="shared" si="19"/>
        <v>-1.0011872797392511</v>
      </c>
      <c r="Z21" s="26">
        <f t="shared" si="20"/>
        <v>-0.88470981327833553</v>
      </c>
      <c r="AA21" s="26">
        <f t="shared" si="21"/>
        <v>-0.76057812645171086</v>
      </c>
      <c r="AB21">
        <v>1961</v>
      </c>
      <c r="AC21" t="e">
        <f>NA()</f>
        <v>#N/A</v>
      </c>
      <c r="AD21" t="e">
        <f>NA()</f>
        <v>#N/A</v>
      </c>
    </row>
    <row r="22" spans="1:30" x14ac:dyDescent="0.35">
      <c r="A22">
        <v>1962</v>
      </c>
      <c r="B22">
        <v>8.8049999999999997</v>
      </c>
      <c r="C22">
        <v>0.19</v>
      </c>
      <c r="D22">
        <v>-0.42499999999999999</v>
      </c>
      <c r="E22" s="215">
        <v>8260.7759999999998</v>
      </c>
      <c r="F22" s="65">
        <v>0.40796691309660599</v>
      </c>
      <c r="G22">
        <v>-0.124</v>
      </c>
      <c r="H22">
        <f t="shared" si="6"/>
        <v>-0.124</v>
      </c>
      <c r="I22">
        <v>0</v>
      </c>
      <c r="J22">
        <f t="shared" si="7"/>
        <v>1962</v>
      </c>
      <c r="K22">
        <f t="shared" si="8"/>
        <v>9.39</v>
      </c>
      <c r="L22">
        <f t="shared" si="9"/>
        <v>-0.42499999999999999</v>
      </c>
      <c r="M22">
        <f t="shared" si="10"/>
        <v>0</v>
      </c>
      <c r="N22">
        <f t="shared" si="3"/>
        <v>7358.6899306941395</v>
      </c>
      <c r="O22">
        <f t="shared" si="4"/>
        <v>-9.3189985372642406E-2</v>
      </c>
      <c r="P22">
        <f t="shared" si="5"/>
        <v>-0.3947183929198968</v>
      </c>
      <c r="Q22">
        <f t="shared" si="11"/>
        <v>-0.124</v>
      </c>
      <c r="R22" s="5">
        <f>'SR + catch data Murdoch_age var'!C14</f>
        <v>130357</v>
      </c>
      <c r="S22" s="26">
        <f t="shared" si="14"/>
        <v>-0.76057812645171108</v>
      </c>
      <c r="T22" s="26">
        <f t="shared" si="15"/>
        <v>0.27974602632904771</v>
      </c>
      <c r="U22" s="26">
        <f t="shared" si="12"/>
        <v>-0.45600984338221306</v>
      </c>
      <c r="V22" s="26">
        <f t="shared" si="16"/>
        <v>-0.72297349904054808</v>
      </c>
      <c r="W22" s="26">
        <f t="shared" si="17"/>
        <v>-0.3590096859316973</v>
      </c>
      <c r="X22" s="26">
        <f t="shared" si="18"/>
        <v>-0.17622041618659259</v>
      </c>
      <c r="Y22" s="26">
        <f t="shared" si="19"/>
        <v>0.13555087710404992</v>
      </c>
      <c r="Z22" s="26">
        <f t="shared" si="20"/>
        <v>-0.85160037888796536</v>
      </c>
      <c r="AA22" s="26">
        <f t="shared" si="21"/>
        <v>-0.76057812645171086</v>
      </c>
      <c r="AB22">
        <v>1962</v>
      </c>
      <c r="AC22" t="e">
        <f>NA()</f>
        <v>#N/A</v>
      </c>
      <c r="AD22" t="e">
        <f>NA()</f>
        <v>#N/A</v>
      </c>
    </row>
    <row r="23" spans="1:30" x14ac:dyDescent="0.35">
      <c r="A23">
        <v>1963</v>
      </c>
      <c r="B23">
        <v>9.39</v>
      </c>
      <c r="C23">
        <v>0.19600000000000001</v>
      </c>
      <c r="D23">
        <v>0.57499999999999996</v>
      </c>
      <c r="E23" s="215">
        <v>8036.7839999999997</v>
      </c>
      <c r="F23" s="65">
        <v>0.89972829216470296</v>
      </c>
      <c r="G23">
        <v>-4.1999999999999899E-2</v>
      </c>
      <c r="H23">
        <f t="shared" si="6"/>
        <v>-4.1999999999999899E-2</v>
      </c>
      <c r="I23">
        <v>0</v>
      </c>
      <c r="J23">
        <f t="shared" si="7"/>
        <v>1963</v>
      </c>
      <c r="K23">
        <f t="shared" si="8"/>
        <v>8.8699999999999992</v>
      </c>
      <c r="L23">
        <f t="shared" si="9"/>
        <v>0.57499999999999996</v>
      </c>
      <c r="M23">
        <f t="shared" si="10"/>
        <v>0</v>
      </c>
      <c r="N23">
        <f t="shared" si="3"/>
        <v>7134.6979306941384</v>
      </c>
      <c r="O23">
        <f t="shared" si="4"/>
        <v>0.45776499046715868</v>
      </c>
      <c r="P23">
        <f t="shared" si="5"/>
        <v>-0.29969464914943161</v>
      </c>
      <c r="Q23">
        <f t="shared" si="11"/>
        <v>-4.1999999999999899E-2</v>
      </c>
      <c r="R23" s="5">
        <f>'SR + catch data Murdoch_age var'!C15</f>
        <v>192245</v>
      </c>
      <c r="S23" s="26">
        <f t="shared" si="14"/>
        <v>-0.76057812645171108</v>
      </c>
      <c r="T23" s="26">
        <f t="shared" si="15"/>
        <v>-0.51601722469565936</v>
      </c>
      <c r="U23" s="26">
        <f t="shared" si="12"/>
        <v>0.53238587626396305</v>
      </c>
      <c r="V23" s="26">
        <f t="shared" si="16"/>
        <v>-0.7415233194673132</v>
      </c>
      <c r="W23" s="26">
        <f t="shared" si="17"/>
        <v>0.49333066915708146</v>
      </c>
      <c r="X23" s="26">
        <f t="shared" si="18"/>
        <v>-6.0290395923992553E-2</v>
      </c>
      <c r="Y23" s="26">
        <f t="shared" si="19"/>
        <v>0.22075428556945287</v>
      </c>
      <c r="Z23" s="26">
        <f t="shared" si="20"/>
        <v>-0.77409246666073694</v>
      </c>
      <c r="AA23" s="26">
        <f t="shared" si="21"/>
        <v>-0.76057812645171086</v>
      </c>
      <c r="AB23">
        <v>1963</v>
      </c>
      <c r="AC23" t="e">
        <f>NA()</f>
        <v>#N/A</v>
      </c>
      <c r="AD23" t="e">
        <f>NA()</f>
        <v>#N/A</v>
      </c>
    </row>
    <row r="24" spans="1:30" x14ac:dyDescent="0.35">
      <c r="A24">
        <v>1964</v>
      </c>
      <c r="B24">
        <v>8.8699999999999992</v>
      </c>
      <c r="C24">
        <v>0.18</v>
      </c>
      <c r="D24">
        <v>-0.75</v>
      </c>
      <c r="E24" s="215">
        <v>7812.7920000000004</v>
      </c>
      <c r="F24" s="65">
        <v>-0.26786699598887898</v>
      </c>
      <c r="G24">
        <v>-0.60599999999999998</v>
      </c>
      <c r="H24">
        <f t="shared" si="6"/>
        <v>-0.60599999999999998</v>
      </c>
      <c r="I24">
        <v>0</v>
      </c>
      <c r="J24">
        <f t="shared" si="7"/>
        <v>1964</v>
      </c>
      <c r="K24">
        <f t="shared" si="8"/>
        <v>8.7949999999999999</v>
      </c>
      <c r="L24">
        <f t="shared" si="9"/>
        <v>-0.75</v>
      </c>
      <c r="M24">
        <f t="shared" si="10"/>
        <v>0</v>
      </c>
      <c r="N24">
        <f t="shared" si="3"/>
        <v>6910.7059306941383</v>
      </c>
      <c r="O24">
        <f t="shared" si="4"/>
        <v>0.15366052019086718</v>
      </c>
      <c r="P24">
        <f t="shared" si="5"/>
        <v>-0.41000349121773805</v>
      </c>
      <c r="Q24">
        <f t="shared" si="11"/>
        <v>-0.60599999999999998</v>
      </c>
      <c r="R24" s="5">
        <f>'SR + catch data Murdoch_age var'!C16</f>
        <v>246741</v>
      </c>
      <c r="S24" s="26">
        <f t="shared" si="14"/>
        <v>-0.76057812645171108</v>
      </c>
      <c r="T24" s="26">
        <f t="shared" si="15"/>
        <v>-0.63079077051652921</v>
      </c>
      <c r="U24" s="26">
        <f t="shared" si="12"/>
        <v>-0.77723845226722044</v>
      </c>
      <c r="V24" s="26">
        <f t="shared" si="16"/>
        <v>-0.7600731398940781</v>
      </c>
      <c r="W24" s="26">
        <f t="shared" si="17"/>
        <v>2.2873874054561309E-2</v>
      </c>
      <c r="X24" s="26">
        <f t="shared" si="18"/>
        <v>-0.19486840546877593</v>
      </c>
      <c r="Y24" s="26">
        <f t="shared" si="19"/>
        <v>-0.36527891411941549</v>
      </c>
      <c r="Z24" s="26">
        <f t="shared" si="20"/>
        <v>-0.7058422213024278</v>
      </c>
      <c r="AA24" s="26">
        <f t="shared" si="21"/>
        <v>-0.76057812645171086</v>
      </c>
      <c r="AB24">
        <v>1964</v>
      </c>
      <c r="AC24" t="e">
        <f>NA()</f>
        <v>#N/A</v>
      </c>
      <c r="AD24" t="e">
        <f>NA()</f>
        <v>#N/A</v>
      </c>
    </row>
    <row r="25" spans="1:30" x14ac:dyDescent="0.35">
      <c r="A25">
        <v>1965</v>
      </c>
      <c r="B25">
        <v>8.7949999999999999</v>
      </c>
      <c r="C25">
        <v>0.25</v>
      </c>
      <c r="D25">
        <v>-0.8</v>
      </c>
      <c r="E25" s="215">
        <v>7588.8</v>
      </c>
      <c r="F25" s="65">
        <v>-7.9921755194664004E-2</v>
      </c>
      <c r="G25">
        <v>-0.27600000000000002</v>
      </c>
      <c r="H25">
        <f t="shared" si="6"/>
        <v>-0.27600000000000002</v>
      </c>
      <c r="I25">
        <v>0</v>
      </c>
      <c r="J25">
        <f t="shared" si="7"/>
        <v>1965</v>
      </c>
      <c r="K25">
        <f t="shared" si="8"/>
        <v>8.7249999999999996</v>
      </c>
      <c r="L25">
        <f t="shared" si="9"/>
        <v>-0.8</v>
      </c>
      <c r="M25">
        <f t="shared" si="10"/>
        <v>0</v>
      </c>
      <c r="N25">
        <f t="shared" si="3"/>
        <v>6687.0379247734281</v>
      </c>
      <c r="O25">
        <f t="shared" si="4"/>
        <v>-0.31128137306863407</v>
      </c>
      <c r="P25">
        <f t="shared" si="5"/>
        <v>0.5180347747362708</v>
      </c>
      <c r="Q25">
        <f t="shared" si="11"/>
        <v>-0.27600000000000002</v>
      </c>
      <c r="R25" s="5">
        <f>'SR + catch data Murdoch_age var'!C17</f>
        <v>129459</v>
      </c>
      <c r="S25" s="26">
        <f t="shared" si="14"/>
        <v>-0.76057812645171108</v>
      </c>
      <c r="T25" s="26">
        <f t="shared" si="15"/>
        <v>-0.73791274661600914</v>
      </c>
      <c r="U25" s="26">
        <f t="shared" si="12"/>
        <v>-0.82665823824952933</v>
      </c>
      <c r="V25" s="26">
        <f t="shared" si="16"/>
        <v>-0.77859612886262075</v>
      </c>
      <c r="W25" s="26">
        <f t="shared" si="17"/>
        <v>-0.69640221160453175</v>
      </c>
      <c r="X25" s="26">
        <f t="shared" si="18"/>
        <v>0.9373485616547218</v>
      </c>
      <c r="Y25" s="26">
        <f t="shared" si="19"/>
        <v>-2.2387148344013872E-2</v>
      </c>
      <c r="Z25" s="26">
        <f t="shared" si="20"/>
        <v>-0.85272502510661918</v>
      </c>
      <c r="AA25" s="26">
        <f t="shared" si="21"/>
        <v>-0.76057812645171086</v>
      </c>
      <c r="AB25">
        <v>1965</v>
      </c>
      <c r="AC25" t="e">
        <f>NA()</f>
        <v>#N/A</v>
      </c>
      <c r="AD25" t="e">
        <f>NA()</f>
        <v>#N/A</v>
      </c>
    </row>
    <row r="26" spans="1:30" x14ac:dyDescent="0.35">
      <c r="A26">
        <v>1966</v>
      </c>
      <c r="B26">
        <v>8.7249999999999996</v>
      </c>
      <c r="C26">
        <v>0.13200000000000001</v>
      </c>
      <c r="D26">
        <v>-0.72499999999999998</v>
      </c>
      <c r="E26" s="215">
        <v>7364.808</v>
      </c>
      <c r="F26" s="65">
        <v>-0.216612275022392</v>
      </c>
      <c r="G26">
        <v>-0.442</v>
      </c>
      <c r="H26">
        <f t="shared" si="6"/>
        <v>-0.442</v>
      </c>
      <c r="I26">
        <v>0</v>
      </c>
      <c r="J26">
        <f t="shared" si="7"/>
        <v>1966</v>
      </c>
      <c r="K26">
        <f t="shared" si="8"/>
        <v>9.0325000000000006</v>
      </c>
      <c r="L26">
        <f t="shared" si="9"/>
        <v>-0.72499999999999998</v>
      </c>
      <c r="M26">
        <f t="shared" si="10"/>
        <v>0</v>
      </c>
      <c r="N26">
        <f t="shared" si="3"/>
        <v>6492.6906333477882</v>
      </c>
      <c r="O26">
        <f t="shared" si="4"/>
        <v>-0.66211529182506712</v>
      </c>
      <c r="P26">
        <f t="shared" si="5"/>
        <v>-1.0586485159621015</v>
      </c>
      <c r="Q26">
        <f t="shared" si="11"/>
        <v>-0.442</v>
      </c>
      <c r="R26" s="5">
        <f>'SR + catch data Murdoch_age var'!C18</f>
        <v>360810</v>
      </c>
      <c r="S26" s="26">
        <f t="shared" si="14"/>
        <v>-0.76057812645171108</v>
      </c>
      <c r="T26" s="26">
        <f t="shared" si="15"/>
        <v>-0.26734120875043688</v>
      </c>
      <c r="U26" s="26">
        <f t="shared" si="12"/>
        <v>-0.75252855927606599</v>
      </c>
      <c r="V26" s="26">
        <f t="shared" si="16"/>
        <v>-0.79469093294657822</v>
      </c>
      <c r="W26" s="26">
        <f t="shared" si="17"/>
        <v>-1.2391505667387155</v>
      </c>
      <c r="X26" s="26">
        <f t="shared" si="18"/>
        <v>-0.98622252264071231</v>
      </c>
      <c r="Y26" s="26">
        <f t="shared" si="19"/>
        <v>-0.19487209718860982</v>
      </c>
      <c r="Z26" s="26">
        <f t="shared" si="20"/>
        <v>-0.56298334656342008</v>
      </c>
      <c r="AA26" s="26">
        <f t="shared" si="21"/>
        <v>-0.76057812645171086</v>
      </c>
      <c r="AB26">
        <v>1966</v>
      </c>
      <c r="AC26" t="e">
        <f>NA()</f>
        <v>#N/A</v>
      </c>
      <c r="AD26" t="e">
        <f>NA()</f>
        <v>#N/A</v>
      </c>
    </row>
    <row r="27" spans="1:30" x14ac:dyDescent="0.35">
      <c r="A27">
        <v>1967</v>
      </c>
      <c r="B27">
        <v>9.0325000000000006</v>
      </c>
      <c r="C27">
        <v>0.20300000000000001</v>
      </c>
      <c r="D27">
        <v>-0.55000000000000004</v>
      </c>
      <c r="E27" s="215">
        <v>7140.8159999999998</v>
      </c>
      <c r="F27" s="65">
        <v>0.60391121539287196</v>
      </c>
      <c r="G27">
        <v>-0.216</v>
      </c>
      <c r="H27">
        <f t="shared" si="6"/>
        <v>-0.216</v>
      </c>
      <c r="I27">
        <v>0</v>
      </c>
      <c r="J27">
        <f t="shared" si="7"/>
        <v>1967</v>
      </c>
      <c r="K27">
        <f t="shared" si="8"/>
        <v>9.1150000000000002</v>
      </c>
      <c r="L27">
        <f t="shared" si="9"/>
        <v>-0.55000000000000004</v>
      </c>
      <c r="M27">
        <f t="shared" si="10"/>
        <v>0</v>
      </c>
      <c r="N27">
        <f t="shared" si="3"/>
        <v>6449.3848741624206</v>
      </c>
      <c r="O27">
        <f t="shared" si="4"/>
        <v>-0.91935527387378069</v>
      </c>
      <c r="P27">
        <f t="shared" si="5"/>
        <v>-1.5005440909803545</v>
      </c>
      <c r="Q27">
        <f t="shared" si="11"/>
        <v>-0.216</v>
      </c>
      <c r="R27" s="5">
        <f>'SR + catch data Murdoch_age var'!C19</f>
        <v>213873</v>
      </c>
      <c r="S27" s="26">
        <f t="shared" si="14"/>
        <v>-0.76057812645171108</v>
      </c>
      <c r="T27" s="26">
        <f t="shared" si="15"/>
        <v>-0.14109030834747954</v>
      </c>
      <c r="U27" s="26">
        <f t="shared" si="12"/>
        <v>-0.57955930833798519</v>
      </c>
      <c r="V27" s="26">
        <f t="shared" si="16"/>
        <v>-0.79827728449633573</v>
      </c>
      <c r="W27" s="26">
        <f t="shared" si="17"/>
        <v>-1.6371068921321423</v>
      </c>
      <c r="X27" s="26">
        <f t="shared" si="18"/>
        <v>-1.5253400203638667</v>
      </c>
      <c r="Y27" s="26">
        <f t="shared" si="19"/>
        <v>3.9956809069695544E-2</v>
      </c>
      <c r="Z27" s="26">
        <f t="shared" si="20"/>
        <v>-0.74700577577315785</v>
      </c>
      <c r="AA27" s="26">
        <f t="shared" si="21"/>
        <v>-0.76057812645171086</v>
      </c>
      <c r="AB27">
        <v>1967</v>
      </c>
      <c r="AC27" t="e">
        <f>NA()</f>
        <v>#N/A</v>
      </c>
      <c r="AD27" t="e">
        <f>NA()</f>
        <v>#N/A</v>
      </c>
    </row>
    <row r="28" spans="1:30" x14ac:dyDescent="0.35">
      <c r="A28">
        <v>1968</v>
      </c>
      <c r="B28">
        <v>9.1150000000000002</v>
      </c>
      <c r="C28">
        <v>0.126</v>
      </c>
      <c r="D28">
        <v>-1.2250000000000001</v>
      </c>
      <c r="E28" s="215">
        <v>6916.8239999999996</v>
      </c>
      <c r="F28" s="65">
        <v>0.17405695434038801</v>
      </c>
      <c r="G28">
        <v>-0.67999999999999905</v>
      </c>
      <c r="H28">
        <f t="shared" si="6"/>
        <v>-0.67999999999999905</v>
      </c>
      <c r="I28">
        <v>0</v>
      </c>
      <c r="J28">
        <f t="shared" si="7"/>
        <v>1968</v>
      </c>
      <c r="K28">
        <f t="shared" si="8"/>
        <v>8.7874999999999996</v>
      </c>
      <c r="L28">
        <f t="shared" si="9"/>
        <v>-1.2250000000000001</v>
      </c>
      <c r="M28">
        <f t="shared" si="10"/>
        <v>0</v>
      </c>
      <c r="N28">
        <f t="shared" si="3"/>
        <v>6326.4319438220991</v>
      </c>
      <c r="O28">
        <f t="shared" si="4"/>
        <v>-0.35523586855733408</v>
      </c>
      <c r="P28">
        <f t="shared" si="5"/>
        <v>-0.64193633710051401</v>
      </c>
      <c r="Q28">
        <f t="shared" si="11"/>
        <v>-0.67999999999999905</v>
      </c>
      <c r="R28" s="5">
        <f>'SR + catch data Murdoch_age var'!C20</f>
        <v>670328</v>
      </c>
      <c r="S28" s="26">
        <f t="shared" si="14"/>
        <v>-0.76057812645171108</v>
      </c>
      <c r="T28" s="26">
        <f t="shared" si="15"/>
        <v>-0.64226812509861675</v>
      </c>
      <c r="U28" s="26">
        <f t="shared" si="12"/>
        <v>-1.2467264190991543</v>
      </c>
      <c r="V28" s="26">
        <f t="shared" si="16"/>
        <v>-0.8084595891266686</v>
      </c>
      <c r="W28" s="26">
        <f t="shared" si="17"/>
        <v>-0.76440085384472822</v>
      </c>
      <c r="X28" s="26">
        <f t="shared" si="18"/>
        <v>-0.47782904726060038</v>
      </c>
      <c r="Y28" s="26">
        <f t="shared" si="19"/>
        <v>-0.44216979492965608</v>
      </c>
      <c r="Z28" s="26">
        <f t="shared" si="20"/>
        <v>-0.1753460990073954</v>
      </c>
      <c r="AA28" s="26">
        <f t="shared" si="21"/>
        <v>-0.76057812645171086</v>
      </c>
      <c r="AB28">
        <v>1968</v>
      </c>
      <c r="AC28" t="e">
        <f>NA()</f>
        <v>#N/A</v>
      </c>
      <c r="AD28" t="e">
        <f>NA()</f>
        <v>#N/A</v>
      </c>
    </row>
    <row r="29" spans="1:30" x14ac:dyDescent="0.35">
      <c r="A29">
        <v>1969</v>
      </c>
      <c r="B29">
        <v>8.7874999999999996</v>
      </c>
      <c r="C29">
        <v>0.159</v>
      </c>
      <c r="D29">
        <v>0.05</v>
      </c>
      <c r="E29" s="215">
        <v>6692.8320000000003</v>
      </c>
      <c r="F29" s="65">
        <v>-0.32199035485003402</v>
      </c>
      <c r="G29">
        <v>0.996</v>
      </c>
      <c r="H29">
        <f t="shared" si="6"/>
        <v>0.996</v>
      </c>
      <c r="I29">
        <v>0</v>
      </c>
      <c r="J29">
        <f t="shared" si="7"/>
        <v>1969</v>
      </c>
      <c r="K29">
        <f t="shared" si="8"/>
        <v>8.7025000000000006</v>
      </c>
      <c r="L29">
        <f t="shared" si="9"/>
        <v>0.05</v>
      </c>
      <c r="M29">
        <f t="shared" si="10"/>
        <v>0</v>
      </c>
      <c r="N29">
        <f t="shared" si="3"/>
        <v>6299.9715964294992</v>
      </c>
      <c r="O29">
        <f t="shared" si="4"/>
        <v>-0.75384379348136155</v>
      </c>
      <c r="P29">
        <f t="shared" si="5"/>
        <v>-0.96626742368615126</v>
      </c>
      <c r="Q29">
        <f t="shared" si="11"/>
        <v>0.996</v>
      </c>
      <c r="R29" s="5">
        <f>'SR + catch data Murdoch_age var'!C21</f>
        <v>309220</v>
      </c>
      <c r="S29" s="26">
        <f t="shared" si="14"/>
        <v>-0.76057812645171108</v>
      </c>
      <c r="T29" s="26">
        <f t="shared" si="15"/>
        <v>-0.77234481036226899</v>
      </c>
      <c r="U29" s="26">
        <f t="shared" si="12"/>
        <v>1.3478123449720623E-2</v>
      </c>
      <c r="V29" s="26">
        <f t="shared" si="16"/>
        <v>-0.81065089369362886</v>
      </c>
      <c r="W29" s="26">
        <f t="shared" si="17"/>
        <v>-1.3810567244139678</v>
      </c>
      <c r="X29" s="26">
        <f t="shared" si="18"/>
        <v>-0.8735165664819865</v>
      </c>
      <c r="Y29" s="26">
        <f t="shared" si="19"/>
        <v>1.2993047488266252</v>
      </c>
      <c r="Z29" s="26">
        <f t="shared" si="20"/>
        <v>-0.62759414658608548</v>
      </c>
      <c r="AA29" s="26">
        <f t="shared" si="21"/>
        <v>-0.76057812645171086</v>
      </c>
      <c r="AB29">
        <v>1969</v>
      </c>
      <c r="AC29" t="e">
        <f>NA()</f>
        <v>#N/A</v>
      </c>
      <c r="AD29" t="e">
        <f>NA()</f>
        <v>#N/A</v>
      </c>
    </row>
    <row r="30" spans="1:30" x14ac:dyDescent="0.35">
      <c r="A30">
        <v>1970</v>
      </c>
      <c r="B30">
        <v>8.7025000000000006</v>
      </c>
      <c r="C30">
        <v>0.13400000000000001</v>
      </c>
      <c r="D30">
        <v>7.4999999999999997E-2</v>
      </c>
      <c r="E30" s="215">
        <v>6468.84</v>
      </c>
      <c r="F30" s="65">
        <v>-0.63646770213575399</v>
      </c>
      <c r="G30">
        <v>-1.234</v>
      </c>
      <c r="H30">
        <f t="shared" si="6"/>
        <v>-1.234</v>
      </c>
      <c r="I30">
        <v>0</v>
      </c>
      <c r="J30">
        <f t="shared" si="7"/>
        <v>1970</v>
      </c>
      <c r="K30">
        <f t="shared" si="8"/>
        <v>8.36</v>
      </c>
      <c r="L30">
        <f t="shared" si="9"/>
        <v>7.4999999999999997E-2</v>
      </c>
      <c r="M30">
        <f t="shared" si="10"/>
        <v>0</v>
      </c>
      <c r="N30">
        <f t="shared" si="3"/>
        <v>6731.9685504340277</v>
      </c>
      <c r="O30">
        <f t="shared" si="4"/>
        <v>-0.41943062020328964</v>
      </c>
      <c r="P30">
        <f t="shared" si="5"/>
        <v>-0.56537940318011293</v>
      </c>
      <c r="Q30">
        <f t="shared" si="11"/>
        <v>-1.234</v>
      </c>
      <c r="R30" s="5">
        <f>'SR + catch data Murdoch_age var'!C22</f>
        <v>284250</v>
      </c>
      <c r="S30" s="26">
        <f t="shared" si="14"/>
        <v>-0.76057812645171108</v>
      </c>
      <c r="T30" s="26">
        <f t="shared" si="15"/>
        <v>-1.2964773362775812</v>
      </c>
      <c r="U30" s="26">
        <f t="shared" si="12"/>
        <v>3.8188016440875022E-2</v>
      </c>
      <c r="V30" s="26">
        <f t="shared" si="16"/>
        <v>-0.77487521455467079</v>
      </c>
      <c r="W30" s="26">
        <f t="shared" si="17"/>
        <v>-0.8637116502112524</v>
      </c>
      <c r="X30" s="26">
        <f t="shared" si="18"/>
        <v>-0.38442873962724455</v>
      </c>
      <c r="Y30" s="26">
        <f t="shared" si="19"/>
        <v>-1.0178123350495736</v>
      </c>
      <c r="Z30" s="26">
        <f t="shared" si="20"/>
        <v>-0.65886632484865482</v>
      </c>
      <c r="AA30" s="26">
        <f t="shared" si="21"/>
        <v>-0.76057812645171086</v>
      </c>
      <c r="AB30">
        <v>1970</v>
      </c>
      <c r="AC30" t="e">
        <f>NA()</f>
        <v>#N/A</v>
      </c>
      <c r="AD30" t="e">
        <f>NA()</f>
        <v>#N/A</v>
      </c>
    </row>
    <row r="31" spans="1:30" x14ac:dyDescent="0.35">
      <c r="A31">
        <v>1971</v>
      </c>
      <c r="B31">
        <v>8.36</v>
      </c>
      <c r="C31">
        <v>0.22800000000000001</v>
      </c>
      <c r="D31">
        <v>-0.4</v>
      </c>
      <c r="E31" s="215">
        <v>6468.84</v>
      </c>
      <c r="F31" s="65">
        <v>-1.0925458947817399</v>
      </c>
      <c r="G31">
        <v>-1.73</v>
      </c>
      <c r="H31">
        <f t="shared" si="6"/>
        <v>-1.73</v>
      </c>
      <c r="I31">
        <v>0</v>
      </c>
      <c r="J31">
        <f t="shared" si="7"/>
        <v>1971</v>
      </c>
      <c r="K31">
        <f t="shared" si="8"/>
        <v>8.2675000000000001</v>
      </c>
      <c r="L31">
        <f t="shared" si="9"/>
        <v>-0.4</v>
      </c>
      <c r="M31">
        <f t="shared" si="10"/>
        <v>0</v>
      </c>
      <c r="N31">
        <f t="shared" si="3"/>
        <v>7151.1528765337889</v>
      </c>
      <c r="O31">
        <f t="shared" si="4"/>
        <v>-0.8826728106621522</v>
      </c>
      <c r="P31">
        <f t="shared" si="5"/>
        <v>-0.88720193830783156</v>
      </c>
      <c r="Q31">
        <f t="shared" si="11"/>
        <v>-1.73</v>
      </c>
      <c r="R31" s="5">
        <f>'SR + catch data Murdoch_age var'!C23</f>
        <v>290125</v>
      </c>
      <c r="S31" s="26">
        <f t="shared" si="14"/>
        <v>-0.76057812645171108</v>
      </c>
      <c r="T31" s="26">
        <f t="shared" si="15"/>
        <v>-1.438031376123321</v>
      </c>
      <c r="U31" s="26">
        <f t="shared" si="12"/>
        <v>-0.43129995039105873</v>
      </c>
      <c r="V31" s="26">
        <f t="shared" si="16"/>
        <v>-0.74016060878810297</v>
      </c>
      <c r="W31" s="26">
        <f t="shared" si="17"/>
        <v>-1.580358255509571</v>
      </c>
      <c r="X31" s="26">
        <f t="shared" si="18"/>
        <v>-0.77705579827523164</v>
      </c>
      <c r="Y31" s="26">
        <f t="shared" si="19"/>
        <v>-1.5331890496695713</v>
      </c>
      <c r="Z31" s="26">
        <f t="shared" si="20"/>
        <v>-0.65150853360746153</v>
      </c>
      <c r="AA31" s="26">
        <f t="shared" si="21"/>
        <v>-0.76057812645171086</v>
      </c>
      <c r="AB31">
        <v>1971</v>
      </c>
      <c r="AC31" t="e">
        <f>NA()</f>
        <v>#N/A</v>
      </c>
      <c r="AD31" t="e">
        <f>NA()</f>
        <v>#N/A</v>
      </c>
    </row>
    <row r="32" spans="1:30" x14ac:dyDescent="0.35">
      <c r="A32">
        <v>1972</v>
      </c>
      <c r="B32">
        <v>8.2675000000000001</v>
      </c>
      <c r="C32">
        <v>0.19900000000000001</v>
      </c>
      <c r="D32">
        <v>-0.35</v>
      </c>
      <c r="E32" s="215">
        <v>6324</v>
      </c>
      <c r="F32" s="65">
        <v>-0.15230560261600901</v>
      </c>
      <c r="G32">
        <v>-0.4</v>
      </c>
      <c r="H32">
        <f t="shared" si="6"/>
        <v>-0.4</v>
      </c>
      <c r="I32">
        <v>0</v>
      </c>
      <c r="J32">
        <f t="shared" si="7"/>
        <v>1972</v>
      </c>
      <c r="K32">
        <f t="shared" si="8"/>
        <v>8.4824999999999999</v>
      </c>
      <c r="L32">
        <f t="shared" si="9"/>
        <v>-0.35</v>
      </c>
      <c r="M32">
        <f t="shared" si="10"/>
        <v>0</v>
      </c>
      <c r="N32">
        <f t="shared" si="3"/>
        <v>7559.3607076676153</v>
      </c>
      <c r="O32">
        <f t="shared" si="4"/>
        <v>-1.029315489027631</v>
      </c>
      <c r="P32">
        <f t="shared" si="5"/>
        <v>0.80513588858197382</v>
      </c>
      <c r="Q32">
        <f t="shared" si="11"/>
        <v>-0.4</v>
      </c>
      <c r="R32" s="5">
        <f>'SR + catch data Murdoch_age var'!C24</f>
        <v>423290</v>
      </c>
      <c r="S32" s="26">
        <f t="shared" si="14"/>
        <v>-0.76057812645171108</v>
      </c>
      <c r="T32" s="26">
        <f t="shared" si="15"/>
        <v>-1.1090138781034913</v>
      </c>
      <c r="U32" s="26">
        <f t="shared" si="12"/>
        <v>-0.38188016440874983</v>
      </c>
      <c r="V32" s="26">
        <f t="shared" si="16"/>
        <v>-0.70635501767622533</v>
      </c>
      <c r="W32" s="26">
        <f t="shared" si="17"/>
        <v>-1.8072179410195979</v>
      </c>
      <c r="X32" s="26">
        <f t="shared" si="18"/>
        <v>1.287615101625466</v>
      </c>
      <c r="Y32" s="26">
        <f t="shared" si="19"/>
        <v>-0.15123132699901326</v>
      </c>
      <c r="Z32" s="26">
        <f t="shared" si="20"/>
        <v>-0.48473401945707922</v>
      </c>
      <c r="AA32" s="26">
        <f t="shared" si="21"/>
        <v>-0.76057812645171086</v>
      </c>
      <c r="AB32">
        <v>1972</v>
      </c>
      <c r="AC32" t="e">
        <f>NA()</f>
        <v>#N/A</v>
      </c>
      <c r="AD32" t="e">
        <f>NA()</f>
        <v>#N/A</v>
      </c>
    </row>
    <row r="33" spans="1:30" x14ac:dyDescent="0.35">
      <c r="A33">
        <v>1973</v>
      </c>
      <c r="B33">
        <v>8.4824999999999999</v>
      </c>
      <c r="C33">
        <v>0.27900000000000003</v>
      </c>
      <c r="D33">
        <v>-0.27500000000000002</v>
      </c>
      <c r="E33" s="215">
        <v>6219.96</v>
      </c>
      <c r="F33" s="65">
        <v>-0.92430880082150302</v>
      </c>
      <c r="G33">
        <v>-1.1519999999999999</v>
      </c>
      <c r="H33">
        <f t="shared" si="6"/>
        <v>-1.1519999999999999</v>
      </c>
      <c r="I33">
        <v>0</v>
      </c>
      <c r="J33">
        <f t="shared" si="7"/>
        <v>1973</v>
      </c>
      <c r="K33">
        <f t="shared" si="8"/>
        <v>8.4774999999999991</v>
      </c>
      <c r="L33">
        <f t="shared" si="9"/>
        <v>-0.27500000000000002</v>
      </c>
      <c r="M33">
        <f t="shared" si="10"/>
        <v>0</v>
      </c>
      <c r="N33">
        <f t="shared" si="3"/>
        <v>7916.674004561567</v>
      </c>
      <c r="O33">
        <f t="shared" si="4"/>
        <v>-0.2341579713658031</v>
      </c>
      <c r="P33">
        <f t="shared" si="5"/>
        <v>0.35230938500790959</v>
      </c>
      <c r="Q33">
        <f t="shared" si="11"/>
        <v>-1.1519999999999999</v>
      </c>
      <c r="R33" s="5">
        <f>'SR + catch data Murdoch_age var'!C25</f>
        <v>267080</v>
      </c>
      <c r="S33" s="26">
        <f t="shared" si="14"/>
        <v>-0.76057812645171108</v>
      </c>
      <c r="T33" s="26">
        <f t="shared" si="15"/>
        <v>-1.1166654478248839</v>
      </c>
      <c r="U33" s="26">
        <f t="shared" si="12"/>
        <v>-0.30775048543528666</v>
      </c>
      <c r="V33" s="26">
        <f t="shared" si="16"/>
        <v>-0.67676423990970602</v>
      </c>
      <c r="W33" s="26">
        <f t="shared" si="17"/>
        <v>-0.57709048836825949</v>
      </c>
      <c r="X33" s="26">
        <f t="shared" si="18"/>
        <v>0.73516174994958516</v>
      </c>
      <c r="Y33" s="26">
        <f t="shared" si="19"/>
        <v>-0.93260892658417072</v>
      </c>
      <c r="Z33" s="26">
        <f t="shared" si="20"/>
        <v>-0.68036986112291653</v>
      </c>
      <c r="AA33" s="26">
        <f t="shared" si="21"/>
        <v>-0.76057812645171086</v>
      </c>
      <c r="AB33">
        <v>1973</v>
      </c>
      <c r="AC33" t="e">
        <f>NA()</f>
        <v>#N/A</v>
      </c>
      <c r="AD33" s="61">
        <f>SUMPRODUCT($E$3:$E$8,E36:E41)</f>
        <v>7875.5673643108157</v>
      </c>
    </row>
    <row r="34" spans="1:30" x14ac:dyDescent="0.35">
      <c r="A34">
        <v>1974</v>
      </c>
      <c r="B34">
        <v>8.4774999999999991</v>
      </c>
      <c r="C34">
        <v>0.23400000000000001</v>
      </c>
      <c r="D34">
        <v>0.75</v>
      </c>
      <c r="E34" s="215">
        <v>6732</v>
      </c>
      <c r="F34" s="65">
        <v>-0.26039957460016</v>
      </c>
      <c r="G34">
        <v>-0.35399999999999998</v>
      </c>
      <c r="H34">
        <f t="shared" si="6"/>
        <v>-0.35399999999999998</v>
      </c>
      <c r="I34">
        <v>0</v>
      </c>
      <c r="J34">
        <f t="shared" si="7"/>
        <v>1974</v>
      </c>
      <c r="K34">
        <f t="shared" si="8"/>
        <v>8.2025000000000006</v>
      </c>
      <c r="L34">
        <f t="shared" si="9"/>
        <v>0.75</v>
      </c>
      <c r="M34">
        <f t="shared" si="10"/>
        <v>0</v>
      </c>
      <c r="N34">
        <f t="shared" si="3"/>
        <v>7942.9150278875686</v>
      </c>
      <c r="O34">
        <f t="shared" si="4"/>
        <v>-0.15238791512679253</v>
      </c>
      <c r="P34">
        <f t="shared" si="5"/>
        <v>-0.34186023842217578</v>
      </c>
      <c r="Q34">
        <f t="shared" si="11"/>
        <v>-0.35399999999999998</v>
      </c>
      <c r="R34" s="5">
        <f>'SR + catch data Murdoch_age var'!C26</f>
        <v>350315</v>
      </c>
      <c r="S34" s="26">
        <f t="shared" si="14"/>
        <v>-0.76057812645171108</v>
      </c>
      <c r="T34" s="26">
        <f t="shared" si="15"/>
        <v>-1.5375017825014083</v>
      </c>
      <c r="U34" s="26">
        <f t="shared" si="12"/>
        <v>0.70535512720204396</v>
      </c>
      <c r="V34" s="26">
        <f t="shared" si="16"/>
        <v>-0.67459109858987365</v>
      </c>
      <c r="W34" s="26">
        <f t="shared" si="17"/>
        <v>-0.45059028086191533</v>
      </c>
      <c r="X34" s="26">
        <f t="shared" si="18"/>
        <v>-0.11173288203127058</v>
      </c>
      <c r="Y34" s="26">
        <f t="shared" si="19"/>
        <v>-0.10343429298183603</v>
      </c>
      <c r="Z34" s="26">
        <f t="shared" si="20"/>
        <v>-0.57612717959768789</v>
      </c>
      <c r="AA34" s="26">
        <f t="shared" si="21"/>
        <v>-0.76057812645171086</v>
      </c>
      <c r="AB34">
        <v>1974</v>
      </c>
      <c r="AC34" t="e">
        <f>NA()</f>
        <v>#N/A</v>
      </c>
      <c r="AD34" s="61">
        <f t="shared" ref="AD34:AD77" si="22">SUMPRODUCT($E$3:$E$8,E37:E42)</f>
        <v>7781.7478094494336</v>
      </c>
    </row>
    <row r="35" spans="1:30" x14ac:dyDescent="0.35">
      <c r="A35">
        <v>1975</v>
      </c>
      <c r="B35">
        <v>8.2025000000000006</v>
      </c>
      <c r="C35">
        <v>0.32</v>
      </c>
      <c r="D35">
        <v>1.2749999999999999</v>
      </c>
      <c r="E35" s="215">
        <v>7140</v>
      </c>
      <c r="F35" s="65">
        <v>-0.91532745629859402</v>
      </c>
      <c r="G35">
        <v>-1.3240000000000001</v>
      </c>
      <c r="H35">
        <f t="shared" si="6"/>
        <v>-1.3240000000000001</v>
      </c>
      <c r="I35">
        <v>0</v>
      </c>
      <c r="J35">
        <f t="shared" si="7"/>
        <v>1975</v>
      </c>
      <c r="K35">
        <f t="shared" si="8"/>
        <v>8.2675000000000001</v>
      </c>
      <c r="L35">
        <f t="shared" si="9"/>
        <v>1.2749999999999999</v>
      </c>
      <c r="M35">
        <f t="shared" si="10"/>
        <v>0</v>
      </c>
      <c r="N35">
        <f t="shared" si="3"/>
        <v>7851.332024570841</v>
      </c>
      <c r="O35">
        <f t="shared" si="4"/>
        <v>0.4207795995222039</v>
      </c>
      <c r="P35">
        <f t="shared" si="5"/>
        <v>0.34968282098644271</v>
      </c>
      <c r="Q35">
        <f t="shared" si="11"/>
        <v>-1.3240000000000001</v>
      </c>
      <c r="R35" s="5">
        <f>'SR + catch data Murdoch_age var'!C27</f>
        <v>191420</v>
      </c>
      <c r="S35" s="26">
        <f t="shared" si="14"/>
        <v>-0.76057812645171108</v>
      </c>
      <c r="T35" s="26">
        <f t="shared" si="15"/>
        <v>-1.438031376123321</v>
      </c>
      <c r="U35" s="26">
        <f t="shared" si="12"/>
        <v>1.2242628800162865</v>
      </c>
      <c r="V35" s="26">
        <f t="shared" si="16"/>
        <v>-0.68217551350500072</v>
      </c>
      <c r="W35" s="26">
        <f t="shared" si="17"/>
        <v>0.43611339617925066</v>
      </c>
      <c r="X35" s="26">
        <f t="shared" si="18"/>
        <v>0.73195731274107856</v>
      </c>
      <c r="Y35" s="26">
        <f t="shared" si="19"/>
        <v>-1.1113282711701378</v>
      </c>
      <c r="Z35" s="26">
        <f t="shared" si="20"/>
        <v>-0.77512568840950025</v>
      </c>
      <c r="AA35" s="26">
        <f t="shared" si="21"/>
        <v>-0.76057812645171086</v>
      </c>
      <c r="AB35">
        <v>1975</v>
      </c>
      <c r="AC35" t="e">
        <f>NA()</f>
        <v>#N/A</v>
      </c>
      <c r="AD35" s="61">
        <f t="shared" si="22"/>
        <v>7738.0111971885981</v>
      </c>
    </row>
    <row r="36" spans="1:30" x14ac:dyDescent="0.35">
      <c r="A36">
        <v>1976</v>
      </c>
      <c r="B36">
        <v>8.2675000000000001</v>
      </c>
      <c r="C36">
        <v>0.24399999999999999</v>
      </c>
      <c r="D36">
        <v>1.55</v>
      </c>
      <c r="E36" s="215">
        <v>7548</v>
      </c>
      <c r="F36" s="65">
        <v>-1.21032701581716</v>
      </c>
      <c r="G36">
        <v>1.18</v>
      </c>
      <c r="H36">
        <f t="shared" si="6"/>
        <v>1.18</v>
      </c>
      <c r="I36">
        <v>0</v>
      </c>
      <c r="J36">
        <f t="shared" si="7"/>
        <v>1976</v>
      </c>
      <c r="K36">
        <f t="shared" si="8"/>
        <v>8.6649999999999991</v>
      </c>
      <c r="L36">
        <f t="shared" si="9"/>
        <v>1.55</v>
      </c>
      <c r="M36">
        <f t="shared" si="10"/>
        <v>0</v>
      </c>
      <c r="N36">
        <f t="shared" si="3"/>
        <v>7760.2108270460894</v>
      </c>
      <c r="O36">
        <f t="shared" si="4"/>
        <v>0.10084759188084784</v>
      </c>
      <c r="P36">
        <f t="shared" si="5"/>
        <v>0.76566815259115673</v>
      </c>
      <c r="Q36">
        <f t="shared" si="11"/>
        <v>1.18</v>
      </c>
      <c r="R36" s="5">
        <f>'SR + catch data Murdoch_age var'!C28</f>
        <v>340517</v>
      </c>
      <c r="S36" s="26">
        <f t="shared" si="14"/>
        <v>-0.76057812645171108</v>
      </c>
      <c r="T36" s="26">
        <f t="shared" si="15"/>
        <v>-0.82973158327270669</v>
      </c>
      <c r="U36" s="26">
        <f t="shared" si="12"/>
        <v>1.4960717029189849</v>
      </c>
      <c r="V36" s="26">
        <f t="shared" si="16"/>
        <v>-0.68972168413232626</v>
      </c>
      <c r="W36" s="26">
        <f t="shared" si="17"/>
        <v>-5.8828972898451432E-2</v>
      </c>
      <c r="X36" s="26">
        <f t="shared" si="18"/>
        <v>1.2394640264143406</v>
      </c>
      <c r="Y36" s="26">
        <f t="shared" si="19"/>
        <v>1.490492884895334</v>
      </c>
      <c r="Z36" s="26">
        <f t="shared" si="20"/>
        <v>-0.58839809680300037</v>
      </c>
      <c r="AA36" s="26">
        <f t="shared" si="21"/>
        <v>-0.76057812645171086</v>
      </c>
      <c r="AB36">
        <v>1976</v>
      </c>
      <c r="AC36" t="e">
        <f>NA()</f>
        <v>#N/A</v>
      </c>
      <c r="AD36" s="61">
        <f t="shared" si="22"/>
        <v>7760.2338892620073</v>
      </c>
    </row>
    <row r="37" spans="1:30" x14ac:dyDescent="0.35">
      <c r="A37">
        <v>1977</v>
      </c>
      <c r="B37">
        <v>8.6649999999999991</v>
      </c>
      <c r="C37">
        <v>0.29799999999999999</v>
      </c>
      <c r="D37">
        <v>0.97499999999999998</v>
      </c>
      <c r="E37" s="215">
        <v>7962.12</v>
      </c>
      <c r="F37" s="65">
        <v>-8.7763213676710902E-2</v>
      </c>
      <c r="G37">
        <v>0.39600000000000002</v>
      </c>
      <c r="H37">
        <f t="shared" si="6"/>
        <v>0.39600000000000002</v>
      </c>
      <c r="I37">
        <v>0</v>
      </c>
      <c r="J37">
        <f t="shared" si="7"/>
        <v>1977</v>
      </c>
      <c r="K37">
        <f t="shared" si="8"/>
        <v>9.5175000000000001</v>
      </c>
      <c r="L37">
        <f t="shared" si="9"/>
        <v>0.97499999999999998</v>
      </c>
      <c r="M37">
        <f t="shared" si="10"/>
        <v>0</v>
      </c>
      <c r="N37">
        <f t="shared" si="3"/>
        <v>7731.9904204375334</v>
      </c>
      <c r="O37">
        <f t="shared" si="4"/>
        <v>5.4455022599121133E-2</v>
      </c>
      <c r="P37">
        <f t="shared" si="5"/>
        <v>0.27535774666276869</v>
      </c>
      <c r="Q37">
        <f t="shared" si="11"/>
        <v>0.39600000000000002</v>
      </c>
      <c r="R37" s="5">
        <f>'SR + catch data Murdoch_age var'!C29</f>
        <v>599341</v>
      </c>
      <c r="S37" s="26">
        <f t="shared" si="14"/>
        <v>-0.76057812645171108</v>
      </c>
      <c r="T37" s="26">
        <f t="shared" si="15"/>
        <v>0.47486105422452751</v>
      </c>
      <c r="U37" s="26">
        <f t="shared" si="12"/>
        <v>0.92774416412243355</v>
      </c>
      <c r="V37" s="26">
        <f t="shared" si="16"/>
        <v>-0.69205874739779571</v>
      </c>
      <c r="W37" s="26">
        <f t="shared" si="17"/>
        <v>-0.13059937285680528</v>
      </c>
      <c r="X37" s="26">
        <f t="shared" si="18"/>
        <v>0.64127989854472345</v>
      </c>
      <c r="Y37" s="26">
        <f t="shared" si="19"/>
        <v>0.67586517468953122</v>
      </c>
      <c r="Z37" s="26">
        <f t="shared" si="20"/>
        <v>-0.26424950783098411</v>
      </c>
      <c r="AA37" s="26">
        <f t="shared" si="21"/>
        <v>-0.76057812645171086</v>
      </c>
      <c r="AB37">
        <v>1977</v>
      </c>
      <c r="AC37" t="e">
        <f>NA()</f>
        <v>#N/A</v>
      </c>
      <c r="AD37" s="61">
        <f t="shared" si="22"/>
        <v>8044.2791931276843</v>
      </c>
    </row>
    <row r="38" spans="1:30" x14ac:dyDescent="0.35">
      <c r="A38">
        <v>1978</v>
      </c>
      <c r="B38">
        <v>9.5175000000000001</v>
      </c>
      <c r="C38">
        <v>0.223</v>
      </c>
      <c r="D38">
        <v>-0.6</v>
      </c>
      <c r="E38" s="215">
        <v>7956</v>
      </c>
      <c r="F38" s="65">
        <v>-0.29102282385962702</v>
      </c>
      <c r="G38">
        <v>-0.57399999999999995</v>
      </c>
      <c r="H38">
        <f t="shared" si="6"/>
        <v>-0.57399999999999995</v>
      </c>
      <c r="I38">
        <v>0</v>
      </c>
      <c r="J38">
        <f t="shared" si="7"/>
        <v>1978</v>
      </c>
      <c r="K38">
        <f t="shared" si="8"/>
        <v>8.6649999999999991</v>
      </c>
      <c r="L38">
        <f t="shared" si="9"/>
        <v>-0.6</v>
      </c>
      <c r="M38">
        <f t="shared" si="10"/>
        <v>0</v>
      </c>
      <c r="N38">
        <f t="shared" si="3"/>
        <v>7775.0525071201801</v>
      </c>
      <c r="O38">
        <f t="shared" si="4"/>
        <v>-0.42048606574630609</v>
      </c>
      <c r="P38">
        <f t="shared" si="5"/>
        <v>0.60687909138058871</v>
      </c>
      <c r="Q38">
        <f t="shared" si="11"/>
        <v>-0.57399999999999995</v>
      </c>
      <c r="R38" s="5">
        <f>'SR + catch data Murdoch_age var'!C30</f>
        <v>358990</v>
      </c>
      <c r="S38" s="26">
        <f t="shared" si="14"/>
        <v>-0.76057812645171108</v>
      </c>
      <c r="T38" s="26">
        <f t="shared" si="15"/>
        <v>-0.82973158327270669</v>
      </c>
      <c r="U38" s="26">
        <f t="shared" si="12"/>
        <v>-0.62897909432029397</v>
      </c>
      <c r="V38" s="26">
        <f t="shared" si="16"/>
        <v>-0.68849257550252763</v>
      </c>
      <c r="W38" s="26">
        <f t="shared" si="17"/>
        <v>-0.86534444938425259</v>
      </c>
      <c r="X38" s="26">
        <f t="shared" si="18"/>
        <v>1.0457396123553988</v>
      </c>
      <c r="Y38" s="26">
        <f t="shared" si="19"/>
        <v>-0.33202880349877045</v>
      </c>
      <c r="Z38" s="26">
        <f t="shared" si="20"/>
        <v>-0.56526269636069193</v>
      </c>
      <c r="AA38" s="26">
        <f t="shared" si="21"/>
        <v>-0.76057812645171086</v>
      </c>
      <c r="AB38">
        <v>1978</v>
      </c>
      <c r="AC38" s="61">
        <f>SUMPRODUCT($D$3:$D$8,E41:E46)</f>
        <v>8173.0521714550505</v>
      </c>
      <c r="AD38" s="61">
        <f t="shared" si="22"/>
        <v>8327.5363607965628</v>
      </c>
    </row>
    <row r="39" spans="1:30" x14ac:dyDescent="0.35">
      <c r="A39">
        <v>1979</v>
      </c>
      <c r="B39">
        <v>8.6649999999999991</v>
      </c>
      <c r="C39">
        <v>0.43099999999999999</v>
      </c>
      <c r="D39">
        <v>-1.325</v>
      </c>
      <c r="E39" s="215">
        <v>7854</v>
      </c>
      <c r="F39" s="65">
        <v>0.59152662226309305</v>
      </c>
      <c r="G39">
        <v>0.38</v>
      </c>
      <c r="H39">
        <f t="shared" si="6"/>
        <v>0.38</v>
      </c>
      <c r="I39">
        <v>0</v>
      </c>
      <c r="J39">
        <f t="shared" si="7"/>
        <v>1979</v>
      </c>
      <c r="K39">
        <f t="shared" si="8"/>
        <v>9.1974999999999998</v>
      </c>
      <c r="L39">
        <f t="shared" si="9"/>
        <v>-1.325</v>
      </c>
      <c r="M39">
        <f t="shared" si="10"/>
        <v>0</v>
      </c>
      <c r="N39">
        <f t="shared" si="3"/>
        <v>8139.6434448665459</v>
      </c>
      <c r="O39">
        <f t="shared" si="4"/>
        <v>6.1842582709676609E-2</v>
      </c>
      <c r="P39">
        <f t="shared" si="5"/>
        <v>1.1930363861341964</v>
      </c>
      <c r="Q39">
        <f t="shared" si="11"/>
        <v>0.38</v>
      </c>
      <c r="R39" s="5">
        <f>'SR + catch data Murdoch_age var'!C31</f>
        <v>255634</v>
      </c>
      <c r="S39" s="26">
        <f t="shared" si="14"/>
        <v>-0.76057812645171108</v>
      </c>
      <c r="T39" s="26">
        <f t="shared" si="15"/>
        <v>-1.4839407944522176E-2</v>
      </c>
      <c r="U39" s="26">
        <f t="shared" si="12"/>
        <v>-1.3455659910637718</v>
      </c>
      <c r="V39" s="26">
        <f t="shared" si="16"/>
        <v>-0.6582991024123237</v>
      </c>
      <c r="W39" s="26">
        <f t="shared" si="17"/>
        <v>-0.11917064295329061</v>
      </c>
      <c r="X39" s="26">
        <f t="shared" si="18"/>
        <v>1.7608580065748596</v>
      </c>
      <c r="Y39" s="26">
        <f t="shared" si="19"/>
        <v>0.65924011937920879</v>
      </c>
      <c r="Z39" s="26">
        <f t="shared" si="20"/>
        <v>-0.69470471704575865</v>
      </c>
      <c r="AA39" s="26">
        <f t="shared" si="21"/>
        <v>-0.76057812645171086</v>
      </c>
      <c r="AB39">
        <v>1979</v>
      </c>
      <c r="AC39" s="61">
        <f t="shared" ref="AC39:AC78" si="23">SUMPRODUCT($D$3:$D$8,E42:E47)</f>
        <v>8398.9054587581086</v>
      </c>
      <c r="AD39" s="61">
        <f t="shared" si="22"/>
        <v>8604.9458258492778</v>
      </c>
    </row>
    <row r="40" spans="1:30" x14ac:dyDescent="0.35">
      <c r="A40">
        <v>1980</v>
      </c>
      <c r="B40">
        <v>9.1974999999999998</v>
      </c>
      <c r="C40">
        <v>0.309</v>
      </c>
      <c r="D40">
        <v>-0.6</v>
      </c>
      <c r="E40" s="215">
        <v>7752</v>
      </c>
      <c r="F40" s="65">
        <v>2.0025953122724999E-2</v>
      </c>
      <c r="G40">
        <v>0.93</v>
      </c>
      <c r="H40">
        <f t="shared" si="6"/>
        <v>0.93</v>
      </c>
      <c r="I40">
        <v>0</v>
      </c>
      <c r="J40">
        <f t="shared" si="7"/>
        <v>1980</v>
      </c>
      <c r="K40">
        <f t="shared" si="8"/>
        <v>9.27</v>
      </c>
      <c r="L40">
        <f t="shared" si="9"/>
        <v>-0.6</v>
      </c>
      <c r="M40">
        <f t="shared" si="10"/>
        <v>0</v>
      </c>
      <c r="N40">
        <f t="shared" si="3"/>
        <v>8383.3143650426136</v>
      </c>
      <c r="O40">
        <f t="shared" si="4"/>
        <v>-5.5324318449973757E-2</v>
      </c>
      <c r="P40">
        <f t="shared" si="5"/>
        <v>0.56549590189833765</v>
      </c>
      <c r="Q40">
        <f t="shared" si="11"/>
        <v>0.93</v>
      </c>
      <c r="R40" s="5">
        <f>'SR + catch data Murdoch_age var'!C32</f>
        <v>314011</v>
      </c>
      <c r="S40" s="26">
        <f t="shared" si="14"/>
        <v>-0.76057812645171108</v>
      </c>
      <c r="T40" s="26">
        <f t="shared" si="15"/>
        <v>9.6108353015652709E-2</v>
      </c>
      <c r="U40" s="26">
        <f t="shared" si="12"/>
        <v>-0.62897909432029397</v>
      </c>
      <c r="V40" s="26">
        <f t="shared" si="16"/>
        <v>-0.63811957898072502</v>
      </c>
      <c r="W40" s="26">
        <f t="shared" si="17"/>
        <v>-0.30043060523395776</v>
      </c>
      <c r="X40" s="26">
        <f t="shared" si="18"/>
        <v>0.99525166266150833</v>
      </c>
      <c r="Y40" s="26">
        <f t="shared" si="19"/>
        <v>1.2307263956715448</v>
      </c>
      <c r="Z40" s="26">
        <f t="shared" si="20"/>
        <v>-0.62159394610326724</v>
      </c>
      <c r="AA40" s="26">
        <f t="shared" si="21"/>
        <v>-0.76057812645171086</v>
      </c>
      <c r="AB40">
        <v>1980</v>
      </c>
      <c r="AC40" s="61">
        <f t="shared" si="23"/>
        <v>8702.6248748841517</v>
      </c>
      <c r="AD40" s="61">
        <f t="shared" si="22"/>
        <v>8925.1100585708718</v>
      </c>
    </row>
    <row r="41" spans="1:30" x14ac:dyDescent="0.35">
      <c r="A41">
        <v>1981</v>
      </c>
      <c r="B41">
        <v>9.27</v>
      </c>
      <c r="C41">
        <v>0.32600000000000001</v>
      </c>
      <c r="D41">
        <v>-0.3</v>
      </c>
      <c r="E41" s="215">
        <v>7731.6</v>
      </c>
      <c r="F41" s="65">
        <v>0.174339792935643</v>
      </c>
      <c r="G41">
        <v>0.13600000000000001</v>
      </c>
      <c r="H41">
        <f t="shared" si="6"/>
        <v>0.13600000000000001</v>
      </c>
      <c r="I41">
        <v>0</v>
      </c>
      <c r="J41">
        <f t="shared" si="7"/>
        <v>1981</v>
      </c>
      <c r="K41">
        <f t="shared" si="8"/>
        <v>9.0724999999999998</v>
      </c>
      <c r="L41">
        <f t="shared" si="9"/>
        <v>-0.3</v>
      </c>
      <c r="M41">
        <f t="shared" si="10"/>
        <v>0</v>
      </c>
      <c r="N41">
        <f t="shared" si="3"/>
        <v>8678.6088332661075</v>
      </c>
      <c r="O41">
        <f t="shared" si="4"/>
        <v>-0.16738075407748759</v>
      </c>
      <c r="P41">
        <f t="shared" si="5"/>
        <v>0.8344322860448643</v>
      </c>
      <c r="Q41">
        <f t="shared" si="11"/>
        <v>0.13600000000000001</v>
      </c>
      <c r="R41" s="5">
        <f>'SR + catch data Murdoch_age var'!C33</f>
        <v>436996</v>
      </c>
      <c r="S41" s="26">
        <f t="shared" si="14"/>
        <v>-0.76057812645171108</v>
      </c>
      <c r="T41" s="26">
        <f t="shared" si="15"/>
        <v>-0.20612865097930702</v>
      </c>
      <c r="U41" s="26">
        <f t="shared" si="12"/>
        <v>-0.33246037842644105</v>
      </c>
      <c r="V41" s="26">
        <f t="shared" si="16"/>
        <v>-0.61366486917607621</v>
      </c>
      <c r="W41" s="26">
        <f t="shared" si="17"/>
        <v>-0.47378455668372033</v>
      </c>
      <c r="X41" s="26">
        <f t="shared" si="18"/>
        <v>1.3233570311341378</v>
      </c>
      <c r="Y41" s="26">
        <f t="shared" si="19"/>
        <v>0.40570802589679061</v>
      </c>
      <c r="Z41" s="26">
        <f t="shared" si="20"/>
        <v>-0.46756876213762488</v>
      </c>
      <c r="AA41" s="26">
        <f t="shared" si="21"/>
        <v>-0.76057812645171086</v>
      </c>
      <c r="AB41">
        <v>1981</v>
      </c>
      <c r="AC41" s="61">
        <f t="shared" si="23"/>
        <v>9027.8645421686742</v>
      </c>
      <c r="AD41" s="61">
        <f t="shared" si="22"/>
        <v>9320.5546989457252</v>
      </c>
    </row>
    <row r="42" spans="1:30" x14ac:dyDescent="0.35">
      <c r="A42">
        <v>1982</v>
      </c>
      <c r="B42">
        <v>9.0724999999999998</v>
      </c>
      <c r="C42">
        <v>0.26200000000000001</v>
      </c>
      <c r="D42">
        <v>0.32500000000000001</v>
      </c>
      <c r="E42" s="215">
        <v>7713.24</v>
      </c>
      <c r="F42" s="65">
        <v>-0.60932430954029104</v>
      </c>
      <c r="G42">
        <v>0.53200000000000003</v>
      </c>
      <c r="H42">
        <f t="shared" si="6"/>
        <v>0.53200000000000003</v>
      </c>
      <c r="I42">
        <v>0</v>
      </c>
      <c r="J42">
        <f t="shared" si="7"/>
        <v>1982</v>
      </c>
      <c r="K42">
        <f t="shared" si="8"/>
        <v>9.9250000000000007</v>
      </c>
      <c r="L42">
        <f t="shared" si="9"/>
        <v>0.32500000000000001</v>
      </c>
      <c r="M42">
        <f t="shared" si="10"/>
        <v>0</v>
      </c>
      <c r="N42">
        <f t="shared" ref="N42:N73" si="24">SUMPRODUCT($C$3:$C$6,E45:E48)</f>
        <v>9007.218387971383</v>
      </c>
      <c r="O42">
        <f t="shared" ref="O42:O73" si="25">SUMPRODUCT($C$3:$C$6,F45:F48)</f>
        <v>-5.7848394910050761E-2</v>
      </c>
      <c r="P42">
        <f t="shared" ref="P42:P73" si="26">SUMPRODUCT($C$3:$C$6,G45:G48)</f>
        <v>1.3273980120574536</v>
      </c>
      <c r="Q42">
        <f t="shared" si="11"/>
        <v>0.53200000000000003</v>
      </c>
      <c r="R42" s="5">
        <f>'SR + catch data Murdoch_age var'!C34</f>
        <v>326439</v>
      </c>
      <c r="S42" s="26">
        <f t="shared" si="14"/>
        <v>-0.76057812645171108</v>
      </c>
      <c r="T42" s="26">
        <f t="shared" si="15"/>
        <v>1.0984639865179271</v>
      </c>
      <c r="U42" s="26">
        <f t="shared" si="12"/>
        <v>0.28528694635241914</v>
      </c>
      <c r="V42" s="26">
        <f t="shared" si="16"/>
        <v>-0.58645118194482659</v>
      </c>
      <c r="W42" s="26">
        <f t="shared" si="17"/>
        <v>-0.30433541110847406</v>
      </c>
      <c r="X42" s="26">
        <f t="shared" si="18"/>
        <v>1.9247806789274147</v>
      </c>
      <c r="Y42" s="26">
        <f t="shared" si="19"/>
        <v>0.81717814482727269</v>
      </c>
      <c r="Z42" s="26">
        <f t="shared" si="20"/>
        <v>-0.60602924320189711</v>
      </c>
      <c r="AA42" s="26">
        <f t="shared" si="21"/>
        <v>-0.76057812645171086</v>
      </c>
      <c r="AB42">
        <v>1982</v>
      </c>
      <c r="AC42" s="61">
        <f t="shared" si="23"/>
        <v>9457.1740815569974</v>
      </c>
      <c r="AD42" s="61">
        <f t="shared" si="22"/>
        <v>9563.3377727450206</v>
      </c>
    </row>
    <row r="43" spans="1:30" x14ac:dyDescent="0.35">
      <c r="A43">
        <v>1983</v>
      </c>
      <c r="B43">
        <v>9.9250000000000007</v>
      </c>
      <c r="C43">
        <v>0.27</v>
      </c>
      <c r="D43">
        <v>0.05</v>
      </c>
      <c r="E43" s="215">
        <v>8160</v>
      </c>
      <c r="F43" s="65">
        <v>0.17852265201508899</v>
      </c>
      <c r="G43">
        <v>1.4239999999999999</v>
      </c>
      <c r="H43">
        <f t="shared" si="6"/>
        <v>1.4239999999999999</v>
      </c>
      <c r="I43">
        <v>0</v>
      </c>
      <c r="J43">
        <f t="shared" si="7"/>
        <v>1983</v>
      </c>
      <c r="K43">
        <f t="shared" si="8"/>
        <v>9.6325000000000003</v>
      </c>
      <c r="L43">
        <f t="shared" si="9"/>
        <v>0.05</v>
      </c>
      <c r="M43">
        <f t="shared" si="10"/>
        <v>0</v>
      </c>
      <c r="N43">
        <f t="shared" si="24"/>
        <v>9421.8735053363962</v>
      </c>
      <c r="O43">
        <f t="shared" si="25"/>
        <v>-0.47841073804615791</v>
      </c>
      <c r="P43">
        <f t="shared" si="26"/>
        <v>0.5194720185183741</v>
      </c>
      <c r="Q43">
        <f t="shared" si="11"/>
        <v>1.4239999999999999</v>
      </c>
      <c r="R43" s="5">
        <f>'SR + catch data Murdoch_age var'!C35</f>
        <v>371770</v>
      </c>
      <c r="S43" s="26">
        <f t="shared" si="14"/>
        <v>-0.76057812645171108</v>
      </c>
      <c r="T43" s="26">
        <f t="shared" ref="T43:T76" si="27">(K43-AVERAGE(K$11:K$76))/STDEV(K$11:K$76)</f>
        <v>0.65084715781652991</v>
      </c>
      <c r="U43" s="26">
        <f t="shared" ref="U43:U76" si="28">(L43-AVERAGE(L$11:L$76))/STDEV(L$11:L$76)</f>
        <v>1.3478123449720623E-2</v>
      </c>
      <c r="V43" s="26">
        <f t="shared" si="16"/>
        <v>-0.55211166104157927</v>
      </c>
      <c r="W43" s="26">
        <f t="shared" si="17"/>
        <v>-0.95495528497240845</v>
      </c>
      <c r="X43" s="26">
        <f t="shared" si="18"/>
        <v>0.93910201499354218</v>
      </c>
      <c r="Y43" s="26">
        <f t="shared" si="19"/>
        <v>1.7440249783777522</v>
      </c>
      <c r="Z43" s="26">
        <f t="shared" si="20"/>
        <v>-0.54925715217984949</v>
      </c>
      <c r="AA43" s="26">
        <f t="shared" si="21"/>
        <v>-0.76057812645171086</v>
      </c>
      <c r="AB43">
        <v>1983</v>
      </c>
      <c r="AC43" s="61">
        <f t="shared" si="23"/>
        <v>9611.5273540315084</v>
      </c>
      <c r="AD43" s="61">
        <f t="shared" si="22"/>
        <v>9749.3985708707551</v>
      </c>
    </row>
    <row r="44" spans="1:30" x14ac:dyDescent="0.35">
      <c r="A44">
        <v>1984</v>
      </c>
      <c r="B44">
        <v>9.6325000000000003</v>
      </c>
      <c r="C44">
        <v>0.21199999999999999</v>
      </c>
      <c r="D44">
        <v>0.17499999999999999</v>
      </c>
      <c r="E44" s="215">
        <v>8364</v>
      </c>
      <c r="F44" s="65">
        <v>-6.0251097660511697E-2</v>
      </c>
      <c r="G44">
        <v>0.40600000000000003</v>
      </c>
      <c r="H44">
        <f t="shared" si="6"/>
        <v>0.40600000000000003</v>
      </c>
      <c r="I44">
        <v>0</v>
      </c>
      <c r="J44">
        <f t="shared" si="7"/>
        <v>1984</v>
      </c>
      <c r="K44">
        <f t="shared" si="8"/>
        <v>9.1974999999999998</v>
      </c>
      <c r="L44">
        <f t="shared" si="9"/>
        <v>0.17499999999999999</v>
      </c>
      <c r="M44">
        <f t="shared" si="10"/>
        <v>0</v>
      </c>
      <c r="N44">
        <f t="shared" si="24"/>
        <v>9601.2414549239184</v>
      </c>
      <c r="O44">
        <f t="shared" si="25"/>
        <v>-0.56694416680135862</v>
      </c>
      <c r="P44">
        <f t="shared" si="26"/>
        <v>-0.66398429773551293</v>
      </c>
      <c r="Q44">
        <f t="shared" si="11"/>
        <v>0.40600000000000003</v>
      </c>
      <c r="R44" s="5">
        <f>'SR + catch data Murdoch_age var'!C36</f>
        <v>541478</v>
      </c>
      <c r="S44" s="26">
        <f t="shared" si="14"/>
        <v>-0.76057812645171108</v>
      </c>
      <c r="T44" s="26">
        <f t="shared" si="27"/>
        <v>-1.4839407944522176E-2</v>
      </c>
      <c r="U44" s="26">
        <f t="shared" si="28"/>
        <v>0.13702758840549265</v>
      </c>
      <c r="V44" s="26">
        <f t="shared" si="16"/>
        <v>-0.53725736599905283</v>
      </c>
      <c r="W44" s="26">
        <f t="shared" si="17"/>
        <v>-1.0919185894373749</v>
      </c>
      <c r="X44" s="26">
        <f t="shared" si="18"/>
        <v>-0.50472780352659885</v>
      </c>
      <c r="Y44" s="26">
        <f t="shared" si="19"/>
        <v>0.6862558342584828</v>
      </c>
      <c r="Z44" s="26">
        <f t="shared" si="20"/>
        <v>-0.33671655031424602</v>
      </c>
      <c r="AA44" s="26">
        <f t="shared" si="21"/>
        <v>-0.76057812645171086</v>
      </c>
      <c r="AB44">
        <v>1984</v>
      </c>
      <c r="AC44" s="61">
        <f t="shared" si="23"/>
        <v>9816.4402965708996</v>
      </c>
      <c r="AD44" s="61">
        <f t="shared" si="22"/>
        <v>9989.3871925029271</v>
      </c>
    </row>
    <row r="45" spans="1:30" x14ac:dyDescent="0.35">
      <c r="A45">
        <v>1985</v>
      </c>
      <c r="B45">
        <v>9.1974999999999998</v>
      </c>
      <c r="C45">
        <v>0.36399999999999999</v>
      </c>
      <c r="D45">
        <v>-1.1000000000000001</v>
      </c>
      <c r="E45" s="215">
        <v>8670</v>
      </c>
      <c r="F45" s="65">
        <v>-0.21856671227142199</v>
      </c>
      <c r="G45">
        <v>0.77400000000000002</v>
      </c>
      <c r="H45">
        <f t="shared" si="6"/>
        <v>0.77400000000000002</v>
      </c>
      <c r="I45">
        <v>0</v>
      </c>
      <c r="J45">
        <f t="shared" si="7"/>
        <v>1985</v>
      </c>
      <c r="K45">
        <f t="shared" si="8"/>
        <v>9.0449999999999999</v>
      </c>
      <c r="L45">
        <f t="shared" si="9"/>
        <v>-1.1000000000000001</v>
      </c>
      <c r="M45">
        <f t="shared" si="10"/>
        <v>501</v>
      </c>
      <c r="N45">
        <f t="shared" si="24"/>
        <v>9798.1621652681606</v>
      </c>
      <c r="O45">
        <f t="shared" si="25"/>
        <v>0.34740131895617543</v>
      </c>
      <c r="P45">
        <f t="shared" si="26"/>
        <v>-0.87916080335012026</v>
      </c>
      <c r="Q45">
        <f t="shared" si="11"/>
        <v>0.77400000000000002</v>
      </c>
      <c r="R45" s="5">
        <f>'SR + catch data Murdoch_age var'!C37</f>
        <v>1383808</v>
      </c>
      <c r="S45" s="26">
        <f t="shared" si="14"/>
        <v>-0.74512451055224649</v>
      </c>
      <c r="T45" s="26">
        <f t="shared" si="27"/>
        <v>-0.24821228444695947</v>
      </c>
      <c r="U45" s="26">
        <f t="shared" si="28"/>
        <v>-1.1231769541433823</v>
      </c>
      <c r="V45" s="26">
        <f t="shared" si="16"/>
        <v>-0.52094944511260732</v>
      </c>
      <c r="W45" s="26">
        <f t="shared" si="17"/>
        <v>0.32259546375996317</v>
      </c>
      <c r="X45" s="26">
        <f t="shared" si="18"/>
        <v>-0.76724552453108652</v>
      </c>
      <c r="Y45" s="26">
        <f t="shared" si="19"/>
        <v>1.0686321063959006</v>
      </c>
      <c r="Z45" s="26">
        <f t="shared" si="20"/>
        <v>0.71820911712308022</v>
      </c>
      <c r="AA45" s="26">
        <f t="shared" si="21"/>
        <v>-0.74512451055224627</v>
      </c>
      <c r="AB45">
        <v>1985</v>
      </c>
      <c r="AC45" s="61">
        <f t="shared" si="23"/>
        <v>10069.906987951807</v>
      </c>
      <c r="AD45" s="61">
        <f t="shared" si="22"/>
        <v>10450.174947286218</v>
      </c>
    </row>
    <row r="46" spans="1:30" x14ac:dyDescent="0.35">
      <c r="A46">
        <v>1986</v>
      </c>
      <c r="B46">
        <v>9.0449999999999999</v>
      </c>
      <c r="C46">
        <v>0.30299999999999999</v>
      </c>
      <c r="D46">
        <v>0.32500000000000001</v>
      </c>
      <c r="E46" s="215">
        <v>8976</v>
      </c>
      <c r="F46" s="65">
        <v>4.3839007243514E-2</v>
      </c>
      <c r="G46">
        <v>1.534</v>
      </c>
      <c r="H46">
        <f t="shared" si="6"/>
        <v>1.534</v>
      </c>
      <c r="I46">
        <v>501</v>
      </c>
      <c r="J46">
        <f t="shared" si="7"/>
        <v>1986</v>
      </c>
      <c r="K46">
        <f t="shared" si="8"/>
        <v>9.7825000000000006</v>
      </c>
      <c r="L46">
        <f t="shared" si="9"/>
        <v>0.32500000000000001</v>
      </c>
      <c r="M46">
        <f t="shared" si="10"/>
        <v>2026</v>
      </c>
      <c r="N46">
        <f t="shared" si="24"/>
        <v>10056.146021205219</v>
      </c>
      <c r="O46">
        <f t="shared" si="25"/>
        <v>0.36271063194471731</v>
      </c>
      <c r="P46">
        <f t="shared" si="26"/>
        <v>-1.2922522723993486</v>
      </c>
      <c r="Q46">
        <f t="shared" si="11"/>
        <v>1.534</v>
      </c>
      <c r="R46" s="5">
        <f>'SR + catch data Murdoch_age var'!C38</f>
        <v>997327</v>
      </c>
      <c r="S46" s="26">
        <f t="shared" si="14"/>
        <v>-0.69808506095806788</v>
      </c>
      <c r="T46" s="26">
        <f t="shared" si="27"/>
        <v>0.88039424945827227</v>
      </c>
      <c r="U46" s="26">
        <f t="shared" si="28"/>
        <v>0.28528694635241914</v>
      </c>
      <c r="V46" s="26">
        <f t="shared" si="16"/>
        <v>-0.49958460082961131</v>
      </c>
      <c r="W46" s="26">
        <f t="shared" si="17"/>
        <v>0.3462793323899348</v>
      </c>
      <c r="X46" s="26">
        <f t="shared" si="18"/>
        <v>-1.2712216938226724</v>
      </c>
      <c r="Y46" s="26">
        <f t="shared" si="19"/>
        <v>1.8583222336362195</v>
      </c>
      <c r="Z46" s="26">
        <f t="shared" si="20"/>
        <v>0.2341841781124249</v>
      </c>
      <c r="AA46" s="26">
        <f t="shared" si="21"/>
        <v>-0.69808506095806766</v>
      </c>
      <c r="AB46">
        <v>1986</v>
      </c>
      <c r="AC46" s="61">
        <f t="shared" si="23"/>
        <v>10622.674179425392</v>
      </c>
      <c r="AD46" s="61">
        <f t="shared" si="22"/>
        <v>10769.448032174931</v>
      </c>
    </row>
    <row r="47" spans="1:30" x14ac:dyDescent="0.35">
      <c r="A47">
        <v>1987</v>
      </c>
      <c r="B47">
        <v>9.7825000000000006</v>
      </c>
      <c r="C47">
        <v>0.48599999999999999</v>
      </c>
      <c r="D47">
        <v>0.9</v>
      </c>
      <c r="E47" s="215">
        <v>9455.4</v>
      </c>
      <c r="F47" s="65">
        <v>-0.50483327248754595</v>
      </c>
      <c r="G47">
        <v>0.61199999999999999</v>
      </c>
      <c r="H47">
        <f t="shared" si="6"/>
        <v>0.61199999999999999</v>
      </c>
      <c r="I47">
        <v>2026</v>
      </c>
      <c r="J47">
        <f t="shared" si="7"/>
        <v>1987</v>
      </c>
      <c r="K47">
        <f t="shared" si="8"/>
        <v>9.6624999999999996</v>
      </c>
      <c r="L47">
        <f t="shared" si="9"/>
        <v>0.9</v>
      </c>
      <c r="M47">
        <f t="shared" si="10"/>
        <v>6666</v>
      </c>
      <c r="N47">
        <f t="shared" si="24"/>
        <v>10586.316723138863</v>
      </c>
      <c r="O47">
        <f t="shared" si="25"/>
        <v>0.19774918346791018</v>
      </c>
      <c r="P47">
        <f t="shared" si="26"/>
        <v>-2.1017958371329006E-2</v>
      </c>
      <c r="Q47">
        <f t="shared" si="11"/>
        <v>0.61199999999999999</v>
      </c>
      <c r="R47" s="5">
        <f>'SR + catch data Murdoch_age var'!C39</f>
        <v>363671</v>
      </c>
      <c r="S47" s="26">
        <f t="shared" si="14"/>
        <v>-0.55496175202889475</v>
      </c>
      <c r="T47" s="26">
        <f t="shared" si="27"/>
        <v>0.69675657614487729</v>
      </c>
      <c r="U47" s="26">
        <f t="shared" si="28"/>
        <v>0.85361448514897043</v>
      </c>
      <c r="V47" s="26">
        <f t="shared" si="16"/>
        <v>-0.45567869652766718</v>
      </c>
      <c r="W47" s="26">
        <f t="shared" si="17"/>
        <v>9.1080077030883985E-2</v>
      </c>
      <c r="X47" s="26">
        <f t="shared" si="18"/>
        <v>0.27969825456171127</v>
      </c>
      <c r="Y47" s="26">
        <f t="shared" si="19"/>
        <v>0.90030342137888497</v>
      </c>
      <c r="Z47" s="26">
        <f t="shared" si="20"/>
        <v>-0.55940025877770883</v>
      </c>
      <c r="AA47" s="26">
        <f t="shared" si="21"/>
        <v>-0.55496175202889453</v>
      </c>
      <c r="AB47">
        <v>1987</v>
      </c>
      <c r="AC47" s="61">
        <f t="shared" si="23"/>
        <v>10832.473848378129</v>
      </c>
      <c r="AD47" s="61">
        <f t="shared" si="22"/>
        <v>10357.408508238968</v>
      </c>
    </row>
    <row r="48" spans="1:30" x14ac:dyDescent="0.35">
      <c r="A48">
        <v>1988</v>
      </c>
      <c r="B48">
        <v>9.6624999999999996</v>
      </c>
      <c r="C48">
        <v>0.27700000000000002</v>
      </c>
      <c r="D48">
        <v>0.92500000000000004</v>
      </c>
      <c r="E48" s="215">
        <v>9588</v>
      </c>
      <c r="F48" s="65">
        <v>-0.762454521593948</v>
      </c>
      <c r="G48">
        <v>-0.82599999999999996</v>
      </c>
      <c r="H48">
        <f t="shared" si="6"/>
        <v>-0.82599999999999996</v>
      </c>
      <c r="I48">
        <v>6666</v>
      </c>
      <c r="J48">
        <f t="shared" si="7"/>
        <v>1988</v>
      </c>
      <c r="K48">
        <f t="shared" si="8"/>
        <v>9.3625000000000007</v>
      </c>
      <c r="L48">
        <f t="shared" si="9"/>
        <v>0.92500000000000004</v>
      </c>
      <c r="M48">
        <f t="shared" si="10"/>
        <v>11969</v>
      </c>
      <c r="N48">
        <f t="shared" si="24"/>
        <v>10809.673855767056</v>
      </c>
      <c r="O48">
        <f t="shared" si="25"/>
        <v>0.51018088435909814</v>
      </c>
      <c r="P48">
        <f t="shared" si="26"/>
        <v>0.34586468196642756</v>
      </c>
      <c r="Q48">
        <f t="shared" si="11"/>
        <v>-0.82599999999999996</v>
      </c>
      <c r="R48" s="5">
        <f>'SR + catch data Murdoch_age var'!C40</f>
        <v>528467</v>
      </c>
      <c r="S48" s="26">
        <f t="shared" si="14"/>
        <v>-0.39138784960402301</v>
      </c>
      <c r="T48" s="26">
        <f t="shared" si="27"/>
        <v>0.23766239286139526</v>
      </c>
      <c r="U48" s="26">
        <f t="shared" si="28"/>
        <v>0.87832437814012487</v>
      </c>
      <c r="V48" s="26">
        <f t="shared" si="16"/>
        <v>-0.43718145242390405</v>
      </c>
      <c r="W48" s="26">
        <f t="shared" si="17"/>
        <v>0.57441929449176166</v>
      </c>
      <c r="X48" s="26">
        <f t="shared" si="18"/>
        <v>0.72729914083169778</v>
      </c>
      <c r="Y48" s="26">
        <f t="shared" si="19"/>
        <v>-0.59387342463634996</v>
      </c>
      <c r="Z48" s="26">
        <f t="shared" si="20"/>
        <v>-0.35301139658474218</v>
      </c>
      <c r="AA48" s="26">
        <f t="shared" si="21"/>
        <v>-0.39138784960402279</v>
      </c>
      <c r="AB48">
        <v>1988</v>
      </c>
      <c r="AC48" s="61">
        <f t="shared" si="23"/>
        <v>10138.134447636699</v>
      </c>
      <c r="AD48" s="61">
        <f t="shared" si="22"/>
        <v>9757.0286700507622</v>
      </c>
    </row>
    <row r="49" spans="1:30" x14ac:dyDescent="0.35">
      <c r="A49">
        <v>1989</v>
      </c>
      <c r="B49">
        <v>9.3625000000000007</v>
      </c>
      <c r="C49">
        <v>0.39900000000000002</v>
      </c>
      <c r="D49">
        <v>0.124999999999999</v>
      </c>
      <c r="E49" s="215">
        <v>9792</v>
      </c>
      <c r="F49" s="65">
        <v>0.49801713135869502</v>
      </c>
      <c r="G49">
        <v>-0.76</v>
      </c>
      <c r="H49">
        <f t="shared" si="6"/>
        <v>-0.76</v>
      </c>
      <c r="I49">
        <v>11969</v>
      </c>
      <c r="J49">
        <f t="shared" si="7"/>
        <v>1989</v>
      </c>
      <c r="K49">
        <f t="shared" si="8"/>
        <v>9.7424999999999997</v>
      </c>
      <c r="L49">
        <f t="shared" si="9"/>
        <v>0.124999999999999</v>
      </c>
      <c r="M49">
        <f t="shared" si="10"/>
        <v>13616</v>
      </c>
      <c r="N49">
        <f t="shared" si="24"/>
        <v>10182.035341702715</v>
      </c>
      <c r="O49">
        <f t="shared" si="25"/>
        <v>0.65881708231656733</v>
      </c>
      <c r="P49">
        <f t="shared" si="26"/>
        <v>0.40987759573138061</v>
      </c>
      <c r="Q49">
        <f t="shared" si="11"/>
        <v>-0.76</v>
      </c>
      <c r="R49" s="5">
        <f>'SR + catch data Murdoch_age var'!C41</f>
        <v>739647</v>
      </c>
      <c r="S49" s="26">
        <f t="shared" si="14"/>
        <v>-0.34058524404231005</v>
      </c>
      <c r="T49" s="26">
        <f t="shared" si="27"/>
        <v>0.81918169168713972</v>
      </c>
      <c r="U49" s="26">
        <f t="shared" si="28"/>
        <v>8.7607802423182862E-2</v>
      </c>
      <c r="V49" s="26">
        <f t="shared" si="16"/>
        <v>-0.48915912005853013</v>
      </c>
      <c r="W49" s="26">
        <f t="shared" si="17"/>
        <v>0.80436300187548815</v>
      </c>
      <c r="X49" s="26">
        <f t="shared" si="18"/>
        <v>0.80539560488772288</v>
      </c>
      <c r="Y49" s="26">
        <f t="shared" si="19"/>
        <v>-0.52529507148126953</v>
      </c>
      <c r="Z49" s="26">
        <f t="shared" si="20"/>
        <v>-8.8531676701306308E-2</v>
      </c>
      <c r="AA49" s="26">
        <f t="shared" si="21"/>
        <v>-0.34058524404230983</v>
      </c>
      <c r="AB49">
        <v>1989</v>
      </c>
      <c r="AC49" s="61">
        <f t="shared" si="23"/>
        <v>9587.0600685820191</v>
      </c>
      <c r="AD49" s="61">
        <f t="shared" si="22"/>
        <v>10075.906425614992</v>
      </c>
    </row>
    <row r="50" spans="1:30" x14ac:dyDescent="0.35">
      <c r="A50">
        <v>1990</v>
      </c>
      <c r="B50">
        <v>9.7424999999999997</v>
      </c>
      <c r="C50">
        <v>0.45400000000000001</v>
      </c>
      <c r="D50">
        <v>-0.82499999999999996</v>
      </c>
      <c r="E50" s="215">
        <v>9996</v>
      </c>
      <c r="F50" s="65">
        <v>0.38679140536114498</v>
      </c>
      <c r="G50">
        <v>-1.62</v>
      </c>
      <c r="H50">
        <f t="shared" si="6"/>
        <v>-1.62</v>
      </c>
      <c r="I50">
        <v>13616</v>
      </c>
      <c r="J50">
        <f t="shared" si="7"/>
        <v>1990</v>
      </c>
      <c r="K50">
        <f t="shared" si="8"/>
        <v>9.4525000000000006</v>
      </c>
      <c r="L50">
        <f t="shared" si="9"/>
        <v>-0.82499999999999996</v>
      </c>
      <c r="M50">
        <f t="shared" si="10"/>
        <v>24475</v>
      </c>
      <c r="N50">
        <f t="shared" si="24"/>
        <v>9636.0988618399115</v>
      </c>
      <c r="O50">
        <f t="shared" si="25"/>
        <v>0.46587900405271926</v>
      </c>
      <c r="P50">
        <f t="shared" si="26"/>
        <v>-0.52908898287662653</v>
      </c>
      <c r="Q50">
        <f t="shared" si="11"/>
        <v>-1.62</v>
      </c>
      <c r="R50" s="5">
        <f>'SR + catch data Murdoch_age var'!C42</f>
        <v>861972</v>
      </c>
      <c r="S50" s="26">
        <f t="shared" si="14"/>
        <v>-5.6335173910405413E-3</v>
      </c>
      <c r="T50" s="26">
        <f t="shared" si="27"/>
        <v>0.37539064784644011</v>
      </c>
      <c r="U50" s="26">
        <f t="shared" si="28"/>
        <v>-0.85136813124068367</v>
      </c>
      <c r="V50" s="26">
        <f t="shared" si="16"/>
        <v>-0.53437066183625082</v>
      </c>
      <c r="W50" s="26">
        <f t="shared" si="17"/>
        <v>0.50588323973722782</v>
      </c>
      <c r="X50" s="26">
        <f t="shared" si="18"/>
        <v>-0.34015402475930545</v>
      </c>
      <c r="Y50" s="26">
        <f t="shared" si="19"/>
        <v>-1.4188917944111041</v>
      </c>
      <c r="Z50" s="26">
        <f t="shared" si="20"/>
        <v>6.4666929865325448E-2</v>
      </c>
      <c r="AA50" s="26">
        <f t="shared" si="21"/>
        <v>-5.6335173910402559E-3</v>
      </c>
      <c r="AB50">
        <v>1990</v>
      </c>
      <c r="AC50" s="61">
        <f t="shared" si="23"/>
        <v>10313.855491195551</v>
      </c>
      <c r="AD50" s="61">
        <f t="shared" si="22"/>
        <v>11001.639148770013</v>
      </c>
    </row>
    <row r="51" spans="1:30" x14ac:dyDescent="0.35">
      <c r="A51">
        <v>1991</v>
      </c>
      <c r="B51">
        <v>9.4525000000000006</v>
      </c>
      <c r="C51">
        <v>0.435</v>
      </c>
      <c r="D51">
        <v>-0.25</v>
      </c>
      <c r="E51" s="215">
        <v>10608</v>
      </c>
      <c r="F51" s="65">
        <v>0.11191296904968701</v>
      </c>
      <c r="G51">
        <v>0.14399999999999999</v>
      </c>
      <c r="H51">
        <f t="shared" si="6"/>
        <v>0.14399999999999999</v>
      </c>
      <c r="I51">
        <v>24475</v>
      </c>
      <c r="J51">
        <f t="shared" si="7"/>
        <v>1991</v>
      </c>
      <c r="K51">
        <f t="shared" si="8"/>
        <v>10.2075</v>
      </c>
      <c r="L51">
        <f t="shared" si="9"/>
        <v>-0.25</v>
      </c>
      <c r="M51">
        <f t="shared" si="10"/>
        <v>19891</v>
      </c>
      <c r="N51">
        <f t="shared" si="24"/>
        <v>10257.442197127417</v>
      </c>
      <c r="O51">
        <f t="shared" si="25"/>
        <v>0.16451298829094249</v>
      </c>
      <c r="P51">
        <f t="shared" si="26"/>
        <v>0.45352403852339218</v>
      </c>
      <c r="Q51">
        <f t="shared" si="11"/>
        <v>0.14399999999999999</v>
      </c>
      <c r="R51" s="5">
        <f>'SR + catch data Murdoch_age var'!C43</f>
        <v>1106348</v>
      </c>
      <c r="S51" s="26">
        <f t="shared" si="14"/>
        <v>-0.14702947604003394</v>
      </c>
      <c r="T51" s="26">
        <f t="shared" si="27"/>
        <v>1.5307776757765392</v>
      </c>
      <c r="U51" s="26">
        <f t="shared" si="28"/>
        <v>-0.28304059244413227</v>
      </c>
      <c r="V51" s="26">
        <f t="shared" si="16"/>
        <v>-0.48291432726648731</v>
      </c>
      <c r="W51" s="26">
        <f t="shared" si="17"/>
        <v>3.9662898420678334E-2</v>
      </c>
      <c r="X51" s="26">
        <f t="shared" si="18"/>
        <v>0.8586447486963571</v>
      </c>
      <c r="Y51" s="26">
        <f t="shared" si="19"/>
        <v>0.41402055355195183</v>
      </c>
      <c r="Z51" s="26">
        <f t="shared" si="20"/>
        <v>0.37072098813899967</v>
      </c>
      <c r="AA51" s="26">
        <f t="shared" si="21"/>
        <v>-0.14702947604003369</v>
      </c>
      <c r="AB51">
        <v>1991</v>
      </c>
      <c r="AC51" s="61">
        <f t="shared" si="23"/>
        <v>11325.391807228918</v>
      </c>
      <c r="AD51" s="61">
        <f t="shared" si="22"/>
        <v>12034.658852010934</v>
      </c>
    </row>
    <row r="52" spans="1:30" x14ac:dyDescent="0.35">
      <c r="A52">
        <v>1992</v>
      </c>
      <c r="B52">
        <v>10.2075</v>
      </c>
      <c r="C52">
        <v>0.42399999999999999</v>
      </c>
      <c r="D52">
        <v>-2.125</v>
      </c>
      <c r="E52" s="215">
        <v>10946.64</v>
      </c>
      <c r="F52" s="65">
        <v>0.53251475012705896</v>
      </c>
      <c r="G52">
        <v>0.32400000000000001</v>
      </c>
      <c r="H52">
        <f t="shared" si="6"/>
        <v>0.32400000000000001</v>
      </c>
      <c r="I52">
        <v>19891</v>
      </c>
      <c r="J52">
        <f t="shared" si="7"/>
        <v>1992</v>
      </c>
      <c r="K52">
        <f t="shared" si="8"/>
        <v>10.065</v>
      </c>
      <c r="L52">
        <f t="shared" si="9"/>
        <v>-2.125</v>
      </c>
      <c r="M52">
        <f t="shared" si="10"/>
        <v>25606</v>
      </c>
      <c r="N52">
        <f t="shared" si="24"/>
        <v>11248.113826445804</v>
      </c>
      <c r="O52">
        <f t="shared" si="25"/>
        <v>0.33258296367250673</v>
      </c>
      <c r="P52">
        <f t="shared" si="26"/>
        <v>0.46085271147133722</v>
      </c>
      <c r="Q52">
        <f t="shared" si="11"/>
        <v>0.32400000000000001</v>
      </c>
      <c r="R52" s="5">
        <f>'SR + catch data Murdoch_age var'!C44</f>
        <v>1035859</v>
      </c>
      <c r="S52" s="26">
        <f t="shared" si="14"/>
        <v>2.9252789160445398E-2</v>
      </c>
      <c r="T52" s="26">
        <f t="shared" si="27"/>
        <v>1.3127079387168843</v>
      </c>
      <c r="U52" s="26">
        <f t="shared" si="28"/>
        <v>-2.1362825667807126</v>
      </c>
      <c r="V52" s="26">
        <f t="shared" si="16"/>
        <v>-0.40087219707546795</v>
      </c>
      <c r="W52" s="26">
        <f t="shared" si="17"/>
        <v>0.29967111829042281</v>
      </c>
      <c r="X52" s="26">
        <f t="shared" si="18"/>
        <v>0.8675858108945117</v>
      </c>
      <c r="Y52" s="26">
        <f t="shared" si="19"/>
        <v>0.60105242579308005</v>
      </c>
      <c r="Z52" s="26">
        <f t="shared" si="20"/>
        <v>0.28244126953466447</v>
      </c>
      <c r="AA52" s="26">
        <f t="shared" si="21"/>
        <v>2.9252789160445686E-2</v>
      </c>
      <c r="AB52">
        <v>1992</v>
      </c>
      <c r="AC52" s="61">
        <f t="shared" si="23"/>
        <v>12364.905645597777</v>
      </c>
      <c r="AD52" s="61">
        <f t="shared" si="22"/>
        <v>13145.417711206561</v>
      </c>
    </row>
    <row r="53" spans="1:30" x14ac:dyDescent="0.35">
      <c r="A53">
        <v>1993</v>
      </c>
      <c r="B53">
        <v>10.065</v>
      </c>
      <c r="C53">
        <v>0.40200000000000002</v>
      </c>
      <c r="D53">
        <v>-1.95</v>
      </c>
      <c r="E53" s="215">
        <v>10200</v>
      </c>
      <c r="F53" s="65">
        <v>0.70621289599997294</v>
      </c>
      <c r="G53">
        <v>0.65</v>
      </c>
      <c r="H53">
        <f t="shared" si="6"/>
        <v>0.65</v>
      </c>
      <c r="I53">
        <v>25606</v>
      </c>
      <c r="J53">
        <f t="shared" si="7"/>
        <v>1993</v>
      </c>
      <c r="K53">
        <f t="shared" si="8"/>
        <v>9.7874999999999996</v>
      </c>
      <c r="L53">
        <f t="shared" si="9"/>
        <v>-1.95</v>
      </c>
      <c r="M53">
        <f t="shared" si="10"/>
        <v>23732</v>
      </c>
      <c r="N53">
        <f t="shared" si="24"/>
        <v>12290.989375912321</v>
      </c>
      <c r="O53">
        <f t="shared" si="25"/>
        <v>0.92112989555893943</v>
      </c>
      <c r="P53">
        <f t="shared" si="26"/>
        <v>0.85652764360777522</v>
      </c>
      <c r="Q53">
        <f t="shared" si="11"/>
        <v>0.65</v>
      </c>
      <c r="R53" s="5">
        <f>'SR + catch data Murdoch_age var'!C45</f>
        <v>985479</v>
      </c>
      <c r="S53" s="26">
        <f t="shared" si="14"/>
        <v>-2.8551754144138731E-2</v>
      </c>
      <c r="T53" s="26">
        <f t="shared" si="27"/>
        <v>0.88804581917966219</v>
      </c>
      <c r="U53" s="26">
        <f t="shared" si="28"/>
        <v>-1.9633133158426319</v>
      </c>
      <c r="V53" s="26">
        <f t="shared" si="16"/>
        <v>-0.31450681719552676</v>
      </c>
      <c r="W53" s="26">
        <f t="shared" si="17"/>
        <v>1.2101671168896873</v>
      </c>
      <c r="X53" s="26">
        <f t="shared" si="18"/>
        <v>1.3503136121773469</v>
      </c>
      <c r="Y53" s="26">
        <f t="shared" si="19"/>
        <v>0.93978792774090103</v>
      </c>
      <c r="Z53" s="26">
        <f t="shared" si="20"/>
        <v>0.21934586141018536</v>
      </c>
      <c r="AA53" s="26">
        <f t="shared" si="21"/>
        <v>-2.855175414413845E-2</v>
      </c>
      <c r="AB53">
        <v>1993</v>
      </c>
      <c r="AC53" s="61">
        <f t="shared" si="23"/>
        <v>13510.574504541242</v>
      </c>
      <c r="AD53" s="61">
        <f t="shared" si="22"/>
        <v>14110.873065833659</v>
      </c>
    </row>
    <row r="54" spans="1:30" x14ac:dyDescent="0.35">
      <c r="A54">
        <v>1994</v>
      </c>
      <c r="B54">
        <v>9.7874999999999996</v>
      </c>
      <c r="C54">
        <v>0.44400000000000001</v>
      </c>
      <c r="D54">
        <v>-1.3</v>
      </c>
      <c r="E54" s="215">
        <v>9455.4</v>
      </c>
      <c r="F54" s="65">
        <v>0.49481421997770603</v>
      </c>
      <c r="G54">
        <v>-0.90600000000000003</v>
      </c>
      <c r="H54">
        <f t="shared" si="6"/>
        <v>-0.90600000000000003</v>
      </c>
      <c r="I54">
        <v>23732</v>
      </c>
      <c r="J54">
        <f t="shared" si="7"/>
        <v>1994</v>
      </c>
      <c r="K54">
        <f t="shared" si="8"/>
        <v>9.8625000000000007</v>
      </c>
      <c r="L54">
        <f t="shared" si="9"/>
        <v>-1.3</v>
      </c>
      <c r="M54">
        <f t="shared" si="10"/>
        <v>27360</v>
      </c>
      <c r="N54">
        <f t="shared" si="24"/>
        <v>13421.072062807774</v>
      </c>
      <c r="O54">
        <f t="shared" si="25"/>
        <v>9.8303790644929501E-2</v>
      </c>
      <c r="P54">
        <f t="shared" si="26"/>
        <v>-0.85301287951653371</v>
      </c>
      <c r="Q54">
        <f t="shared" si="11"/>
        <v>-0.90600000000000003</v>
      </c>
      <c r="R54" s="5">
        <f>'SR + catch data Murdoch_age var'!C46</f>
        <v>1666079</v>
      </c>
      <c r="S54" s="26">
        <f t="shared" si="14"/>
        <v>8.3355867578930223E-2</v>
      </c>
      <c r="T54" s="26">
        <f t="shared" si="27"/>
        <v>1.0028193650005346</v>
      </c>
      <c r="U54" s="26">
        <f t="shared" si="28"/>
        <v>-1.3208560980726174</v>
      </c>
      <c r="V54" s="26">
        <f t="shared" si="16"/>
        <v>-0.22091940822865835</v>
      </c>
      <c r="W54" s="26">
        <f t="shared" si="17"/>
        <v>-6.2764293466875412E-2</v>
      </c>
      <c r="X54" s="26">
        <f t="shared" si="18"/>
        <v>-0.73534476773523816</v>
      </c>
      <c r="Y54" s="26">
        <f t="shared" si="19"/>
        <v>-0.67699870118796246</v>
      </c>
      <c r="Z54" s="26">
        <f t="shared" si="20"/>
        <v>1.0717224943899488</v>
      </c>
      <c r="AA54" s="26">
        <f t="shared" si="21"/>
        <v>8.3355867578930529E-2</v>
      </c>
      <c r="AB54">
        <v>1994</v>
      </c>
      <c r="AC54" s="61">
        <f t="shared" si="23"/>
        <v>14390.466189063947</v>
      </c>
      <c r="AD54" s="61">
        <f t="shared" si="22"/>
        <v>15081.887676688795</v>
      </c>
    </row>
    <row r="55" spans="1:30" x14ac:dyDescent="0.35">
      <c r="A55">
        <v>1995</v>
      </c>
      <c r="B55">
        <v>9.8625000000000007</v>
      </c>
      <c r="C55">
        <v>0.501</v>
      </c>
      <c r="D55">
        <v>-0.65</v>
      </c>
      <c r="E55" s="215">
        <v>10200</v>
      </c>
      <c r="F55" s="65">
        <v>0.106101258347431</v>
      </c>
      <c r="G55">
        <v>0.67200000000000004</v>
      </c>
      <c r="H55">
        <f t="shared" si="6"/>
        <v>0.67200000000000004</v>
      </c>
      <c r="I55">
        <v>27360</v>
      </c>
      <c r="J55">
        <f t="shared" si="7"/>
        <v>1995</v>
      </c>
      <c r="K55">
        <f t="shared" si="8"/>
        <v>10.1175</v>
      </c>
      <c r="L55">
        <f t="shared" si="9"/>
        <v>-0.65</v>
      </c>
      <c r="M55">
        <f t="shared" si="10"/>
        <v>27830</v>
      </c>
      <c r="N55">
        <f t="shared" si="24"/>
        <v>14326.704977199512</v>
      </c>
      <c r="O55">
        <f t="shared" si="25"/>
        <v>-0.62725913373028919</v>
      </c>
      <c r="P55">
        <f t="shared" si="26"/>
        <v>-1.3879152752583315</v>
      </c>
      <c r="Q55">
        <f t="shared" si="11"/>
        <v>0.67200000000000004</v>
      </c>
      <c r="R55" s="5">
        <f>'SR + catch data Murdoch_age var'!C47</f>
        <v>1628542</v>
      </c>
      <c r="S55" s="26">
        <f t="shared" si="14"/>
        <v>9.7853271716152504E-2</v>
      </c>
      <c r="T55" s="26">
        <f t="shared" si="27"/>
        <v>1.3930494207914943</v>
      </c>
      <c r="U55" s="26">
        <f t="shared" si="28"/>
        <v>-0.67839888030260287</v>
      </c>
      <c r="V55" s="26">
        <f t="shared" si="16"/>
        <v>-0.14591972996097652</v>
      </c>
      <c r="W55" s="26">
        <f t="shared" si="17"/>
        <v>-1.1852272672490451</v>
      </c>
      <c r="X55" s="26">
        <f t="shared" si="18"/>
        <v>-1.3879316172562517</v>
      </c>
      <c r="Y55" s="26">
        <f t="shared" si="19"/>
        <v>0.96264737879259443</v>
      </c>
      <c r="Z55" s="26">
        <f t="shared" si="20"/>
        <v>1.0247115310162178</v>
      </c>
      <c r="AA55" s="26">
        <f t="shared" si="21"/>
        <v>9.7853271716152809E-2</v>
      </c>
      <c r="AB55">
        <v>1995</v>
      </c>
      <c r="AC55" s="61">
        <f t="shared" si="23"/>
        <v>15408.709879518072</v>
      </c>
      <c r="AD55" s="61">
        <f t="shared" si="22"/>
        <v>16149.944638812965</v>
      </c>
    </row>
    <row r="56" spans="1:30" x14ac:dyDescent="0.35">
      <c r="A56">
        <v>1996</v>
      </c>
      <c r="B56">
        <v>10.1175</v>
      </c>
      <c r="C56">
        <v>0.38200000000000001</v>
      </c>
      <c r="D56">
        <v>-1.175</v>
      </c>
      <c r="E56" s="215">
        <v>11220</v>
      </c>
      <c r="F56" s="65">
        <v>0.220860721186424</v>
      </c>
      <c r="G56">
        <v>0.29399999999999998</v>
      </c>
      <c r="H56">
        <f t="shared" si="6"/>
        <v>0.29399999999999998</v>
      </c>
      <c r="I56">
        <v>27830</v>
      </c>
      <c r="J56">
        <f t="shared" si="7"/>
        <v>1996</v>
      </c>
      <c r="K56">
        <f t="shared" si="8"/>
        <v>10.1425</v>
      </c>
      <c r="L56">
        <f t="shared" si="9"/>
        <v>-1.175</v>
      </c>
      <c r="M56">
        <f t="shared" si="10"/>
        <v>36677</v>
      </c>
      <c r="N56">
        <f t="shared" si="24"/>
        <v>15328.689225766946</v>
      </c>
      <c r="O56">
        <f t="shared" si="25"/>
        <v>5.5086515695471218E-2</v>
      </c>
      <c r="P56">
        <f t="shared" si="26"/>
        <v>-0.4708746988644355</v>
      </c>
      <c r="Q56">
        <f t="shared" si="11"/>
        <v>0.29399999999999998</v>
      </c>
      <c r="R56" s="5">
        <f>'SR + catch data Murdoch_age var'!C48</f>
        <v>1186180</v>
      </c>
      <c r="S56" s="26">
        <f t="shared" si="14"/>
        <v>0.37074377044382367</v>
      </c>
      <c r="T56" s="26">
        <f t="shared" si="27"/>
        <v>1.4313072693984519</v>
      </c>
      <c r="U56" s="26">
        <f t="shared" si="28"/>
        <v>-1.1973066331168454</v>
      </c>
      <c r="V56" s="26">
        <f t="shared" si="16"/>
        <v>-6.2940749098387677E-2</v>
      </c>
      <c r="W56" s="26">
        <f t="shared" si="17"/>
        <v>-0.12962243812786722</v>
      </c>
      <c r="X56" s="26">
        <f t="shared" si="18"/>
        <v>-0.26913195325044026</v>
      </c>
      <c r="Y56" s="26">
        <f t="shared" si="19"/>
        <v>0.56988044708622532</v>
      </c>
      <c r="Z56" s="26">
        <f t="shared" si="20"/>
        <v>0.47070178649932953</v>
      </c>
      <c r="AA56" s="26">
        <f t="shared" si="21"/>
        <v>0.37074377044382401</v>
      </c>
      <c r="AB56">
        <v>1996</v>
      </c>
      <c r="AC56" s="61">
        <f t="shared" si="23"/>
        <v>16492.942871733085</v>
      </c>
      <c r="AD56" s="61">
        <f t="shared" si="22"/>
        <v>17469.082767044125</v>
      </c>
    </row>
    <row r="57" spans="1:30" x14ac:dyDescent="0.35">
      <c r="A57">
        <v>1997</v>
      </c>
      <c r="B57">
        <v>10.1425</v>
      </c>
      <c r="C57">
        <v>0.40200000000000002</v>
      </c>
      <c r="D57">
        <v>0.9</v>
      </c>
      <c r="E57" s="215">
        <v>12240</v>
      </c>
      <c r="F57" s="65">
        <v>1.16291307161251</v>
      </c>
      <c r="G57">
        <v>1.266</v>
      </c>
      <c r="H57">
        <f t="shared" si="6"/>
        <v>1.266</v>
      </c>
      <c r="I57">
        <v>36677</v>
      </c>
      <c r="J57">
        <f t="shared" si="7"/>
        <v>1997</v>
      </c>
      <c r="K57">
        <f t="shared" si="8"/>
        <v>10.092499999999999</v>
      </c>
      <c r="L57">
        <f t="shared" si="9"/>
        <v>0.9</v>
      </c>
      <c r="M57">
        <f t="shared" si="10"/>
        <v>42260</v>
      </c>
      <c r="N57">
        <f t="shared" si="24"/>
        <v>16423.433753674977</v>
      </c>
      <c r="O57">
        <f t="shared" si="25"/>
        <v>-0.2594474596018031</v>
      </c>
      <c r="P57">
        <f t="shared" si="26"/>
        <v>-0.70025144103201031</v>
      </c>
      <c r="Q57">
        <f t="shared" si="11"/>
        <v>1.266</v>
      </c>
      <c r="R57" s="5">
        <f>'SR + catch data Murdoch_age var'!C49</f>
        <v>1045815</v>
      </c>
      <c r="S57" s="26">
        <f t="shared" si="14"/>
        <v>0.54295442426959384</v>
      </c>
      <c r="T57" s="26">
        <f t="shared" si="27"/>
        <v>1.3547915721845367</v>
      </c>
      <c r="U57" s="26">
        <f t="shared" si="28"/>
        <v>0.85361448514897043</v>
      </c>
      <c r="V57" s="26">
        <f t="shared" si="16"/>
        <v>2.7720142388261978E-2</v>
      </c>
      <c r="W57" s="26">
        <f t="shared" si="17"/>
        <v>-0.61621392372743711</v>
      </c>
      <c r="X57" s="26">
        <f t="shared" si="18"/>
        <v>-0.54897412018810221</v>
      </c>
      <c r="Y57" s="26">
        <f t="shared" si="19"/>
        <v>1.5798525571883175</v>
      </c>
      <c r="Z57" s="26">
        <f t="shared" si="20"/>
        <v>0.29491006435974015</v>
      </c>
      <c r="AA57" s="26">
        <f t="shared" si="21"/>
        <v>0.54295442426959428</v>
      </c>
      <c r="AB57">
        <v>1997</v>
      </c>
      <c r="AC57" s="61">
        <f t="shared" si="23"/>
        <v>17932.539099536611</v>
      </c>
      <c r="AD57" s="61">
        <f t="shared" si="22"/>
        <v>18403.926518391254</v>
      </c>
    </row>
    <row r="58" spans="1:30" x14ac:dyDescent="0.35">
      <c r="A58">
        <v>1998</v>
      </c>
      <c r="B58">
        <v>10.092499999999999</v>
      </c>
      <c r="C58">
        <v>0.38300000000000001</v>
      </c>
      <c r="D58">
        <v>1.55</v>
      </c>
      <c r="E58" s="215">
        <v>13435.44</v>
      </c>
      <c r="F58" s="65">
        <v>0.119022225371251</v>
      </c>
      <c r="G58">
        <v>-1.016</v>
      </c>
      <c r="H58">
        <f t="shared" si="6"/>
        <v>-1.016</v>
      </c>
      <c r="I58">
        <v>42260</v>
      </c>
      <c r="J58">
        <f t="shared" si="7"/>
        <v>1998</v>
      </c>
      <c r="K58">
        <f t="shared" si="8"/>
        <v>8.7100000000000009</v>
      </c>
      <c r="L58">
        <f t="shared" si="9"/>
        <v>1.55</v>
      </c>
      <c r="M58">
        <f t="shared" si="10"/>
        <v>49800</v>
      </c>
      <c r="N58">
        <f t="shared" si="24"/>
        <v>17804.597915824386</v>
      </c>
      <c r="O58">
        <f t="shared" si="25"/>
        <v>0.34720953699530605</v>
      </c>
      <c r="P58">
        <f t="shared" si="26"/>
        <v>0.79687406401995453</v>
      </c>
      <c r="Q58">
        <f t="shared" si="11"/>
        <v>-1.016</v>
      </c>
      <c r="R58" s="5">
        <f>'SR + catch data Murdoch_age var'!C50</f>
        <v>3561043</v>
      </c>
      <c r="S58" s="26">
        <f t="shared" si="14"/>
        <v>0.77552980127950011</v>
      </c>
      <c r="T58" s="26">
        <f t="shared" si="27"/>
        <v>-0.76086745578018145</v>
      </c>
      <c r="U58" s="26">
        <f t="shared" si="28"/>
        <v>1.4960717029189849</v>
      </c>
      <c r="V58" s="26">
        <f t="shared" si="16"/>
        <v>0.14210077735627383</v>
      </c>
      <c r="W58" s="26">
        <f t="shared" si="17"/>
        <v>0.32229877253872885</v>
      </c>
      <c r="X58" s="26">
        <f t="shared" si="18"/>
        <v>1.2775355841188252</v>
      </c>
      <c r="Y58" s="26">
        <f t="shared" si="19"/>
        <v>-0.79129595644642958</v>
      </c>
      <c r="Z58" s="26">
        <f t="shared" si="20"/>
        <v>3.4449564555093506</v>
      </c>
      <c r="AA58" s="26">
        <f t="shared" si="21"/>
        <v>0.77552980127950055</v>
      </c>
      <c r="AB58">
        <v>1998</v>
      </c>
      <c r="AC58" s="61">
        <f t="shared" si="23"/>
        <v>18624.655637627431</v>
      </c>
      <c r="AD58" s="61">
        <f t="shared" si="22"/>
        <v>19969.444896524798</v>
      </c>
    </row>
    <row r="59" spans="1:30" x14ac:dyDescent="0.35">
      <c r="A59">
        <v>1999</v>
      </c>
      <c r="B59">
        <v>8.7100000000000009</v>
      </c>
      <c r="C59">
        <v>0.46600000000000003</v>
      </c>
      <c r="D59">
        <v>1.675</v>
      </c>
      <c r="E59" s="215">
        <v>14280</v>
      </c>
      <c r="F59" s="65">
        <v>-0.89040446504950499</v>
      </c>
      <c r="G59">
        <v>-1.6479999999999999</v>
      </c>
      <c r="H59">
        <f t="shared" si="6"/>
        <v>-1.6479999999999999</v>
      </c>
      <c r="I59">
        <v>49800</v>
      </c>
      <c r="J59">
        <f t="shared" si="7"/>
        <v>1999</v>
      </c>
      <c r="K59">
        <f t="shared" si="8"/>
        <v>9.0549999999999997</v>
      </c>
      <c r="L59">
        <f t="shared" si="9"/>
        <v>1.675</v>
      </c>
      <c r="M59">
        <f t="shared" si="10"/>
        <v>49100</v>
      </c>
      <c r="N59">
        <f t="shared" si="24"/>
        <v>18586.858259217268</v>
      </c>
      <c r="O59">
        <f t="shared" si="25"/>
        <v>0.3282451594903717</v>
      </c>
      <c r="P59">
        <f t="shared" si="26"/>
        <v>-0.16336311557350502</v>
      </c>
      <c r="Q59">
        <f t="shared" si="11"/>
        <v>-1.6479999999999999</v>
      </c>
      <c r="R59" s="5">
        <f>'SR + catch data Murdoch_age var'!C51</f>
        <v>2987256</v>
      </c>
      <c r="S59" s="26">
        <f t="shared" si="14"/>
        <v>0.75393792277725413</v>
      </c>
      <c r="T59" s="26">
        <f t="shared" si="27"/>
        <v>-0.23290914500417703</v>
      </c>
      <c r="U59" s="26">
        <f t="shared" si="28"/>
        <v>1.619621167874757</v>
      </c>
      <c r="V59" s="26">
        <f t="shared" si="16"/>
        <v>0.20688339859684265</v>
      </c>
      <c r="W59" s="26">
        <f t="shared" si="17"/>
        <v>0.29296043280968836</v>
      </c>
      <c r="X59" s="26">
        <f t="shared" si="18"/>
        <v>0.1060355855913865</v>
      </c>
      <c r="Y59" s="26">
        <f t="shared" si="19"/>
        <v>-1.4479856412041683</v>
      </c>
      <c r="Z59" s="26">
        <f t="shared" si="20"/>
        <v>2.7263513554394714</v>
      </c>
      <c r="AA59" s="26">
        <f t="shared" si="21"/>
        <v>0.75393792277725458</v>
      </c>
      <c r="AB59">
        <v>1999</v>
      </c>
      <c r="AC59" s="61">
        <f t="shared" si="23"/>
        <v>20603.546246524562</v>
      </c>
      <c r="AD59" s="61">
        <f t="shared" si="22"/>
        <v>21959.665365091765</v>
      </c>
    </row>
    <row r="60" spans="1:30" x14ac:dyDescent="0.35">
      <c r="A60">
        <v>2000</v>
      </c>
      <c r="B60">
        <v>9.0549999999999997</v>
      </c>
      <c r="C60">
        <v>0.36099999999999999</v>
      </c>
      <c r="D60">
        <v>2.625</v>
      </c>
      <c r="E60" s="215">
        <v>15300</v>
      </c>
      <c r="F60" s="65">
        <v>0.27850027022456397</v>
      </c>
      <c r="G60">
        <v>-0.19600000000000001</v>
      </c>
      <c r="H60">
        <f t="shared" si="6"/>
        <v>-0.19600000000000001</v>
      </c>
      <c r="I60">
        <v>49100</v>
      </c>
      <c r="J60">
        <f t="shared" si="7"/>
        <v>2000</v>
      </c>
      <c r="K60">
        <f t="shared" si="8"/>
        <v>9.0024999999999995</v>
      </c>
      <c r="L60">
        <f t="shared" si="9"/>
        <v>2.625</v>
      </c>
      <c r="M60">
        <f t="shared" si="10"/>
        <v>68100</v>
      </c>
      <c r="N60">
        <f t="shared" si="24"/>
        <v>20455.218491005297</v>
      </c>
      <c r="O60">
        <f t="shared" si="25"/>
        <v>0.88447016774484177</v>
      </c>
      <c r="P60">
        <f t="shared" si="26"/>
        <v>-0.28663999679882707</v>
      </c>
      <c r="Q60">
        <f t="shared" si="11"/>
        <v>-0.19600000000000001</v>
      </c>
      <c r="R60" s="5">
        <f>'SR + catch data Murdoch_age var'!C52</f>
        <v>699976</v>
      </c>
      <c r="S60" s="26">
        <f t="shared" si="14"/>
        <v>1.3400031964096437</v>
      </c>
      <c r="T60" s="26">
        <f t="shared" si="27"/>
        <v>-0.31325062707878698</v>
      </c>
      <c r="U60" s="26">
        <f t="shared" si="28"/>
        <v>2.5585971015386249</v>
      </c>
      <c r="V60" s="26">
        <f t="shared" si="16"/>
        <v>0.36161100847655714</v>
      </c>
      <c r="W60" s="26">
        <f t="shared" si="17"/>
        <v>1.1534536524638548</v>
      </c>
      <c r="X60" s="26">
        <f t="shared" si="18"/>
        <v>-4.4363575410768567E-2</v>
      </c>
      <c r="Y60" s="26">
        <f t="shared" si="19"/>
        <v>6.0738128207598663E-2</v>
      </c>
      <c r="Z60" s="26">
        <f t="shared" si="20"/>
        <v>-0.13821524033183849</v>
      </c>
      <c r="AA60" s="26">
        <f t="shared" si="21"/>
        <v>1.3400031964096442</v>
      </c>
      <c r="AB60">
        <v>2000</v>
      </c>
      <c r="AC60" s="61">
        <f t="shared" si="23"/>
        <v>22578.238737720112</v>
      </c>
      <c r="AD60" s="61">
        <f t="shared" si="22"/>
        <v>23542.201777430691</v>
      </c>
    </row>
    <row r="61" spans="1:30" x14ac:dyDescent="0.35">
      <c r="A61">
        <v>2001</v>
      </c>
      <c r="B61">
        <v>9.0024999999999995</v>
      </c>
      <c r="C61">
        <v>0.59399999999999997</v>
      </c>
      <c r="D61">
        <v>2</v>
      </c>
      <c r="E61" s="215">
        <v>16320</v>
      </c>
      <c r="F61" s="65">
        <v>-0.46604114193469198</v>
      </c>
      <c r="G61">
        <v>-1.1140000000000001</v>
      </c>
      <c r="H61">
        <f t="shared" si="6"/>
        <v>-1.1140000000000001</v>
      </c>
      <c r="I61">
        <v>68100</v>
      </c>
      <c r="J61">
        <f t="shared" si="7"/>
        <v>2001</v>
      </c>
      <c r="K61">
        <f t="shared" si="8"/>
        <v>9.0775000000000006</v>
      </c>
      <c r="L61">
        <f t="shared" si="9"/>
        <v>2</v>
      </c>
      <c r="M61">
        <f t="shared" si="10"/>
        <v>84300</v>
      </c>
      <c r="N61">
        <f t="shared" si="24"/>
        <v>22445.573232970575</v>
      </c>
      <c r="O61">
        <f t="shared" si="25"/>
        <v>0.921462637148178</v>
      </c>
      <c r="P61">
        <f t="shared" si="26"/>
        <v>-0.40346959237159508</v>
      </c>
      <c r="Q61">
        <f t="shared" si="11"/>
        <v>-1.1140000000000001</v>
      </c>
      <c r="R61" s="5">
        <f>'SR + catch data Murdoch_age var'!C53</f>
        <v>3151893</v>
      </c>
      <c r="S61" s="26">
        <f t="shared" si="14"/>
        <v>1.8397009560330497</v>
      </c>
      <c r="T61" s="26">
        <f t="shared" si="27"/>
        <v>-0.19847708125791444</v>
      </c>
      <c r="U61" s="26">
        <f t="shared" si="28"/>
        <v>1.9408497767597643</v>
      </c>
      <c r="V61" s="26">
        <f t="shared" si="16"/>
        <v>0.52644155175049623</v>
      </c>
      <c r="W61" s="26">
        <f t="shared" si="17"/>
        <v>1.2106818759839166</v>
      </c>
      <c r="X61" s="26">
        <f t="shared" si="18"/>
        <v>-0.18689697648091311</v>
      </c>
      <c r="Y61" s="26">
        <f t="shared" si="19"/>
        <v>-0.89312442022215499</v>
      </c>
      <c r="Z61" s="26">
        <f t="shared" si="20"/>
        <v>2.9325410876226767</v>
      </c>
      <c r="AA61" s="26">
        <f t="shared" si="21"/>
        <v>1.8397009560330502</v>
      </c>
      <c r="AB61">
        <v>2001</v>
      </c>
      <c r="AC61" s="61">
        <f t="shared" si="23"/>
        <v>23982.426795180723</v>
      </c>
      <c r="AD61" s="61">
        <f t="shared" si="22"/>
        <v>23605.420323311209</v>
      </c>
    </row>
    <row r="62" spans="1:30" x14ac:dyDescent="0.35">
      <c r="A62">
        <v>2002</v>
      </c>
      <c r="B62">
        <v>9.0775000000000006</v>
      </c>
      <c r="C62">
        <v>0.34799999999999998</v>
      </c>
      <c r="D62">
        <v>1.7749999999999999</v>
      </c>
      <c r="E62" s="215">
        <v>17913.240000000002</v>
      </c>
      <c r="F62" s="65">
        <v>0.48710302334899702</v>
      </c>
      <c r="G62">
        <v>1.268</v>
      </c>
      <c r="H62">
        <f t="shared" si="6"/>
        <v>1.268</v>
      </c>
      <c r="I62">
        <v>84300</v>
      </c>
      <c r="J62">
        <f t="shared" si="7"/>
        <v>2002</v>
      </c>
      <c r="K62">
        <f t="shared" si="8"/>
        <v>9.6</v>
      </c>
      <c r="L62">
        <f t="shared" si="9"/>
        <v>1.7749999999999999</v>
      </c>
      <c r="M62">
        <f t="shared" si="10"/>
        <v>65547</v>
      </c>
      <c r="N62">
        <f t="shared" si="24"/>
        <v>23860.77265102433</v>
      </c>
      <c r="O62">
        <f t="shared" si="25"/>
        <v>-0.1080444279410232</v>
      </c>
      <c r="P62">
        <f t="shared" si="26"/>
        <v>-0.7805024860190628</v>
      </c>
      <c r="Q62">
        <f t="shared" si="11"/>
        <v>1.268</v>
      </c>
      <c r="R62" s="5">
        <f>'SR + catch data Murdoch_age var'!C54</f>
        <v>2302250</v>
      </c>
      <c r="S62" s="26">
        <f t="shared" si="14"/>
        <v>1.2612545309578811</v>
      </c>
      <c r="T62" s="26">
        <f t="shared" si="27"/>
        <v>0.6011119546274849</v>
      </c>
      <c r="U62" s="26">
        <f t="shared" si="28"/>
        <v>1.7184607398393745</v>
      </c>
      <c r="V62" s="26">
        <f t="shared" si="16"/>
        <v>0.64364080472810037</v>
      </c>
      <c r="W62" s="26">
        <f t="shared" si="17"/>
        <v>-0.38198985928266987</v>
      </c>
      <c r="X62" s="26">
        <f t="shared" si="18"/>
        <v>-0.64688128425350599</v>
      </c>
      <c r="Y62" s="26">
        <f t="shared" si="19"/>
        <v>1.5819306891021079</v>
      </c>
      <c r="Z62" s="26">
        <f t="shared" si="20"/>
        <v>1.8684566921263128</v>
      </c>
      <c r="AA62" s="26">
        <f t="shared" si="21"/>
        <v>1.2612545309578815</v>
      </c>
      <c r="AB62">
        <v>2002</v>
      </c>
      <c r="AC62" s="61">
        <f t="shared" si="23"/>
        <v>23435.287545875814</v>
      </c>
      <c r="AD62" s="61">
        <f t="shared" si="22"/>
        <v>23313.623189379148</v>
      </c>
    </row>
    <row r="63" spans="1:30" x14ac:dyDescent="0.35">
      <c r="A63" s="56">
        <v>2003</v>
      </c>
      <c r="B63">
        <v>9.6</v>
      </c>
      <c r="C63">
        <v>0.55000000000000004</v>
      </c>
      <c r="D63">
        <v>0.4</v>
      </c>
      <c r="E63" s="215">
        <v>18360</v>
      </c>
      <c r="F63" s="65">
        <v>0.19757398546983701</v>
      </c>
      <c r="G63">
        <v>-0.34799999999999998</v>
      </c>
      <c r="H63">
        <f t="shared" si="6"/>
        <v>-0.34799999999999998</v>
      </c>
      <c r="I63">
        <v>65547</v>
      </c>
      <c r="J63">
        <f t="shared" si="7"/>
        <v>2003</v>
      </c>
      <c r="K63">
        <f t="shared" si="8"/>
        <v>9.5950000000000006</v>
      </c>
      <c r="L63">
        <f t="shared" si="9"/>
        <v>0.4</v>
      </c>
      <c r="M63">
        <f t="shared" si="10"/>
        <v>55761</v>
      </c>
      <c r="N63">
        <f t="shared" si="24"/>
        <v>23459.957907503191</v>
      </c>
      <c r="O63">
        <f t="shared" si="25"/>
        <v>-0.44354487993877656</v>
      </c>
      <c r="P63">
        <f t="shared" si="26"/>
        <v>-1.3006363802206955</v>
      </c>
      <c r="Q63">
        <f t="shared" si="11"/>
        <v>-0.34799999999999998</v>
      </c>
      <c r="R63" s="5">
        <f>'SR + catch data Murdoch_age var'!C55</f>
        <v>1494491</v>
      </c>
      <c r="S63" s="26">
        <f t="shared" si="14"/>
        <v>0.95940006949648293</v>
      </c>
      <c r="T63" s="26">
        <f t="shared" si="27"/>
        <v>0.59346038490609498</v>
      </c>
      <c r="U63" s="26">
        <f t="shared" si="28"/>
        <v>0.35941662532588237</v>
      </c>
      <c r="V63" s="26">
        <f t="shared" si="16"/>
        <v>0.61044746962364571</v>
      </c>
      <c r="W63" s="26">
        <f t="shared" si="17"/>
        <v>-0.90101697933423375</v>
      </c>
      <c r="X63" s="26">
        <f t="shared" si="18"/>
        <v>-1.2814503982605907</v>
      </c>
      <c r="Y63" s="26">
        <f t="shared" si="19"/>
        <v>-9.7199897240465086E-2</v>
      </c>
      <c r="Z63" s="26">
        <f t="shared" si="20"/>
        <v>0.85682739932716356</v>
      </c>
      <c r="AA63" s="26">
        <f t="shared" si="21"/>
        <v>0.95940006949648338</v>
      </c>
      <c r="AB63">
        <v>2003</v>
      </c>
      <c r="AC63" s="61">
        <f t="shared" si="23"/>
        <v>23274.817912882296</v>
      </c>
      <c r="AD63" s="61">
        <f t="shared" si="22"/>
        <v>25024.818575556426</v>
      </c>
    </row>
    <row r="64" spans="1:30" x14ac:dyDescent="0.35">
      <c r="A64" s="56">
        <v>2004</v>
      </c>
      <c r="B64">
        <v>9.5950000000000006</v>
      </c>
      <c r="C64">
        <v>0.33200000000000002</v>
      </c>
      <c r="D64">
        <v>-1.4750000000000001</v>
      </c>
      <c r="E64" s="215">
        <v>20400</v>
      </c>
      <c r="F64" s="65">
        <v>0.94270993061363695</v>
      </c>
      <c r="G64">
        <v>-0.26400000000000001</v>
      </c>
      <c r="H64">
        <f t="shared" si="6"/>
        <v>-0.26400000000000001</v>
      </c>
      <c r="I64">
        <v>55761</v>
      </c>
      <c r="J64">
        <f t="shared" si="7"/>
        <v>2004</v>
      </c>
      <c r="K64">
        <f t="shared" si="8"/>
        <v>9.9275000000000002</v>
      </c>
      <c r="L64">
        <f t="shared" si="9"/>
        <v>-1.4750000000000001</v>
      </c>
      <c r="M64">
        <f t="shared" si="10"/>
        <v>63541</v>
      </c>
      <c r="N64">
        <f t="shared" si="24"/>
        <v>23303.042708338424</v>
      </c>
      <c r="O64">
        <f t="shared" si="25"/>
        <v>-0.70930259353198244</v>
      </c>
      <c r="P64">
        <f t="shared" si="26"/>
        <v>-1.4760196278136111</v>
      </c>
      <c r="Q64">
        <f t="shared" si="11"/>
        <v>-0.26400000000000001</v>
      </c>
      <c r="R64" s="5">
        <f>'SR + catch data Murdoch_age var'!C56</f>
        <v>2716634</v>
      </c>
      <c r="S64" s="26">
        <f t="shared" si="14"/>
        <v>1.1993783762785877</v>
      </c>
      <c r="T64" s="26">
        <f t="shared" si="27"/>
        <v>1.1022897713786219</v>
      </c>
      <c r="U64" s="26">
        <f t="shared" si="28"/>
        <v>-1.4938253490106983</v>
      </c>
      <c r="V64" s="26">
        <f t="shared" si="16"/>
        <v>0.59745259138363493</v>
      </c>
      <c r="W64" s="26">
        <f t="shared" si="17"/>
        <v>-1.3121504365216285</v>
      </c>
      <c r="X64" s="26">
        <f t="shared" si="18"/>
        <v>-1.4954199035695033</v>
      </c>
      <c r="Y64" s="26">
        <f t="shared" si="19"/>
        <v>-9.9183568612719823E-3</v>
      </c>
      <c r="Z64" s="26">
        <f t="shared" si="20"/>
        <v>2.3874270692651409</v>
      </c>
      <c r="AA64" s="26">
        <f t="shared" si="21"/>
        <v>1.1993783762785881</v>
      </c>
      <c r="AB64">
        <v>2004</v>
      </c>
      <c r="AC64" s="61">
        <f t="shared" si="23"/>
        <v>25854.233436700648</v>
      </c>
      <c r="AD64" s="61">
        <f t="shared" si="22"/>
        <v>27986.788347051934</v>
      </c>
    </row>
    <row r="65" spans="1:30" x14ac:dyDescent="0.35">
      <c r="A65" s="56">
        <v>2005</v>
      </c>
      <c r="B65">
        <v>9.9275000000000002</v>
      </c>
      <c r="C65">
        <v>0.65800000000000003</v>
      </c>
      <c r="D65">
        <v>-0.97499999999999998</v>
      </c>
      <c r="E65" s="215">
        <v>22440</v>
      </c>
      <c r="F65" s="65">
        <v>1.12092895762374</v>
      </c>
      <c r="G65">
        <v>-0.36199999999999999</v>
      </c>
      <c r="H65">
        <f t="shared" si="6"/>
        <v>-0.36199999999999999</v>
      </c>
      <c r="I65">
        <v>63541</v>
      </c>
      <c r="J65">
        <f t="shared" si="7"/>
        <v>2005</v>
      </c>
      <c r="K65">
        <f t="shared" si="8"/>
        <v>9.4574999999999996</v>
      </c>
      <c r="L65">
        <f t="shared" si="9"/>
        <v>-0.97499999999999998</v>
      </c>
      <c r="M65">
        <f t="shared" si="10"/>
        <v>70455</v>
      </c>
      <c r="N65">
        <f t="shared" si="24"/>
        <v>25669.847717573492</v>
      </c>
      <c r="O65">
        <f t="shared" si="25"/>
        <v>-5.5059936148443712E-2</v>
      </c>
      <c r="P65">
        <f t="shared" si="26"/>
        <v>-0.60046355351472191</v>
      </c>
      <c r="Q65">
        <f t="shared" si="11"/>
        <v>-0.36199999999999999</v>
      </c>
      <c r="R65" s="5">
        <f>'SR + catch data Murdoch_age var'!C57</f>
        <v>1331383</v>
      </c>
      <c r="S65" s="26">
        <f t="shared" si="14"/>
        <v>1.4126444447993427</v>
      </c>
      <c r="T65" s="26">
        <f t="shared" si="27"/>
        <v>0.38304221756783002</v>
      </c>
      <c r="U65" s="26">
        <f t="shared" si="28"/>
        <v>-0.99962748918761002</v>
      </c>
      <c r="V65" s="26">
        <f t="shared" si="16"/>
        <v>0.79345873404265144</v>
      </c>
      <c r="W65" s="26">
        <f t="shared" si="17"/>
        <v>-0.3000215995717041</v>
      </c>
      <c r="X65" s="26">
        <f t="shared" si="18"/>
        <v>-0.42723179176768761</v>
      </c>
      <c r="Y65" s="26">
        <f t="shared" si="19"/>
        <v>-0.11174682063699728</v>
      </c>
      <c r="Z65" s="26">
        <f t="shared" si="20"/>
        <v>0.65255257145166656</v>
      </c>
      <c r="AA65" s="26">
        <f t="shared" si="21"/>
        <v>1.4126444447993431</v>
      </c>
      <c r="AB65">
        <v>2005</v>
      </c>
      <c r="AC65" s="61">
        <f t="shared" si="23"/>
        <v>28982.583958109361</v>
      </c>
      <c r="AD65" s="61">
        <f t="shared" si="22"/>
        <v>30241.833097696213</v>
      </c>
    </row>
    <row r="66" spans="1:30" x14ac:dyDescent="0.35">
      <c r="A66" s="56">
        <v>2006</v>
      </c>
      <c r="B66">
        <v>9.4574999999999996</v>
      </c>
      <c r="C66">
        <v>0.41</v>
      </c>
      <c r="D66">
        <v>-0.27500000000000002</v>
      </c>
      <c r="E66" s="215">
        <v>24133.200000000001</v>
      </c>
      <c r="F66" s="65">
        <v>-0.23019539299420999</v>
      </c>
      <c r="G66">
        <v>-0.746</v>
      </c>
      <c r="H66">
        <f t="shared" si="6"/>
        <v>-0.746</v>
      </c>
      <c r="I66">
        <v>70455</v>
      </c>
      <c r="J66">
        <f t="shared" si="7"/>
        <v>2006</v>
      </c>
      <c r="K66">
        <f t="shared" si="8"/>
        <v>9.0350000000000001</v>
      </c>
      <c r="L66">
        <f t="shared" si="9"/>
        <v>-0.27500000000000002</v>
      </c>
      <c r="M66">
        <f t="shared" si="10"/>
        <v>71503</v>
      </c>
      <c r="N66">
        <f t="shared" si="24"/>
        <v>28733.856237714499</v>
      </c>
      <c r="O66">
        <f t="shared" si="25"/>
        <v>-9.5931390451042639E-2</v>
      </c>
      <c r="P66">
        <f t="shared" si="26"/>
        <v>-1.5367418495196945</v>
      </c>
      <c r="Q66">
        <f t="shared" si="11"/>
        <v>-0.746</v>
      </c>
      <c r="R66" s="5">
        <f>'SR + catch data Murdoch_age var'!C58</f>
        <v>1970621</v>
      </c>
      <c r="S66" s="26">
        <f t="shared" si="14"/>
        <v>1.4449705714712766</v>
      </c>
      <c r="T66" s="26">
        <f t="shared" si="27"/>
        <v>-0.26351542388974197</v>
      </c>
      <c r="U66" s="26">
        <f t="shared" si="28"/>
        <v>-0.30775048543528666</v>
      </c>
      <c r="V66" s="26">
        <f t="shared" si="16"/>
        <v>1.0472035456193762</v>
      </c>
      <c r="W66" s="26">
        <f t="shared" si="17"/>
        <v>-0.36325070430965856</v>
      </c>
      <c r="X66" s="26">
        <f t="shared" si="18"/>
        <v>-1.5695016868528551</v>
      </c>
      <c r="Y66" s="26">
        <f t="shared" si="19"/>
        <v>-0.51074814808473734</v>
      </c>
      <c r="Z66" s="26">
        <f t="shared" si="20"/>
        <v>1.453127849313433</v>
      </c>
      <c r="AA66" s="26">
        <f t="shared" si="21"/>
        <v>1.4449705714712771</v>
      </c>
      <c r="AB66">
        <v>2006</v>
      </c>
      <c r="AC66" s="61">
        <f t="shared" si="23"/>
        <v>30828.704711955514</v>
      </c>
      <c r="AD66" s="61">
        <f t="shared" si="22"/>
        <v>32305.174178680205</v>
      </c>
    </row>
    <row r="67" spans="1:30" x14ac:dyDescent="0.35">
      <c r="A67" s="56">
        <v>2007</v>
      </c>
      <c r="B67">
        <v>9.0350000000000001</v>
      </c>
      <c r="C67">
        <v>0.65500000000000003</v>
      </c>
      <c r="D67">
        <v>0.97499999999999998</v>
      </c>
      <c r="E67" s="215">
        <v>23460</v>
      </c>
      <c r="F67" s="65">
        <v>-0.39727143143924498</v>
      </c>
      <c r="G67">
        <v>-1.31</v>
      </c>
      <c r="H67">
        <f t="shared" si="6"/>
        <v>-1.31</v>
      </c>
      <c r="I67">
        <v>71503</v>
      </c>
      <c r="J67">
        <f t="shared" si="7"/>
        <v>2007</v>
      </c>
      <c r="K67">
        <f t="shared" si="8"/>
        <v>8.39</v>
      </c>
      <c r="L67">
        <f t="shared" si="9"/>
        <v>0.97499999999999998</v>
      </c>
      <c r="M67">
        <f t="shared" si="10"/>
        <v>74337</v>
      </c>
      <c r="N67">
        <f t="shared" si="24"/>
        <v>30689.587160551859</v>
      </c>
      <c r="O67">
        <f t="shared" si="25"/>
        <v>-0.36122496020160061</v>
      </c>
      <c r="P67">
        <f t="shared" si="26"/>
        <v>-1.8838101290035207</v>
      </c>
      <c r="Q67">
        <f t="shared" si="11"/>
        <v>-1.31</v>
      </c>
      <c r="R67" s="5">
        <f>'SR + catch data Murdoch_age var'!C59</f>
        <v>1057248</v>
      </c>
      <c r="S67" s="26">
        <f t="shared" si="14"/>
        <v>1.5323868338646551</v>
      </c>
      <c r="T67" s="26">
        <f t="shared" si="27"/>
        <v>-1.2505679179492311</v>
      </c>
      <c r="U67" s="26">
        <f t="shared" si="28"/>
        <v>0.92774416412243355</v>
      </c>
      <c r="V67" s="26">
        <f t="shared" si="16"/>
        <v>1.2091667292228285</v>
      </c>
      <c r="W67" s="26">
        <f t="shared" si="17"/>
        <v>-0.77366612001453161</v>
      </c>
      <c r="X67" s="26">
        <f t="shared" si="18"/>
        <v>-1.992928833338022</v>
      </c>
      <c r="Y67" s="26">
        <f t="shared" si="19"/>
        <v>-1.0967813477736057</v>
      </c>
      <c r="Z67" s="26">
        <f t="shared" si="20"/>
        <v>0.30922863921260185</v>
      </c>
      <c r="AA67" s="26">
        <f t="shared" si="21"/>
        <v>1.5323868338646556</v>
      </c>
      <c r="AB67">
        <v>2007</v>
      </c>
      <c r="AC67" s="61">
        <f t="shared" si="23"/>
        <v>32995.84694586655</v>
      </c>
      <c r="AD67" s="61">
        <f t="shared" si="22"/>
        <v>35046.763666798128</v>
      </c>
    </row>
    <row r="68" spans="1:30" x14ac:dyDescent="0.35">
      <c r="A68" s="56">
        <v>2008</v>
      </c>
      <c r="B68">
        <v>8.39</v>
      </c>
      <c r="C68">
        <v>0.438</v>
      </c>
      <c r="D68">
        <v>0.5</v>
      </c>
      <c r="E68" s="215">
        <v>22888.799999999999</v>
      </c>
      <c r="F68" s="65">
        <v>-0.88948830813169399</v>
      </c>
      <c r="G68">
        <v>-1.71</v>
      </c>
      <c r="H68">
        <f t="shared" si="6"/>
        <v>-1.71</v>
      </c>
      <c r="I68">
        <v>74337</v>
      </c>
      <c r="J68">
        <f t="shared" si="7"/>
        <v>2008</v>
      </c>
      <c r="K68">
        <f t="shared" si="8"/>
        <v>9.0150000000000006</v>
      </c>
      <c r="L68">
        <f t="shared" si="9"/>
        <v>0.5</v>
      </c>
      <c r="M68">
        <f t="shared" si="10"/>
        <v>70024</v>
      </c>
      <c r="N68">
        <f t="shared" si="24"/>
        <v>32848.412279498516</v>
      </c>
      <c r="O68">
        <f t="shared" si="25"/>
        <v>-0.50187711275011038</v>
      </c>
      <c r="P68">
        <f t="shared" si="26"/>
        <v>-1.198114356461768</v>
      </c>
      <c r="Q68">
        <f t="shared" si="11"/>
        <v>-1.71</v>
      </c>
      <c r="R68" s="5">
        <f>'SR + catch data Murdoch_age var'!C60</f>
        <v>982016</v>
      </c>
      <c r="S68" s="26">
        <f t="shared" si="14"/>
        <v>1.3993500167501027</v>
      </c>
      <c r="T68" s="26">
        <f t="shared" si="27"/>
        <v>-0.29412170277530686</v>
      </c>
      <c r="U68" s="26">
        <f t="shared" si="28"/>
        <v>0.45825619729049993</v>
      </c>
      <c r="V68" s="26">
        <f t="shared" si="16"/>
        <v>1.3879490888126806</v>
      </c>
      <c r="W68" s="26">
        <f t="shared" si="17"/>
        <v>-0.99125832065572517</v>
      </c>
      <c r="X68" s="26">
        <f t="shared" si="18"/>
        <v>-1.1563723933311598</v>
      </c>
      <c r="Y68" s="26">
        <f t="shared" si="19"/>
        <v>-1.5124077305316681</v>
      </c>
      <c r="Z68" s="26">
        <f t="shared" si="20"/>
        <v>0.21500883484537647</v>
      </c>
      <c r="AA68" s="26">
        <f t="shared" si="21"/>
        <v>1.3993500167501032</v>
      </c>
      <c r="AB68">
        <v>2008</v>
      </c>
      <c r="AC68" s="61">
        <f t="shared" si="23"/>
        <v>36007.708083624653</v>
      </c>
      <c r="AD68" s="61">
        <f t="shared" si="22"/>
        <v>37512.95379165261</v>
      </c>
    </row>
    <row r="69" spans="1:30" x14ac:dyDescent="0.35">
      <c r="A69" s="56">
        <v>2009</v>
      </c>
      <c r="B69">
        <v>9.0150000000000006</v>
      </c>
      <c r="C69">
        <v>0.57799999999999996</v>
      </c>
      <c r="D69">
        <v>1.675</v>
      </c>
      <c r="E69" s="215">
        <v>25500</v>
      </c>
      <c r="F69" s="65">
        <v>6.7296707956120305E-2</v>
      </c>
      <c r="G69">
        <v>-0.26200000000000001</v>
      </c>
      <c r="H69">
        <f t="shared" si="6"/>
        <v>-0.26200000000000001</v>
      </c>
      <c r="I69">
        <v>70024</v>
      </c>
      <c r="J69">
        <f t="shared" si="7"/>
        <v>2009</v>
      </c>
      <c r="K69">
        <f t="shared" si="8"/>
        <v>9.2675000000000001</v>
      </c>
      <c r="L69">
        <f t="shared" si="9"/>
        <v>1.675</v>
      </c>
      <c r="M69">
        <f t="shared" si="10"/>
        <v>72315</v>
      </c>
      <c r="N69">
        <f t="shared" si="24"/>
        <v>35772.164748738054</v>
      </c>
      <c r="O69">
        <f t="shared" si="25"/>
        <v>0.87374694590147739</v>
      </c>
      <c r="P69">
        <f t="shared" si="26"/>
        <v>-0.35572593713203587</v>
      </c>
      <c r="Q69">
        <f t="shared" si="11"/>
        <v>-0.26200000000000001</v>
      </c>
      <c r="R69" s="5">
        <f>'SR + catch data Murdoch_age var'!C61</f>
        <v>474550</v>
      </c>
      <c r="S69" s="26">
        <f t="shared" si="14"/>
        <v>1.4700171505338819</v>
      </c>
      <c r="T69" s="26">
        <f t="shared" si="27"/>
        <v>9.2282568154957778E-2</v>
      </c>
      <c r="U69" s="26">
        <f t="shared" si="28"/>
        <v>1.619621167874757</v>
      </c>
      <c r="V69" s="26">
        <f t="shared" si="16"/>
        <v>1.6300786437820736</v>
      </c>
      <c r="W69" s="26">
        <f t="shared" si="17"/>
        <v>1.1368645751082371</v>
      </c>
      <c r="X69" s="26">
        <f t="shared" si="18"/>
        <v>-0.12864918808917616</v>
      </c>
      <c r="Y69" s="26">
        <f t="shared" si="19"/>
        <v>-7.8402249474816676E-3</v>
      </c>
      <c r="Z69" s="26">
        <f t="shared" si="20"/>
        <v>-0.42053650813391924</v>
      </c>
      <c r="AA69" s="26">
        <f t="shared" si="21"/>
        <v>1.4700171505338824</v>
      </c>
      <c r="AB69">
        <v>2009</v>
      </c>
      <c r="AC69" s="61">
        <f t="shared" si="23"/>
        <v>38212.002350394541</v>
      </c>
      <c r="AD69" s="61">
        <f t="shared" si="22"/>
        <v>39773.066346951106</v>
      </c>
    </row>
    <row r="70" spans="1:30" x14ac:dyDescent="0.35">
      <c r="A70" s="56">
        <v>2010</v>
      </c>
      <c r="B70">
        <v>9.2675000000000001</v>
      </c>
      <c r="C70">
        <v>0.35899999999999999</v>
      </c>
      <c r="D70">
        <v>0.57499999999999996</v>
      </c>
      <c r="E70" s="215">
        <v>28859.88</v>
      </c>
      <c r="F70" s="65">
        <v>-7.6875263918191106E-2</v>
      </c>
      <c r="G70">
        <v>-1.63</v>
      </c>
      <c r="H70">
        <f t="shared" si="6"/>
        <v>-1.63</v>
      </c>
      <c r="I70">
        <v>72315</v>
      </c>
      <c r="J70">
        <f t="shared" si="7"/>
        <v>2010</v>
      </c>
      <c r="K70">
        <f t="shared" si="8"/>
        <v>8.7424999999999997</v>
      </c>
      <c r="L70">
        <f t="shared" si="9"/>
        <v>0.57499999999999996</v>
      </c>
      <c r="M70">
        <f t="shared" si="10"/>
        <v>84291</v>
      </c>
      <c r="N70">
        <f t="shared" si="24"/>
        <v>38050.189922459431</v>
      </c>
      <c r="O70">
        <f t="shared" si="25"/>
        <v>1.7406637198094825</v>
      </c>
      <c r="P70">
        <f t="shared" si="26"/>
        <v>1.1965182115504953</v>
      </c>
      <c r="Q70">
        <f t="shared" si="11"/>
        <v>-1.63</v>
      </c>
      <c r="R70" s="5">
        <f>'SR + catch data Murdoch_age var'!C62</f>
        <v>608718</v>
      </c>
      <c r="S70" s="26">
        <f t="shared" si="14"/>
        <v>1.8394233461665923</v>
      </c>
      <c r="T70" s="26">
        <f t="shared" si="27"/>
        <v>-0.71113225259113921</v>
      </c>
      <c r="U70" s="26">
        <f t="shared" si="28"/>
        <v>0.53238587626396305</v>
      </c>
      <c r="V70" s="26">
        <f t="shared" si="16"/>
        <v>1.818732514903282</v>
      </c>
      <c r="W70" s="26">
        <f t="shared" si="17"/>
        <v>2.4780052913326007</v>
      </c>
      <c r="X70" s="26">
        <f t="shared" si="18"/>
        <v>1.7651058721613537</v>
      </c>
      <c r="Y70" s="26">
        <f t="shared" si="19"/>
        <v>-1.4292824539800555</v>
      </c>
      <c r="Z70" s="26">
        <f t="shared" si="20"/>
        <v>-0.25250584681504046</v>
      </c>
      <c r="AA70" s="26">
        <f t="shared" si="21"/>
        <v>1.8394233461665928</v>
      </c>
      <c r="AB70">
        <v>2010</v>
      </c>
      <c r="AC70" s="61">
        <f t="shared" si="23"/>
        <v>40504.722488427476</v>
      </c>
      <c r="AD70" s="61">
        <f t="shared" si="22"/>
        <v>42159.450328200051</v>
      </c>
    </row>
    <row r="71" spans="1:30" x14ac:dyDescent="0.35">
      <c r="A71" s="56">
        <v>2011</v>
      </c>
      <c r="B71">
        <v>8.7424999999999997</v>
      </c>
      <c r="C71">
        <v>0.55300000000000005</v>
      </c>
      <c r="D71">
        <v>0.6</v>
      </c>
      <c r="E71" s="215">
        <v>30600</v>
      </c>
      <c r="F71" s="65">
        <v>-0.33116826238110603</v>
      </c>
      <c r="G71">
        <v>-2.0419999999999998</v>
      </c>
      <c r="H71">
        <f t="shared" si="6"/>
        <v>-2.0419999999999998</v>
      </c>
      <c r="I71">
        <v>84291</v>
      </c>
      <c r="J71">
        <f t="shared" si="7"/>
        <v>2011</v>
      </c>
      <c r="K71">
        <f t="shared" si="8"/>
        <v>8.64</v>
      </c>
      <c r="L71">
        <f t="shared" si="9"/>
        <v>0.6</v>
      </c>
      <c r="M71">
        <f t="shared" si="10"/>
        <v>80713</v>
      </c>
      <c r="N71">
        <f t="shared" si="24"/>
        <v>40333.201315186161</v>
      </c>
      <c r="O71">
        <f t="shared" si="25"/>
        <v>1.745622039545734</v>
      </c>
      <c r="P71">
        <f t="shared" si="26"/>
        <v>0.82132750939582522</v>
      </c>
      <c r="Q71">
        <f t="shared" si="11"/>
        <v>-2.0419999999999998</v>
      </c>
      <c r="R71" s="5">
        <f>'SR + catch data Murdoch_age var'!C63</f>
        <v>1079068</v>
      </c>
      <c r="S71" s="26">
        <f t="shared" si="14"/>
        <v>1.7290580014793981</v>
      </c>
      <c r="T71" s="26">
        <f t="shared" si="27"/>
        <v>-0.86798943187966149</v>
      </c>
      <c r="U71" s="26">
        <f t="shared" si="28"/>
        <v>0.5570957692551175</v>
      </c>
      <c r="V71" s="26">
        <f t="shared" si="16"/>
        <v>2.00779931803616</v>
      </c>
      <c r="W71" s="26">
        <f t="shared" si="17"/>
        <v>2.4856759290252697</v>
      </c>
      <c r="X71" s="26">
        <f t="shared" si="18"/>
        <v>1.3073690584214468</v>
      </c>
      <c r="Y71" s="26">
        <f t="shared" si="19"/>
        <v>-1.8573776282208598</v>
      </c>
      <c r="Z71" s="26">
        <f t="shared" si="20"/>
        <v>0.33655578897989308</v>
      </c>
      <c r="AA71" s="26">
        <f t="shared" si="21"/>
        <v>1.7290580014793986</v>
      </c>
      <c r="AB71">
        <v>2011</v>
      </c>
      <c r="AC71" s="61">
        <f t="shared" si="23"/>
        <v>42933.672906148568</v>
      </c>
      <c r="AD71" s="61">
        <f t="shared" si="22"/>
        <v>44681.716659257399</v>
      </c>
    </row>
    <row r="72" spans="1:30" x14ac:dyDescent="0.35">
      <c r="A72" s="56">
        <v>2012</v>
      </c>
      <c r="B72">
        <v>8.64</v>
      </c>
      <c r="C72">
        <v>0.432</v>
      </c>
      <c r="D72">
        <v>1</v>
      </c>
      <c r="E72" s="215">
        <v>32640</v>
      </c>
      <c r="F72" s="65">
        <v>-0.78025074818481999</v>
      </c>
      <c r="G72">
        <v>-1.194</v>
      </c>
      <c r="H72">
        <f t="shared" si="6"/>
        <v>-1.194</v>
      </c>
      <c r="I72">
        <v>80713</v>
      </c>
      <c r="J72">
        <f t="shared" si="7"/>
        <v>2012</v>
      </c>
      <c r="K72">
        <f t="shared" si="8"/>
        <v>9.8699999999999992</v>
      </c>
      <c r="L72">
        <f t="shared" si="9"/>
        <v>1</v>
      </c>
      <c r="M72">
        <f t="shared" si="10"/>
        <v>75808</v>
      </c>
      <c r="N72">
        <f t="shared" si="24"/>
        <v>42753.193395602255</v>
      </c>
      <c r="O72">
        <f t="shared" si="25"/>
        <v>1.418800921953421</v>
      </c>
      <c r="P72">
        <f t="shared" si="26"/>
        <v>0.30334238620263654</v>
      </c>
      <c r="Q72">
        <f t="shared" si="11"/>
        <v>-1.194</v>
      </c>
      <c r="R72" s="5">
        <f>'SR + catch data Murdoch_age var'!C64</f>
        <v>1381072</v>
      </c>
      <c r="S72" s="26">
        <f t="shared" si="14"/>
        <v>1.577760624260089</v>
      </c>
      <c r="T72" s="26">
        <f t="shared" si="27"/>
        <v>1.0142967195826196</v>
      </c>
      <c r="U72" s="26">
        <f t="shared" si="28"/>
        <v>0.95245405711358799</v>
      </c>
      <c r="V72" s="26">
        <f t="shared" si="16"/>
        <v>2.2082101296986836</v>
      </c>
      <c r="W72" s="26">
        <f t="shared" si="17"/>
        <v>1.9800759442088329</v>
      </c>
      <c r="X72" s="26">
        <f t="shared" si="18"/>
        <v>0.67542146885303633</v>
      </c>
      <c r="Y72" s="26">
        <f t="shared" si="19"/>
        <v>-0.97624969677376738</v>
      </c>
      <c r="Z72" s="26">
        <f t="shared" si="20"/>
        <v>0.71478257808718149</v>
      </c>
      <c r="AA72" s="26">
        <f t="shared" si="21"/>
        <v>1.5777606242600895</v>
      </c>
      <c r="AB72">
        <v>2012</v>
      </c>
      <c r="AC72" s="61">
        <f t="shared" si="23"/>
        <v>45484.367537721882</v>
      </c>
      <c r="AD72" s="61">
        <f t="shared" si="22"/>
        <v>47100.169300757487</v>
      </c>
    </row>
    <row r="73" spans="1:30" x14ac:dyDescent="0.35">
      <c r="A73" s="56">
        <v>2013</v>
      </c>
      <c r="B73">
        <v>9.8699999999999992</v>
      </c>
      <c r="C73">
        <v>0.51300000000000001</v>
      </c>
      <c r="D73">
        <v>-0.65</v>
      </c>
      <c r="E73" s="215">
        <v>35824.44</v>
      </c>
      <c r="F73" s="65">
        <v>0.93650821155557995</v>
      </c>
      <c r="G73">
        <v>-0.56399999999999995</v>
      </c>
      <c r="H73">
        <f t="shared" si="6"/>
        <v>-0.56399999999999995</v>
      </c>
      <c r="I73">
        <v>75808</v>
      </c>
      <c r="J73">
        <f t="shared" si="7"/>
        <v>2013</v>
      </c>
      <c r="K73">
        <f t="shared" si="8"/>
        <v>9.6425000000000001</v>
      </c>
      <c r="L73">
        <f t="shared" si="9"/>
        <v>-0.65</v>
      </c>
      <c r="M73">
        <f t="shared" si="10"/>
        <v>56276</v>
      </c>
      <c r="N73">
        <f t="shared" si="24"/>
        <v>45314.224315042695</v>
      </c>
      <c r="O73">
        <f t="shared" si="25"/>
        <v>0.5894689931375745</v>
      </c>
      <c r="P73">
        <f t="shared" si="26"/>
        <v>-0.18910671858628925</v>
      </c>
      <c r="Q73">
        <f t="shared" si="11"/>
        <v>-0.56399999999999995</v>
      </c>
      <c r="R73" s="5">
        <f>'SR + catch data Murdoch_age var'!C65</f>
        <v>1167839</v>
      </c>
      <c r="S73" s="26">
        <f t="shared" si="14"/>
        <v>0.97528552296599247</v>
      </c>
      <c r="T73" s="26">
        <f t="shared" si="27"/>
        <v>0.66615029725931241</v>
      </c>
      <c r="U73" s="26">
        <f t="shared" si="28"/>
        <v>-0.67839888030260287</v>
      </c>
      <c r="V73" s="26">
        <f t="shared" si="16"/>
        <v>2.4203010242976566</v>
      </c>
      <c r="W73" s="26">
        <f t="shared" si="17"/>
        <v>0.69707987068050337</v>
      </c>
      <c r="X73" s="26">
        <f t="shared" si="18"/>
        <v>7.4628104676789861E-2</v>
      </c>
      <c r="Y73" s="26">
        <f t="shared" si="19"/>
        <v>-0.32163814392981888</v>
      </c>
      <c r="Z73" s="26">
        <f t="shared" si="20"/>
        <v>0.44773170153682312</v>
      </c>
      <c r="AA73" s="26">
        <f t="shared" si="21"/>
        <v>0.97528552296599291</v>
      </c>
      <c r="AB73">
        <v>2013</v>
      </c>
      <c r="AC73" s="61">
        <f t="shared" si="23"/>
        <v>47844.166971565573</v>
      </c>
      <c r="AD73" s="61">
        <f t="shared" si="22"/>
        <v>47920.519586573602</v>
      </c>
    </row>
    <row r="74" spans="1:30" x14ac:dyDescent="0.35">
      <c r="A74" s="56">
        <v>2014</v>
      </c>
      <c r="B74">
        <v>9.6425000000000001</v>
      </c>
      <c r="C74">
        <v>0.70099999999999996</v>
      </c>
      <c r="D74">
        <v>-0.9</v>
      </c>
      <c r="E74" s="215">
        <v>37973.9064</v>
      </c>
      <c r="F74" s="65">
        <v>1.85008459389209</v>
      </c>
      <c r="G74">
        <v>1.514</v>
      </c>
      <c r="H74">
        <f t="shared" si="6"/>
        <v>1.514</v>
      </c>
      <c r="I74">
        <v>56276</v>
      </c>
      <c r="J74">
        <f t="shared" si="7"/>
        <v>2014</v>
      </c>
      <c r="K74">
        <f t="shared" si="8"/>
        <v>10.744999999999999</v>
      </c>
      <c r="L74">
        <f t="shared" si="9"/>
        <v>-0.9</v>
      </c>
      <c r="M74">
        <f t="shared" si="10"/>
        <v>93850</v>
      </c>
      <c r="N74">
        <f t="shared" ref="N74:N80" si="29">SUMPRODUCT($C$3:$C$6,E77:E80)</f>
        <v>47649.694552139583</v>
      </c>
      <c r="O74">
        <f t="shared" ref="O74:O76" si="30">SUMPRODUCT($C$3:$C$6,F77:F80)</f>
        <v>0.98411752928259932</v>
      </c>
      <c r="P74">
        <f t="shared" ref="P74:P76" si="31">SUMPRODUCT($C$3:$C$6,G77:G80)</f>
        <v>-0.52123672247601094</v>
      </c>
      <c r="Q74">
        <f t="shared" si="11"/>
        <v>1.514</v>
      </c>
      <c r="R74" s="5">
        <f>'SR + catch data Murdoch_age var'!C66</f>
        <v>1165580</v>
      </c>
      <c r="S74" s="26">
        <f t="shared" si="14"/>
        <v>2.1342758698851196</v>
      </c>
      <c r="T74" s="26">
        <f t="shared" si="27"/>
        <v>2.3533214208261133</v>
      </c>
      <c r="U74" s="26">
        <f t="shared" si="28"/>
        <v>-0.9254978102141469</v>
      </c>
      <c r="V74" s="26">
        <f t="shared" si="16"/>
        <v>2.6137121885812094</v>
      </c>
      <c r="W74" s="26">
        <f t="shared" si="17"/>
        <v>1.3076104733316418</v>
      </c>
      <c r="X74" s="26">
        <f t="shared" si="18"/>
        <v>-0.33057418006754624</v>
      </c>
      <c r="Y74" s="26">
        <f t="shared" si="19"/>
        <v>1.8375409144983164</v>
      </c>
      <c r="Z74" s="26">
        <f t="shared" si="20"/>
        <v>0.44490255253020944</v>
      </c>
      <c r="AA74" s="26">
        <f t="shared" si="21"/>
        <v>2.1342758698851205</v>
      </c>
      <c r="AB74">
        <v>2014</v>
      </c>
      <c r="AC74" s="61">
        <f t="shared" si="23"/>
        <v>47941.181910000007</v>
      </c>
      <c r="AD74" s="61">
        <f t="shared" si="22"/>
        <v>47941.181909999999</v>
      </c>
    </row>
    <row r="75" spans="1:30" x14ac:dyDescent="0.35">
      <c r="A75" s="56">
        <v>2015</v>
      </c>
      <c r="B75">
        <v>10.744999999999999</v>
      </c>
      <c r="C75">
        <v>0.63900000000000001</v>
      </c>
      <c r="D75">
        <v>0.17499999999999999</v>
      </c>
      <c r="E75" s="215">
        <v>40252.340779999999</v>
      </c>
      <c r="F75" s="65">
        <v>1.7677735914786601</v>
      </c>
      <c r="G75">
        <v>0.81200000000000006</v>
      </c>
      <c r="H75">
        <f t="shared" ref="H75:H82" si="32">G75</f>
        <v>0.81200000000000006</v>
      </c>
      <c r="I75">
        <v>93850</v>
      </c>
      <c r="J75">
        <f t="shared" ref="J75:J82" si="33">A75</f>
        <v>2015</v>
      </c>
      <c r="K75">
        <f t="shared" ref="K75:K80" si="34">B76</f>
        <v>10.94</v>
      </c>
      <c r="L75">
        <f t="shared" ref="L75:L80" si="35">D75</f>
        <v>0.17499999999999999</v>
      </c>
      <c r="M75">
        <f t="shared" ref="M75:M81" si="36">I76</f>
        <v>91908</v>
      </c>
      <c r="N75">
        <f t="shared" si="29"/>
        <v>47941.181909999992</v>
      </c>
      <c r="O75">
        <f t="shared" si="30"/>
        <v>1.7651063183125038</v>
      </c>
      <c r="P75">
        <f t="shared" si="31"/>
        <v>-0.99215047150903302</v>
      </c>
      <c r="Q75">
        <f t="shared" ref="Q75:Q82" si="37">G75</f>
        <v>0.81200000000000006</v>
      </c>
      <c r="R75" s="5">
        <f>'SR + catch data Murdoch_age var'!C67</f>
        <v>950865</v>
      </c>
      <c r="S75" s="26">
        <f t="shared" si="14"/>
        <v>2.0743738298117456</v>
      </c>
      <c r="T75" s="26">
        <f t="shared" si="27"/>
        <v>2.6517326399603784</v>
      </c>
      <c r="U75" s="26">
        <f t="shared" si="28"/>
        <v>0.13702758840549265</v>
      </c>
      <c r="V75" s="26">
        <f t="shared" si="16"/>
        <v>2.6378516138507848</v>
      </c>
      <c r="W75" s="26">
        <f t="shared" si="17"/>
        <v>2.5158185682806886</v>
      </c>
      <c r="X75" s="26">
        <f t="shared" si="18"/>
        <v>-0.90509417160994998</v>
      </c>
      <c r="Y75" s="26">
        <f t="shared" si="19"/>
        <v>1.1081166127579165</v>
      </c>
      <c r="Z75" s="26">
        <f t="shared" si="20"/>
        <v>0.1759956340020726</v>
      </c>
      <c r="AA75" s="26">
        <f t="shared" si="21"/>
        <v>2.0743738298117465</v>
      </c>
      <c r="AB75">
        <v>2015</v>
      </c>
      <c r="AC75" s="61">
        <f t="shared" si="23"/>
        <v>47941.181910000007</v>
      </c>
      <c r="AD75" s="61">
        <f t="shared" si="22"/>
        <v>47941.181909999999</v>
      </c>
    </row>
    <row r="76" spans="1:30" x14ac:dyDescent="0.35">
      <c r="A76" s="56">
        <v>2016</v>
      </c>
      <c r="B76">
        <v>10.94</v>
      </c>
      <c r="C76">
        <v>0.313</v>
      </c>
      <c r="D76">
        <v>-0.82499999999999996</v>
      </c>
      <c r="E76" s="215">
        <v>42667.481229999998</v>
      </c>
      <c r="F76" s="65">
        <v>1.5477181478713899</v>
      </c>
      <c r="G76">
        <v>0.32200000000000001</v>
      </c>
      <c r="H76">
        <f t="shared" si="32"/>
        <v>0.32200000000000001</v>
      </c>
      <c r="I76">
        <v>91908</v>
      </c>
      <c r="J76">
        <f t="shared" si="33"/>
        <v>2016</v>
      </c>
      <c r="K76">
        <f t="shared" si="34"/>
        <v>10.5275</v>
      </c>
      <c r="L76">
        <f t="shared" si="35"/>
        <v>-0.82499999999999996</v>
      </c>
      <c r="M76">
        <f t="shared" si="36"/>
        <v>87166</v>
      </c>
      <c r="N76">
        <f t="shared" si="29"/>
        <v>47941.181909999992</v>
      </c>
      <c r="O76">
        <f t="shared" si="30"/>
        <v>1.3846514671618808</v>
      </c>
      <c r="P76">
        <f t="shared" si="31"/>
        <v>-1.3200362715647089</v>
      </c>
      <c r="Q76">
        <f t="shared" si="37"/>
        <v>0.32200000000000001</v>
      </c>
      <c r="R76" s="5">
        <f>'SR + catch data Murdoch_age var'!C68</f>
        <v>1975386</v>
      </c>
      <c r="S76" s="26">
        <f t="shared" ref="S76" si="38">(M76-AVERAGE(M$11:M$76))/STDEV(M$11:M$76)</f>
        <v>1.9281042757293883</v>
      </c>
      <c r="T76" s="26">
        <f t="shared" si="27"/>
        <v>2.0204781379455889</v>
      </c>
      <c r="U76" s="26">
        <f t="shared" si="28"/>
        <v>-0.85136813124068367</v>
      </c>
      <c r="V76" s="26">
        <f t="shared" ref="V76" si="39">(N76-AVERAGE(N$11:N$76))/STDEV(N$11:N$76)</f>
        <v>2.6378516138507848</v>
      </c>
      <c r="W76" s="26">
        <f t="shared" ref="W76" si="40">(O76-AVERAGE(O$11:O$76))/STDEV(O$11:O$76)</f>
        <v>1.9272459314137895</v>
      </c>
      <c r="X76" s="26">
        <f>(P76-AVERAGE(P$11:P$76))/STDEV(P$11:P$76)</f>
        <v>-1.3051184806509919</v>
      </c>
      <c r="Y76" s="26">
        <f t="shared" ref="Y76" si="41">(Q76-AVERAGE(Q$11:Q$76))/STDEV(Q$11:Q$76)</f>
        <v>0.59897429387928969</v>
      </c>
      <c r="Z76" s="26">
        <f t="shared" ref="Z76:AA76" si="42">(R76-AVERAGE(R$11:R$76))/STDEV(R$11:R$76)</f>
        <v>1.45909548765629</v>
      </c>
      <c r="AA76" s="26">
        <f t="shared" si="42"/>
        <v>1.9281042757293887</v>
      </c>
      <c r="AB76">
        <v>2016</v>
      </c>
      <c r="AC76" s="61">
        <f t="shared" si="23"/>
        <v>47941.181910000007</v>
      </c>
      <c r="AD76" s="61">
        <f t="shared" si="22"/>
        <v>47941.181909999999</v>
      </c>
    </row>
    <row r="77" spans="1:30" x14ac:dyDescent="0.35">
      <c r="A77" s="56">
        <v>2017</v>
      </c>
      <c r="B77">
        <v>10.5275</v>
      </c>
      <c r="C77">
        <v>0.79700000000000004</v>
      </c>
      <c r="D77">
        <v>-2.15</v>
      </c>
      <c r="E77" s="215">
        <v>45227.530100000004</v>
      </c>
      <c r="F77" s="65">
        <v>0.39768972030530297</v>
      </c>
      <c r="G77">
        <v>-0.21</v>
      </c>
      <c r="H77">
        <f t="shared" si="32"/>
        <v>-0.21</v>
      </c>
      <c r="I77">
        <v>87166</v>
      </c>
      <c r="J77">
        <f t="shared" si="33"/>
        <v>2017</v>
      </c>
      <c r="K77">
        <f t="shared" si="34"/>
        <v>10.205</v>
      </c>
      <c r="L77">
        <f t="shared" si="35"/>
        <v>-2.15</v>
      </c>
      <c r="M77">
        <f t="shared" si="36"/>
        <v>88834</v>
      </c>
      <c r="N77">
        <f t="shared" si="29"/>
        <v>47941.181909999992</v>
      </c>
      <c r="O77" t="e">
        <f>NA()</f>
        <v>#N/A</v>
      </c>
      <c r="P77" t="e">
        <f>NA()</f>
        <v>#N/A</v>
      </c>
      <c r="Q77">
        <f t="shared" si="37"/>
        <v>-0.21</v>
      </c>
      <c r="R77" s="5">
        <f>'SR + catch data Murdoch_age var'!C69</f>
        <v>659667</v>
      </c>
      <c r="S77" t="s">
        <v>12</v>
      </c>
      <c r="AB77">
        <v>2017</v>
      </c>
      <c r="AC77" s="61">
        <f>SUMPRODUCT($D$3:$D$8,E80:E85)</f>
        <v>47941.181910000007</v>
      </c>
      <c r="AD77" s="61">
        <f t="shared" si="22"/>
        <v>47941.181909999999</v>
      </c>
    </row>
    <row r="78" spans="1:30" x14ac:dyDescent="0.35">
      <c r="A78" s="56">
        <v>2018</v>
      </c>
      <c r="B78">
        <v>10.205</v>
      </c>
      <c r="C78">
        <v>0.29899999999999999</v>
      </c>
      <c r="D78">
        <v>-1.65</v>
      </c>
      <c r="E78" s="215">
        <v>47941.181909999999</v>
      </c>
      <c r="F78" s="65">
        <v>0.89832238852977697</v>
      </c>
      <c r="G78">
        <v>-0.47599999999999998</v>
      </c>
      <c r="H78">
        <f t="shared" si="32"/>
        <v>-0.47599999999999998</v>
      </c>
      <c r="I78">
        <v>88834</v>
      </c>
      <c r="J78">
        <f t="shared" si="33"/>
        <v>2018</v>
      </c>
      <c r="K78">
        <f t="shared" si="34"/>
        <v>10.315</v>
      </c>
      <c r="L78">
        <f t="shared" si="35"/>
        <v>-1.65</v>
      </c>
      <c r="M78">
        <f t="shared" si="36"/>
        <v>90595</v>
      </c>
      <c r="N78">
        <f t="shared" si="29"/>
        <v>47941.181909999992</v>
      </c>
      <c r="O78" t="e">
        <f>NA()</f>
        <v>#N/A</v>
      </c>
      <c r="P78" t="e">
        <f>NA()</f>
        <v>#N/A</v>
      </c>
      <c r="Q78">
        <f t="shared" si="37"/>
        <v>-0.47599999999999998</v>
      </c>
      <c r="R78" s="5" t="s">
        <v>12</v>
      </c>
      <c r="S78" t="s">
        <v>12</v>
      </c>
      <c r="AB78">
        <v>2018</v>
      </c>
      <c r="AC78" s="61">
        <f t="shared" si="23"/>
        <v>47941.181910000007</v>
      </c>
    </row>
    <row r="79" spans="1:30" x14ac:dyDescent="0.35">
      <c r="A79" s="56">
        <v>2019</v>
      </c>
      <c r="B79">
        <v>10.315</v>
      </c>
      <c r="C79" t="s">
        <v>95</v>
      </c>
      <c r="D79">
        <v>-2.125</v>
      </c>
      <c r="E79" s="215">
        <v>47941.181909999999</v>
      </c>
      <c r="F79" s="65">
        <v>1.9513856212298</v>
      </c>
      <c r="G79">
        <v>-1.028</v>
      </c>
      <c r="H79">
        <f t="shared" si="32"/>
        <v>-1.028</v>
      </c>
      <c r="I79">
        <v>90595</v>
      </c>
      <c r="J79">
        <f t="shared" si="33"/>
        <v>2019</v>
      </c>
      <c r="K79">
        <f t="shared" si="34"/>
        <v>10.734999999999999</v>
      </c>
      <c r="L79">
        <f t="shared" si="35"/>
        <v>-2.125</v>
      </c>
      <c r="M79">
        <f t="shared" si="36"/>
        <v>93518</v>
      </c>
      <c r="N79">
        <f t="shared" si="29"/>
        <v>47941.181909999992</v>
      </c>
      <c r="O79" t="e">
        <f>NA()</f>
        <v>#N/A</v>
      </c>
      <c r="P79" t="e">
        <f>NA()</f>
        <v>#N/A</v>
      </c>
      <c r="Q79">
        <f t="shared" si="37"/>
        <v>-1.028</v>
      </c>
      <c r="S79" t="s">
        <v>12</v>
      </c>
      <c r="AB79">
        <v>2019</v>
      </c>
    </row>
    <row r="80" spans="1:30" x14ac:dyDescent="0.35">
      <c r="A80" s="56">
        <v>2020</v>
      </c>
      <c r="B80">
        <v>10.734999999999999</v>
      </c>
      <c r="C80" t="s">
        <v>95</v>
      </c>
      <c r="D80">
        <v>-0.97499999999999998</v>
      </c>
      <c r="E80" s="215">
        <v>47941.181909999999</v>
      </c>
      <c r="F80" s="65">
        <v>1.4092217604319199</v>
      </c>
      <c r="G80">
        <v>-1.1919999999999999</v>
      </c>
      <c r="H80">
        <f t="shared" si="32"/>
        <v>-1.1919999999999999</v>
      </c>
      <c r="I80">
        <v>93518</v>
      </c>
      <c r="J80">
        <f t="shared" si="33"/>
        <v>2020</v>
      </c>
      <c r="K80">
        <f t="shared" si="34"/>
        <v>10.305</v>
      </c>
      <c r="L80">
        <f t="shared" si="35"/>
        <v>-0.97499999999999998</v>
      </c>
      <c r="M80">
        <f t="shared" si="36"/>
        <v>86548</v>
      </c>
      <c r="N80">
        <f t="shared" si="29"/>
        <v>47941.181909999992</v>
      </c>
      <c r="O80" t="e">
        <f>NA()</f>
        <v>#N/A</v>
      </c>
      <c r="P80" t="e">
        <f>NA()</f>
        <v>#N/A</v>
      </c>
      <c r="Q80">
        <f t="shared" si="37"/>
        <v>-1.1919999999999999</v>
      </c>
      <c r="S80" t="s">
        <v>12</v>
      </c>
      <c r="AB80">
        <v>2020</v>
      </c>
    </row>
    <row r="81" spans="1:45" x14ac:dyDescent="0.35">
      <c r="A81" s="56">
        <v>2021</v>
      </c>
      <c r="B81">
        <v>10.305</v>
      </c>
      <c r="C81" t="s">
        <v>95</v>
      </c>
      <c r="D81">
        <v>-1.675</v>
      </c>
      <c r="E81" s="215">
        <v>47941.181909999999</v>
      </c>
      <c r="F81" s="65">
        <v>0.78466754928231197</v>
      </c>
      <c r="G81">
        <v>-2.2879999999999998</v>
      </c>
      <c r="H81">
        <f t="shared" si="32"/>
        <v>-2.2879999999999998</v>
      </c>
      <c r="I81">
        <v>86548</v>
      </c>
      <c r="J81">
        <f t="shared" si="33"/>
        <v>2021</v>
      </c>
      <c r="K81" t="s">
        <v>12</v>
      </c>
      <c r="M81" t="str">
        <f t="shared" si="36"/>
        <v>NA</v>
      </c>
      <c r="Q81">
        <f t="shared" si="37"/>
        <v>-2.2879999999999998</v>
      </c>
      <c r="S81" t="s">
        <v>12</v>
      </c>
      <c r="AB81">
        <v>2021</v>
      </c>
    </row>
    <row r="82" spans="1:45" x14ac:dyDescent="0.35">
      <c r="A82" s="56">
        <v>2022</v>
      </c>
      <c r="B82" t="s">
        <v>95</v>
      </c>
      <c r="C82" t="s">
        <v>95</v>
      </c>
      <c r="D82">
        <v>-2.4249999999999998</v>
      </c>
      <c r="E82" s="215">
        <v>47941.181909999999</v>
      </c>
      <c r="F82" s="65">
        <v>1.0855623325332999</v>
      </c>
      <c r="G82">
        <v>-1.994</v>
      </c>
      <c r="H82">
        <f t="shared" si="32"/>
        <v>-1.994</v>
      </c>
      <c r="I82" t="s">
        <v>95</v>
      </c>
      <c r="J82">
        <f t="shared" si="33"/>
        <v>2022</v>
      </c>
      <c r="K82" t="s">
        <v>12</v>
      </c>
      <c r="Q82">
        <f t="shared" si="37"/>
        <v>-1.994</v>
      </c>
      <c r="S82" t="s">
        <v>12</v>
      </c>
      <c r="AB82">
        <v>2022</v>
      </c>
    </row>
    <row r="83" spans="1:45" x14ac:dyDescent="0.35">
      <c r="E83" s="215">
        <v>47941.181909999999</v>
      </c>
      <c r="M83" t="s">
        <v>415</v>
      </c>
      <c r="N83" s="4">
        <v>0</v>
      </c>
      <c r="R83" s="56"/>
      <c r="S83" s="56"/>
      <c r="T83" s="56"/>
      <c r="U83" s="56" t="s">
        <v>416</v>
      </c>
      <c r="V83">
        <f>($N$83-AVERAGE(N$11:N$76))/STDEV(N$11:N$76)</f>
        <v>-1.3323808742620749</v>
      </c>
      <c r="W83" s="56"/>
      <c r="X83" s="56"/>
      <c r="Y83" s="56"/>
      <c r="Z83" s="56"/>
      <c r="AA83" s="56"/>
      <c r="AB83">
        <v>2023</v>
      </c>
      <c r="AC83" s="56"/>
      <c r="AD83" s="56"/>
      <c r="AE83" s="56"/>
      <c r="AF83" s="56"/>
      <c r="AG83" s="56"/>
      <c r="AH83" s="56"/>
      <c r="AI83" s="56"/>
      <c r="AJ83" s="56"/>
      <c r="AK83" s="56"/>
      <c r="AL83" s="56"/>
      <c r="AM83" s="56"/>
      <c r="AN83" s="56"/>
      <c r="AO83" s="56"/>
      <c r="AP83" s="56"/>
      <c r="AQ83" s="56"/>
      <c r="AR83" s="56"/>
      <c r="AS83" s="56"/>
    </row>
    <row r="84" spans="1:45" x14ac:dyDescent="0.35">
      <c r="E84" s="215">
        <v>47941.181909999999</v>
      </c>
      <c r="U84" t="s">
        <v>417</v>
      </c>
      <c r="V84">
        <f>($N$83-AVERAGE(AC$38:AC$78))/STDEV(AC$38:AC$78)</f>
        <v>-1.6257326156697292</v>
      </c>
    </row>
    <row r="85" spans="1:45" x14ac:dyDescent="0.35">
      <c r="E85" s="215">
        <v>47941.181909999999</v>
      </c>
      <c r="U85" t="s">
        <v>427</v>
      </c>
      <c r="V85">
        <f>($N$83-AVERAGE(AD$33:AD$77))/STDEV(AD$33:AD$77)</f>
        <v>-1.5172046626699072</v>
      </c>
    </row>
    <row r="86" spans="1:45" x14ac:dyDescent="0.35">
      <c r="E86" s="215">
        <v>47941.181909999999</v>
      </c>
    </row>
    <row r="87" spans="1:45" x14ac:dyDescent="0.35">
      <c r="E87" s="215">
        <v>47941.181909999999</v>
      </c>
    </row>
  </sheetData>
  <phoneticPr fontId="1" type="noConversion"/>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D014-9F33-4D61-B895-8259E792372C}">
  <dimension ref="A1:HB142"/>
  <sheetViews>
    <sheetView tabSelected="1" topLeftCell="GM13" zoomScale="70" zoomScaleNormal="70" workbookViewId="0">
      <selection activeCell="FF15" sqref="FF15"/>
    </sheetView>
  </sheetViews>
  <sheetFormatPr defaultRowHeight="14.5" x14ac:dyDescent="0.35"/>
  <cols>
    <col min="1" max="1" width="13" customWidth="1"/>
    <col min="3" max="3" width="12.453125" bestFit="1" customWidth="1"/>
    <col min="7" max="7" width="12.81640625" customWidth="1"/>
    <col min="11" max="11" width="20.26953125" customWidth="1"/>
    <col min="12" max="12" width="11.26953125" customWidth="1"/>
    <col min="13" max="13" width="10.54296875" customWidth="1"/>
    <col min="14" max="14" width="11.1796875" customWidth="1"/>
    <col min="25" max="25" width="12" style="61" bestFit="1" customWidth="1"/>
    <col min="26" max="28" width="8.81640625" style="61"/>
    <col min="29" max="29" width="10.7265625" customWidth="1"/>
    <col min="30" max="30" width="10.26953125" customWidth="1"/>
    <col min="34" max="34" width="10.54296875" customWidth="1"/>
    <col min="35" max="35" width="12.36328125" customWidth="1"/>
    <col min="36" max="36" width="9.54296875" bestFit="1" customWidth="1"/>
    <col min="37" max="37" width="13.26953125" customWidth="1"/>
    <col min="38" max="38" width="11.26953125" customWidth="1"/>
    <col min="39" max="39" width="9.7265625" customWidth="1"/>
    <col min="42" max="42" width="10.7265625" customWidth="1"/>
    <col min="43" max="43" width="14.54296875" customWidth="1"/>
    <col min="44" max="44" width="11.08984375" customWidth="1"/>
    <col min="45" max="45" width="10" customWidth="1"/>
    <col min="49" max="49" width="10.54296875" bestFit="1" customWidth="1"/>
    <col min="50" max="50" width="15.1796875" customWidth="1"/>
    <col min="51" max="53" width="10.54296875" customWidth="1"/>
    <col min="54" max="54" width="11.7265625" customWidth="1"/>
    <col min="70" max="70" width="10.1796875" customWidth="1"/>
    <col min="71" max="71" width="10.7265625" customWidth="1"/>
    <col min="75" max="75" width="10.453125" customWidth="1"/>
    <col min="76" max="76" width="11.1796875" customWidth="1"/>
    <col min="87" max="87" width="10.54296875" customWidth="1"/>
    <col min="88" max="88" width="11.1796875" customWidth="1"/>
    <col min="93" max="93" width="10.1796875" customWidth="1"/>
    <col min="95" max="95" width="15.26953125" customWidth="1"/>
    <col min="104" max="104" width="12.54296875" bestFit="1" customWidth="1"/>
    <col min="153" max="153" width="10.1796875" customWidth="1"/>
    <col min="160" max="161" width="12.7265625" customWidth="1"/>
    <col min="163" max="164" width="13.1796875" customWidth="1"/>
    <col min="165" max="166" width="10.26953125" customWidth="1"/>
    <col min="176" max="176" width="10.26953125" customWidth="1"/>
    <col min="177" max="177" width="10.453125" customWidth="1"/>
  </cols>
  <sheetData>
    <row r="1" spans="1:210" ht="57.65" customHeight="1" x14ac:dyDescent="0.35">
      <c r="A1" t="s">
        <v>235</v>
      </c>
      <c r="C1" t="s">
        <v>235</v>
      </c>
      <c r="D1" t="s">
        <v>235</v>
      </c>
      <c r="E1" t="s">
        <v>235</v>
      </c>
      <c r="G1" t="s">
        <v>235</v>
      </c>
      <c r="H1" t="s">
        <v>235</v>
      </c>
      <c r="I1" t="s">
        <v>235</v>
      </c>
      <c r="J1" t="s">
        <v>235</v>
      </c>
      <c r="K1" t="s">
        <v>235</v>
      </c>
      <c r="L1" t="s">
        <v>235</v>
      </c>
      <c r="M1" t="s">
        <v>235</v>
      </c>
      <c r="N1" t="s">
        <v>235</v>
      </c>
      <c r="O1" t="s">
        <v>235</v>
      </c>
      <c r="P1" t="s">
        <v>235</v>
      </c>
      <c r="Q1" t="s">
        <v>235</v>
      </c>
      <c r="R1" t="s">
        <v>235</v>
      </c>
      <c r="S1" t="s">
        <v>235</v>
      </c>
      <c r="T1" t="s">
        <v>235</v>
      </c>
      <c r="U1" t="s">
        <v>235</v>
      </c>
      <c r="V1" t="s">
        <v>235</v>
      </c>
      <c r="W1" t="s">
        <v>235</v>
      </c>
      <c r="X1" t="s">
        <v>235</v>
      </c>
      <c r="Y1" t="s">
        <v>235</v>
      </c>
      <c r="Z1" t="s">
        <v>235</v>
      </c>
      <c r="AA1" t="s">
        <v>235</v>
      </c>
      <c r="AB1" t="s">
        <v>235</v>
      </c>
      <c r="AC1" t="s">
        <v>235</v>
      </c>
      <c r="AD1" t="s">
        <v>235</v>
      </c>
      <c r="AE1" t="s">
        <v>235</v>
      </c>
      <c r="AF1" t="s">
        <v>235</v>
      </c>
      <c r="AG1" t="s">
        <v>235</v>
      </c>
      <c r="AH1" t="s">
        <v>235</v>
      </c>
      <c r="AI1" t="s">
        <v>235</v>
      </c>
      <c r="AJ1" t="s">
        <v>235</v>
      </c>
      <c r="AK1" t="s">
        <v>235</v>
      </c>
      <c r="AL1" t="s">
        <v>235</v>
      </c>
      <c r="AM1" t="s">
        <v>235</v>
      </c>
      <c r="AN1" t="s">
        <v>235</v>
      </c>
      <c r="AO1" t="s">
        <v>235</v>
      </c>
      <c r="AP1" t="s">
        <v>235</v>
      </c>
      <c r="AQ1" t="s">
        <v>235</v>
      </c>
      <c r="AR1" t="s">
        <v>235</v>
      </c>
      <c r="AS1" t="s">
        <v>235</v>
      </c>
      <c r="AT1" t="s">
        <v>235</v>
      </c>
      <c r="AU1" t="s">
        <v>235</v>
      </c>
      <c r="AW1" t="s">
        <v>235</v>
      </c>
      <c r="AX1" s="147" t="s">
        <v>309</v>
      </c>
      <c r="AY1" s="92">
        <f>COUNT(D84:D87,BA86:BA88,DE86:DE88)</f>
        <v>10</v>
      </c>
      <c r="AZ1" s="9" t="s">
        <v>319</v>
      </c>
      <c r="BA1" s="9" t="s">
        <v>466</v>
      </c>
      <c r="BB1" s="9" t="s">
        <v>364</v>
      </c>
      <c r="BC1" s="9" t="s">
        <v>365</v>
      </c>
      <c r="BD1" s="9" t="s">
        <v>366</v>
      </c>
      <c r="BE1" s="9" t="s">
        <v>367</v>
      </c>
      <c r="BF1" t="s">
        <v>236</v>
      </c>
      <c r="BG1" t="s">
        <v>236</v>
      </c>
      <c r="BH1" t="s">
        <v>236</v>
      </c>
      <c r="BI1" t="s">
        <v>236</v>
      </c>
      <c r="BJ1" t="s">
        <v>236</v>
      </c>
      <c r="BK1" t="s">
        <v>236</v>
      </c>
      <c r="BL1" t="s">
        <v>236</v>
      </c>
      <c r="BM1" t="s">
        <v>236</v>
      </c>
      <c r="BN1" t="s">
        <v>236</v>
      </c>
      <c r="BO1" t="s">
        <v>236</v>
      </c>
      <c r="BP1" t="s">
        <v>236</v>
      </c>
      <c r="BQ1" t="s">
        <v>236</v>
      </c>
      <c r="BR1" t="s">
        <v>236</v>
      </c>
      <c r="BS1" t="s">
        <v>236</v>
      </c>
      <c r="BT1" t="s">
        <v>236</v>
      </c>
      <c r="BU1" t="s">
        <v>236</v>
      </c>
      <c r="BV1" t="s">
        <v>236</v>
      </c>
      <c r="BW1" t="s">
        <v>236</v>
      </c>
      <c r="BX1" t="s">
        <v>236</v>
      </c>
      <c r="BY1" t="s">
        <v>236</v>
      </c>
      <c r="BZ1" t="s">
        <v>236</v>
      </c>
      <c r="CB1" t="s">
        <v>236</v>
      </c>
      <c r="CC1" t="s">
        <v>236</v>
      </c>
      <c r="CD1" t="s">
        <v>236</v>
      </c>
      <c r="CE1" t="s">
        <v>236</v>
      </c>
      <c r="CF1" t="s">
        <v>236</v>
      </c>
      <c r="CG1" t="s">
        <v>236</v>
      </c>
      <c r="CH1" t="s">
        <v>236</v>
      </c>
      <c r="CI1" t="s">
        <v>236</v>
      </c>
      <c r="CJ1" t="s">
        <v>236</v>
      </c>
      <c r="CK1" t="s">
        <v>236</v>
      </c>
      <c r="CL1" t="s">
        <v>236</v>
      </c>
      <c r="CN1" t="s">
        <v>236</v>
      </c>
      <c r="CO1" t="s">
        <v>236</v>
      </c>
      <c r="CP1" t="s">
        <v>236</v>
      </c>
      <c r="CQ1" t="s">
        <v>236</v>
      </c>
      <c r="CR1" t="s">
        <v>236</v>
      </c>
      <c r="CS1" t="s">
        <v>236</v>
      </c>
      <c r="CT1" t="s">
        <v>236</v>
      </c>
      <c r="CV1" t="s">
        <v>236</v>
      </c>
      <c r="CW1" t="s">
        <v>235</v>
      </c>
      <c r="CX1" t="s">
        <v>235</v>
      </c>
      <c r="CY1" t="s">
        <v>235</v>
      </c>
      <c r="CZ1" t="s">
        <v>235</v>
      </c>
      <c r="DA1" t="s">
        <v>235</v>
      </c>
      <c r="DB1" t="s">
        <v>235</v>
      </c>
      <c r="DF1" t="s">
        <v>236</v>
      </c>
      <c r="DG1" t="s">
        <v>236</v>
      </c>
      <c r="DH1" t="s">
        <v>236</v>
      </c>
      <c r="DI1" t="s">
        <v>236</v>
      </c>
      <c r="DJ1" t="s">
        <v>236</v>
      </c>
      <c r="DK1" t="s">
        <v>236</v>
      </c>
      <c r="DL1" t="s">
        <v>236</v>
      </c>
      <c r="DM1" t="s">
        <v>236</v>
      </c>
      <c r="DN1" t="s">
        <v>236</v>
      </c>
      <c r="DO1" t="s">
        <v>236</v>
      </c>
      <c r="DP1" t="s">
        <v>236</v>
      </c>
      <c r="DQ1" t="s">
        <v>236</v>
      </c>
      <c r="DT1" t="s">
        <v>236</v>
      </c>
      <c r="DU1" t="s">
        <v>236</v>
      </c>
      <c r="DV1" t="s">
        <v>236</v>
      </c>
      <c r="DW1" t="s">
        <v>236</v>
      </c>
      <c r="DX1" t="s">
        <v>236</v>
      </c>
      <c r="DY1" t="s">
        <v>236</v>
      </c>
      <c r="DZ1" t="s">
        <v>236</v>
      </c>
      <c r="EA1" t="s">
        <v>236</v>
      </c>
      <c r="EB1" t="s">
        <v>236</v>
      </c>
      <c r="EC1" t="s">
        <v>236</v>
      </c>
      <c r="ED1" t="s">
        <v>236</v>
      </c>
      <c r="EE1" t="s">
        <v>236</v>
      </c>
      <c r="EF1" t="s">
        <v>236</v>
      </c>
      <c r="EG1" t="s">
        <v>236</v>
      </c>
      <c r="EH1" t="s">
        <v>236</v>
      </c>
      <c r="EI1" t="s">
        <v>236</v>
      </c>
      <c r="EJ1" t="s">
        <v>236</v>
      </c>
      <c r="EK1" t="s">
        <v>236</v>
      </c>
      <c r="EL1" t="s">
        <v>236</v>
      </c>
      <c r="EM1" t="s">
        <v>236</v>
      </c>
      <c r="EN1" t="s">
        <v>236</v>
      </c>
      <c r="EO1" t="s">
        <v>236</v>
      </c>
      <c r="EP1" t="s">
        <v>236</v>
      </c>
      <c r="EQ1" t="s">
        <v>236</v>
      </c>
      <c r="ER1" t="s">
        <v>236</v>
      </c>
      <c r="ES1" t="s">
        <v>236</v>
      </c>
      <c r="ET1" t="s">
        <v>236</v>
      </c>
      <c r="EU1" t="s">
        <v>236</v>
      </c>
      <c r="EV1" t="s">
        <v>236</v>
      </c>
      <c r="EW1" t="s">
        <v>236</v>
      </c>
      <c r="EX1" t="s">
        <v>236</v>
      </c>
      <c r="FA1" t="s">
        <v>236</v>
      </c>
      <c r="FB1" t="s">
        <v>432</v>
      </c>
      <c r="FC1" t="s">
        <v>432</v>
      </c>
      <c r="FD1" t="s">
        <v>432</v>
      </c>
      <c r="FF1" t="s">
        <v>432</v>
      </c>
      <c r="FG1" t="s">
        <v>432</v>
      </c>
      <c r="FI1" t="s">
        <v>432</v>
      </c>
      <c r="FJ1" t="s">
        <v>432</v>
      </c>
      <c r="FK1" t="s">
        <v>432</v>
      </c>
      <c r="FM1" t="s">
        <v>432</v>
      </c>
      <c r="FO1" t="s">
        <v>432</v>
      </c>
      <c r="FP1" t="s">
        <v>432</v>
      </c>
      <c r="FQ1" t="s">
        <v>432</v>
      </c>
      <c r="FR1" t="s">
        <v>432</v>
      </c>
    </row>
    <row r="2" spans="1:210" x14ac:dyDescent="0.35">
      <c r="Y2"/>
      <c r="Z2"/>
      <c r="AA2"/>
      <c r="AB2"/>
      <c r="AX2" s="147" t="s">
        <v>363</v>
      </c>
      <c r="AY2" s="92">
        <f>alphaV</f>
        <v>2</v>
      </c>
      <c r="AZ2" s="156">
        <v>1</v>
      </c>
      <c r="BA2" s="156">
        <v>1</v>
      </c>
      <c r="BB2" s="156">
        <v>2</v>
      </c>
      <c r="BC2" s="69">
        <v>3</v>
      </c>
      <c r="BD2" s="69">
        <v>4</v>
      </c>
      <c r="BE2" s="69">
        <v>5</v>
      </c>
    </row>
    <row r="3" spans="1:210" x14ac:dyDescent="0.35">
      <c r="Y3"/>
      <c r="Z3"/>
      <c r="AA3"/>
      <c r="AB3"/>
      <c r="AI3" t="s">
        <v>472</v>
      </c>
      <c r="AJ3" s="26">
        <f>AVERAGE(CP77:CP81)</f>
        <v>-0.24903030897187012</v>
      </c>
      <c r="AX3" s="147" t="s">
        <v>327</v>
      </c>
      <c r="AY3" s="92">
        <f>IF(alphaV=1,2,1)</f>
        <v>1</v>
      </c>
      <c r="AZ3" s="152">
        <v>2</v>
      </c>
      <c r="BA3" s="152">
        <v>1</v>
      </c>
      <c r="BB3" s="92">
        <v>1</v>
      </c>
      <c r="BC3" s="92">
        <v>1</v>
      </c>
      <c r="BD3" s="92">
        <v>1</v>
      </c>
      <c r="BE3" s="92">
        <v>1</v>
      </c>
      <c r="BF3" t="s">
        <v>237</v>
      </c>
      <c r="BG3" t="s">
        <v>237</v>
      </c>
      <c r="BH3" t="s">
        <v>237</v>
      </c>
      <c r="BI3" t="s">
        <v>237</v>
      </c>
      <c r="BJ3" t="s">
        <v>237</v>
      </c>
      <c r="BK3" t="s">
        <v>237</v>
      </c>
      <c r="BL3" t="s">
        <v>237</v>
      </c>
      <c r="BM3" t="s">
        <v>237</v>
      </c>
      <c r="BN3" t="s">
        <v>237</v>
      </c>
      <c r="BO3" t="s">
        <v>237</v>
      </c>
      <c r="BP3" t="s">
        <v>237</v>
      </c>
      <c r="BQ3" t="s">
        <v>237</v>
      </c>
      <c r="BR3" t="s">
        <v>237</v>
      </c>
      <c r="BS3" t="s">
        <v>237</v>
      </c>
      <c r="BT3" t="s">
        <v>237</v>
      </c>
      <c r="BU3" t="s">
        <v>237</v>
      </c>
      <c r="BV3" t="s">
        <v>237</v>
      </c>
      <c r="BW3" t="s">
        <v>237</v>
      </c>
      <c r="BX3" t="s">
        <v>237</v>
      </c>
      <c r="BY3" t="s">
        <v>237</v>
      </c>
      <c r="BZ3" t="s">
        <v>237</v>
      </c>
      <c r="CA3" t="s">
        <v>237</v>
      </c>
      <c r="CB3" t="s">
        <v>237</v>
      </c>
      <c r="CC3" t="s">
        <v>237</v>
      </c>
      <c r="CD3" t="s">
        <v>237</v>
      </c>
      <c r="CE3" t="s">
        <v>237</v>
      </c>
      <c r="CF3" t="s">
        <v>237</v>
      </c>
      <c r="CG3" t="s">
        <v>237</v>
      </c>
      <c r="CH3" t="s">
        <v>237</v>
      </c>
      <c r="CI3" t="s">
        <v>237</v>
      </c>
      <c r="CJ3" t="s">
        <v>237</v>
      </c>
      <c r="CK3" t="s">
        <v>237</v>
      </c>
      <c r="CL3" t="s">
        <v>237</v>
      </c>
      <c r="CN3" t="s">
        <v>237</v>
      </c>
      <c r="CO3" t="s">
        <v>237</v>
      </c>
      <c r="CP3" t="s">
        <v>237</v>
      </c>
      <c r="CQ3" t="s">
        <v>237</v>
      </c>
      <c r="CR3" t="s">
        <v>237</v>
      </c>
      <c r="CS3" t="s">
        <v>237</v>
      </c>
      <c r="CT3" t="s">
        <v>237</v>
      </c>
    </row>
    <row r="4" spans="1:210" x14ac:dyDescent="0.35">
      <c r="Y4"/>
      <c r="Z4"/>
      <c r="AA4"/>
      <c r="AB4"/>
      <c r="AI4" t="s">
        <v>473</v>
      </c>
      <c r="AJ4" s="26">
        <f>AVERAGE(ET76:ET80)</f>
        <v>-1.0845110892856895</v>
      </c>
      <c r="AX4" s="154" t="s">
        <v>320</v>
      </c>
      <c r="AY4" s="145">
        <f>FQ80</f>
        <v>0</v>
      </c>
      <c r="AZ4" s="145">
        <v>-0.16564770433323481</v>
      </c>
      <c r="BA4" s="145">
        <v>0</v>
      </c>
      <c r="BB4" s="6" t="e">
        <f>NA()</f>
        <v>#N/A</v>
      </c>
      <c r="BC4" s="6" t="e">
        <f>NA()</f>
        <v>#N/A</v>
      </c>
      <c r="BD4" s="6" t="e">
        <f>NA()</f>
        <v>#N/A</v>
      </c>
      <c r="BE4" s="6" t="e">
        <f>NA()</f>
        <v>#N/A</v>
      </c>
      <c r="DF4" t="s">
        <v>276</v>
      </c>
      <c r="DG4" t="s">
        <v>276</v>
      </c>
      <c r="DH4" t="s">
        <v>276</v>
      </c>
      <c r="DI4" t="s">
        <v>276</v>
      </c>
      <c r="DJ4" t="s">
        <v>276</v>
      </c>
      <c r="DK4" t="s">
        <v>276</v>
      </c>
      <c r="DL4" t="s">
        <v>276</v>
      </c>
      <c r="DM4" t="s">
        <v>276</v>
      </c>
      <c r="DN4" t="s">
        <v>276</v>
      </c>
      <c r="DO4" t="s">
        <v>276</v>
      </c>
      <c r="DP4" t="s">
        <v>276</v>
      </c>
      <c r="DQ4" t="s">
        <v>276</v>
      </c>
      <c r="DT4" t="s">
        <v>276</v>
      </c>
      <c r="DU4" t="s">
        <v>276</v>
      </c>
      <c r="DV4" t="s">
        <v>276</v>
      </c>
      <c r="DW4" t="s">
        <v>276</v>
      </c>
      <c r="DX4" t="s">
        <v>276</v>
      </c>
      <c r="DY4" t="s">
        <v>276</v>
      </c>
      <c r="DZ4" t="s">
        <v>276</v>
      </c>
      <c r="EA4" t="s">
        <v>276</v>
      </c>
      <c r="EB4" t="s">
        <v>276</v>
      </c>
      <c r="EC4" t="s">
        <v>276</v>
      </c>
      <c r="ED4" t="s">
        <v>276</v>
      </c>
      <c r="EE4" t="s">
        <v>276</v>
      </c>
      <c r="EF4" t="s">
        <v>276</v>
      </c>
      <c r="EG4" t="s">
        <v>276</v>
      </c>
      <c r="EH4" t="s">
        <v>276</v>
      </c>
      <c r="EI4" t="s">
        <v>276</v>
      </c>
      <c r="EJ4" t="s">
        <v>276</v>
      </c>
      <c r="EK4" t="s">
        <v>276</v>
      </c>
      <c r="EL4" t="s">
        <v>276</v>
      </c>
      <c r="EM4" t="s">
        <v>276</v>
      </c>
      <c r="EN4" t="s">
        <v>276</v>
      </c>
      <c r="EO4" t="s">
        <v>276</v>
      </c>
      <c r="EP4" t="s">
        <v>276</v>
      </c>
      <c r="EQ4" t="s">
        <v>276</v>
      </c>
      <c r="ER4" t="s">
        <v>276</v>
      </c>
      <c r="ES4" t="s">
        <v>276</v>
      </c>
      <c r="ET4" t="s">
        <v>276</v>
      </c>
      <c r="EU4" t="s">
        <v>276</v>
      </c>
      <c r="EV4" t="s">
        <v>276</v>
      </c>
      <c r="EW4" t="s">
        <v>276</v>
      </c>
      <c r="EX4" t="s">
        <v>276</v>
      </c>
      <c r="FA4" t="s">
        <v>276</v>
      </c>
    </row>
    <row r="5" spans="1:210" x14ac:dyDescent="0.35">
      <c r="Y5"/>
      <c r="Z5"/>
      <c r="AA5"/>
      <c r="AB5"/>
      <c r="AX5" s="147" t="s">
        <v>321</v>
      </c>
      <c r="AY5" s="72">
        <f>sdtot</f>
        <v>3.0335586474123493</v>
      </c>
      <c r="AZ5" s="72">
        <v>1.2192188541820606</v>
      </c>
      <c r="BA5" s="72">
        <v>1.2793536840873341</v>
      </c>
      <c r="BB5" s="72">
        <v>1.3692634803077681</v>
      </c>
      <c r="BC5" s="72">
        <v>1.2306378113515326</v>
      </c>
      <c r="BD5" s="72">
        <v>1.2894525120007392</v>
      </c>
      <c r="BE5" s="72">
        <v>1.5564011409205685</v>
      </c>
    </row>
    <row r="6" spans="1:210" x14ac:dyDescent="0.35">
      <c r="A6" t="s">
        <v>1</v>
      </c>
      <c r="B6" s="4">
        <v>2024</v>
      </c>
      <c r="C6" t="s">
        <v>457</v>
      </c>
      <c r="Y6"/>
      <c r="Z6"/>
      <c r="AA6"/>
      <c r="AB6"/>
      <c r="AX6" s="147" t="s">
        <v>310</v>
      </c>
      <c r="AY6" s="76">
        <f>AZ106</f>
        <v>3.5017156234562963</v>
      </c>
      <c r="AZ6" s="76">
        <v>1.5238364334648422</v>
      </c>
      <c r="BA6" s="76">
        <v>1.4069538006929412</v>
      </c>
      <c r="BB6" s="76">
        <v>1.9238238336619449</v>
      </c>
      <c r="BC6" s="76">
        <v>1.595367843775914</v>
      </c>
      <c r="BD6" s="76">
        <v>1.4563924331540488</v>
      </c>
      <c r="BE6" s="76">
        <v>1.3319395066527144</v>
      </c>
      <c r="CV6" t="s">
        <v>237</v>
      </c>
    </row>
    <row r="7" spans="1:210" ht="29" x14ac:dyDescent="0.35">
      <c r="A7" s="9" t="s">
        <v>455</v>
      </c>
      <c r="B7" s="69">
        <v>5.0759999999999996</v>
      </c>
      <c r="C7" s="9" t="s">
        <v>456</v>
      </c>
      <c r="O7" s="89"/>
      <c r="P7" s="204"/>
      <c r="Q7" s="192"/>
      <c r="R7" s="192"/>
      <c r="S7" s="192"/>
      <c r="T7" s="192"/>
      <c r="U7" s="192"/>
      <c r="V7" s="192"/>
      <c r="W7" s="192"/>
      <c r="X7" s="192"/>
      <c r="Y7" s="192"/>
      <c r="Z7" s="192"/>
      <c r="AA7" s="192"/>
      <c r="AB7" s="192"/>
      <c r="AC7" s="192"/>
      <c r="AD7" s="192"/>
      <c r="AE7" s="192"/>
      <c r="AF7" s="192"/>
      <c r="AG7" s="192"/>
      <c r="AH7" s="192"/>
      <c r="AI7" s="196" t="s">
        <v>399</v>
      </c>
      <c r="AJ7" s="193">
        <v>1</v>
      </c>
      <c r="AK7" s="192"/>
      <c r="AL7" s="192"/>
      <c r="AM7" s="192"/>
      <c r="AN7" s="192"/>
      <c r="AO7" s="192"/>
      <c r="AP7" s="192"/>
      <c r="AQ7" s="192"/>
      <c r="AR7" s="192"/>
      <c r="AS7" s="192"/>
      <c r="AT7" s="192"/>
      <c r="AU7" s="192"/>
      <c r="AV7" s="192"/>
      <c r="AX7" s="147" t="s">
        <v>311</v>
      </c>
      <c r="AY7" s="76">
        <f>DC106</f>
        <v>3.8015103698517931</v>
      </c>
      <c r="AZ7" s="76">
        <v>1.3415909352534254</v>
      </c>
      <c r="BA7" s="76">
        <v>1.5822241222570292</v>
      </c>
      <c r="BB7" s="76">
        <v>1.2711337244116134</v>
      </c>
      <c r="BC7" s="76">
        <v>1.2857829117122541</v>
      </c>
      <c r="BD7" s="76">
        <v>1.5216197868516415</v>
      </c>
      <c r="BE7" s="76">
        <v>2.0826765116674815</v>
      </c>
      <c r="FD7" t="s">
        <v>445</v>
      </c>
      <c r="FT7">
        <v>1</v>
      </c>
      <c r="FU7">
        <v>2</v>
      </c>
      <c r="FV7">
        <v>3</v>
      </c>
      <c r="FW7">
        <v>4</v>
      </c>
      <c r="FX7">
        <v>5</v>
      </c>
      <c r="FY7">
        <v>6</v>
      </c>
      <c r="FZ7">
        <v>7</v>
      </c>
      <c r="GA7">
        <v>8</v>
      </c>
    </row>
    <row r="8" spans="1:210" ht="15" thickBot="1" x14ac:dyDescent="0.4">
      <c r="A8" t="s">
        <v>458</v>
      </c>
      <c r="B8" s="4">
        <v>3.2</v>
      </c>
      <c r="C8" t="s">
        <v>459</v>
      </c>
      <c r="O8" s="89"/>
      <c r="P8" s="204"/>
      <c r="Q8" s="192"/>
      <c r="R8" s="192"/>
      <c r="S8" s="192"/>
      <c r="T8" s="192"/>
      <c r="U8" s="192"/>
      <c r="V8" s="192"/>
      <c r="W8" s="192"/>
      <c r="X8" s="192"/>
      <c r="Y8" s="192"/>
      <c r="Z8" s="192"/>
      <c r="AA8" s="192"/>
      <c r="AB8" s="192"/>
      <c r="AC8" s="192"/>
      <c r="AD8" s="192"/>
      <c r="AE8" s="192"/>
      <c r="AF8" s="192"/>
      <c r="AG8" s="192"/>
      <c r="AH8" s="192"/>
      <c r="AI8" s="196" t="s">
        <v>299</v>
      </c>
      <c r="AJ8" s="193">
        <v>0</v>
      </c>
      <c r="AK8" s="192" t="s">
        <v>340</v>
      </c>
      <c r="AL8" s="192"/>
      <c r="AM8" s="192"/>
      <c r="AN8" s="192"/>
      <c r="AO8" s="192" t="s">
        <v>235</v>
      </c>
      <c r="AP8" s="192" t="s">
        <v>235</v>
      </c>
      <c r="AQ8" s="192" t="s">
        <v>235</v>
      </c>
      <c r="AR8" s="192" t="s">
        <v>235</v>
      </c>
      <c r="AS8" s="192" t="s">
        <v>235</v>
      </c>
      <c r="AT8" s="192" t="s">
        <v>235</v>
      </c>
      <c r="AU8" s="192"/>
      <c r="AV8" s="192"/>
      <c r="AX8" s="147" t="s">
        <v>352</v>
      </c>
      <c r="AY8" s="72">
        <f>C107</f>
        <v>0.94548442727635107</v>
      </c>
      <c r="AZ8" s="72">
        <v>0.58098203902533729</v>
      </c>
      <c r="BA8" s="72">
        <v>0.65367069433099401</v>
      </c>
      <c r="BB8" s="72">
        <v>0.5547687330873502</v>
      </c>
      <c r="BC8" s="72">
        <v>0.58734318347863734</v>
      </c>
      <c r="BD8" s="72">
        <v>0.74273659330091124</v>
      </c>
      <c r="BE8" s="72">
        <v>1.0749647588376257</v>
      </c>
      <c r="BH8" t="s">
        <v>12</v>
      </c>
      <c r="FC8" t="s">
        <v>444</v>
      </c>
      <c r="FD8" t="s">
        <v>280</v>
      </c>
      <c r="FP8" t="s">
        <v>435</v>
      </c>
      <c r="FQ8">
        <v>30</v>
      </c>
      <c r="FT8" t="s">
        <v>428</v>
      </c>
      <c r="FU8" t="s">
        <v>428</v>
      </c>
      <c r="FV8" t="s">
        <v>428</v>
      </c>
      <c r="FW8" t="s">
        <v>428</v>
      </c>
      <c r="FX8" t="s">
        <v>428</v>
      </c>
      <c r="FY8" t="s">
        <v>428</v>
      </c>
      <c r="FZ8" t="s">
        <v>428</v>
      </c>
      <c r="GA8" t="s">
        <v>428</v>
      </c>
    </row>
    <row r="9" spans="1:210" ht="72.5" x14ac:dyDescent="0.35">
      <c r="A9" t="s">
        <v>460</v>
      </c>
      <c r="B9">
        <f>B7/B8</f>
        <v>1.5862499999999997</v>
      </c>
      <c r="O9" s="89"/>
      <c r="P9" s="204"/>
      <c r="Y9"/>
      <c r="Z9"/>
      <c r="AA9"/>
      <c r="AB9"/>
      <c r="AD9" t="s">
        <v>293</v>
      </c>
      <c r="AE9" t="s">
        <v>293</v>
      </c>
      <c r="AG9" s="170" t="s">
        <v>353</v>
      </c>
      <c r="AH9" s="171">
        <v>2</v>
      </c>
      <c r="AI9" s="221" t="s">
        <v>229</v>
      </c>
      <c r="AJ9" s="175">
        <v>0.2</v>
      </c>
      <c r="AK9" s="175">
        <f>J87</f>
        <v>6.7433396200422865E-2</v>
      </c>
      <c r="AL9" t="s">
        <v>294</v>
      </c>
      <c r="AO9" t="s">
        <v>234</v>
      </c>
      <c r="AP9" t="s">
        <v>234</v>
      </c>
      <c r="AQ9" t="s">
        <v>234</v>
      </c>
      <c r="AR9" t="s">
        <v>234</v>
      </c>
      <c r="AS9" t="s">
        <v>234</v>
      </c>
      <c r="AT9" s="192" t="s">
        <v>234</v>
      </c>
      <c r="AU9" s="192" t="s">
        <v>288</v>
      </c>
      <c r="AV9" s="192"/>
      <c r="AW9" s="179">
        <f>STDEV(AT14:AT79)</f>
        <v>1.0000000000000004</v>
      </c>
      <c r="AX9" s="148" t="s">
        <v>312</v>
      </c>
      <c r="AY9" s="72">
        <f>(ndatatot)*(LN(AY5))</f>
        <v>13.316836817553932</v>
      </c>
      <c r="AZ9" s="72">
        <v>2.3785244426261447</v>
      </c>
      <c r="BA9" s="72">
        <v>2.9562601932299968</v>
      </c>
      <c r="BB9" s="72">
        <v>3.7712758759626412</v>
      </c>
      <c r="BC9" s="72">
        <v>2.4903909696019042</v>
      </c>
      <c r="BD9" s="72">
        <v>3.0506126278165242</v>
      </c>
      <c r="BE9" s="72">
        <v>5.308514342147852</v>
      </c>
      <c r="BF9" t="s">
        <v>112</v>
      </c>
      <c r="BG9" t="s">
        <v>25</v>
      </c>
      <c r="BH9" t="s">
        <v>92</v>
      </c>
      <c r="BI9" t="s">
        <v>238</v>
      </c>
      <c r="BJ9" t="s">
        <v>89</v>
      </c>
      <c r="BK9" t="s">
        <v>252</v>
      </c>
      <c r="BL9" t="s">
        <v>274</v>
      </c>
      <c r="FC9" t="s">
        <v>235</v>
      </c>
      <c r="FD9" s="26">
        <f>covariates!V83</f>
        <v>-1.3323808742620749</v>
      </c>
      <c r="FE9" s="26"/>
      <c r="FK9" s="9"/>
      <c r="FL9" s="9"/>
      <c r="FM9" s="9"/>
      <c r="FN9" s="9"/>
      <c r="FO9" s="9"/>
      <c r="FP9" s="9" t="s">
        <v>335</v>
      </c>
      <c r="FQ9" s="9" t="s">
        <v>341</v>
      </c>
      <c r="FR9" s="9"/>
      <c r="FT9" s="9" t="s">
        <v>335</v>
      </c>
      <c r="FU9" s="9" t="s">
        <v>341</v>
      </c>
      <c r="FV9" s="9"/>
      <c r="FX9" s="9" t="s">
        <v>335</v>
      </c>
      <c r="FY9" s="9" t="s">
        <v>341</v>
      </c>
      <c r="GS9" s="9" t="s">
        <v>287</v>
      </c>
      <c r="GT9" s="48" t="s">
        <v>12</v>
      </c>
      <c r="GU9" s="48" t="s">
        <v>287</v>
      </c>
      <c r="GV9" s="48" t="s">
        <v>357</v>
      </c>
      <c r="GZ9" s="9" t="s">
        <v>406</v>
      </c>
      <c r="HA9" s="4">
        <v>4000</v>
      </c>
      <c r="HB9" s="4">
        <v>4000</v>
      </c>
    </row>
    <row r="10" spans="1:210" ht="97.15" customHeight="1" x14ac:dyDescent="0.35">
      <c r="A10" t="s">
        <v>461</v>
      </c>
      <c r="B10">
        <v>5</v>
      </c>
      <c r="C10" t="s">
        <v>462</v>
      </c>
      <c r="D10" s="9"/>
      <c r="E10" s="9"/>
      <c r="F10" s="9"/>
      <c r="G10" s="9"/>
      <c r="H10" s="9"/>
      <c r="I10" s="9"/>
      <c r="J10" s="9"/>
      <c r="K10" s="9"/>
      <c r="L10" s="9" t="s">
        <v>447</v>
      </c>
      <c r="M10" s="9" t="s">
        <v>448</v>
      </c>
      <c r="N10" s="33" t="s">
        <v>411</v>
      </c>
      <c r="O10" s="202" t="s">
        <v>379</v>
      </c>
      <c r="P10" s="205" t="s">
        <v>380</v>
      </c>
      <c r="Q10" s="9" t="s">
        <v>383</v>
      </c>
      <c r="R10" s="9" t="s">
        <v>381</v>
      </c>
      <c r="S10" s="9" t="s">
        <v>382</v>
      </c>
      <c r="T10" s="9" t="s">
        <v>385</v>
      </c>
      <c r="U10" s="9" t="s">
        <v>377</v>
      </c>
      <c r="V10" s="9" t="s">
        <v>378</v>
      </c>
      <c r="W10" s="9" t="s">
        <v>384</v>
      </c>
      <c r="X10" s="9" t="s">
        <v>386</v>
      </c>
      <c r="Y10" s="9" t="s">
        <v>387</v>
      </c>
      <c r="Z10" s="9" t="s">
        <v>368</v>
      </c>
      <c r="AA10" s="9" t="s">
        <v>369</v>
      </c>
      <c r="AB10" s="9" t="s">
        <v>389</v>
      </c>
      <c r="AC10" s="9" t="s">
        <v>390</v>
      </c>
      <c r="AD10" s="9" t="s">
        <v>391</v>
      </c>
      <c r="AE10" s="9" t="s">
        <v>300</v>
      </c>
      <c r="AF10" s="9" t="s">
        <v>301</v>
      </c>
      <c r="AG10" s="9" t="s">
        <v>376</v>
      </c>
      <c r="AH10" s="144" t="s">
        <v>270</v>
      </c>
      <c r="AI10" s="173">
        <v>1</v>
      </c>
      <c r="AJ10" s="137" t="s">
        <v>319</v>
      </c>
      <c r="AK10" s="33" t="s">
        <v>411</v>
      </c>
      <c r="AL10" s="33" t="s">
        <v>358</v>
      </c>
      <c r="AM10" s="9" t="s">
        <v>338</v>
      </c>
      <c r="AN10" s="33" t="s">
        <v>392</v>
      </c>
      <c r="AO10" s="33" t="s">
        <v>393</v>
      </c>
      <c r="AP10" s="9" t="s">
        <v>233</v>
      </c>
      <c r="AQ10" s="9" t="s">
        <v>30</v>
      </c>
      <c r="AR10" s="9" t="s">
        <v>188</v>
      </c>
      <c r="AS10" s="9" t="s">
        <v>89</v>
      </c>
      <c r="AT10" s="194" t="s">
        <v>187</v>
      </c>
      <c r="AU10" s="194" t="s">
        <v>157</v>
      </c>
      <c r="AV10" s="194"/>
      <c r="AW10" s="9" t="s">
        <v>295</v>
      </c>
      <c r="AX10" s="147" t="s">
        <v>313</v>
      </c>
      <c r="AY10" s="76">
        <v>1</v>
      </c>
      <c r="AZ10" s="76">
        <v>0.75068351310138404</v>
      </c>
      <c r="BA10" s="76">
        <v>1</v>
      </c>
      <c r="BB10" s="76">
        <v>1</v>
      </c>
      <c r="BC10" s="76">
        <v>1</v>
      </c>
      <c r="BD10" s="76">
        <v>1</v>
      </c>
      <c r="BE10" s="76">
        <v>1</v>
      </c>
      <c r="BF10">
        <v>1.57210763749064</v>
      </c>
      <c r="BG10">
        <v>-0.80443879261949802</v>
      </c>
      <c r="BH10">
        <v>-0.76427767733057295</v>
      </c>
      <c r="BI10">
        <v>-0.203463090501696</v>
      </c>
      <c r="BJ10" s="165">
        <v>-4.0196900368913699E-2</v>
      </c>
      <c r="BN10" t="s">
        <v>244</v>
      </c>
      <c r="BO10" s="4">
        <v>2</v>
      </c>
      <c r="CS10" s="9" t="s">
        <v>289</v>
      </c>
      <c r="CU10" s="9" t="s">
        <v>296</v>
      </c>
      <c r="CV10" s="131">
        <f>AVERAGE(CV41:CV52)</f>
        <v>2.3476197943425983</v>
      </c>
      <c r="CW10" s="9"/>
      <c r="CX10" s="9"/>
      <c r="CZ10" t="s">
        <v>270</v>
      </c>
      <c r="DA10">
        <f>SSLcontrol</f>
        <v>1</v>
      </c>
      <c r="DN10" t="s">
        <v>112</v>
      </c>
      <c r="DO10" t="s">
        <v>25</v>
      </c>
      <c r="DP10" t="s">
        <v>92</v>
      </c>
      <c r="DQ10" t="s">
        <v>238</v>
      </c>
      <c r="DR10" t="s">
        <v>89</v>
      </c>
      <c r="DS10" t="s">
        <v>94</v>
      </c>
      <c r="DU10" s="9" t="s">
        <v>297</v>
      </c>
      <c r="DV10" s="26">
        <f>AVERAGE(DT36:DT52)</f>
        <v>1.7805751443364519</v>
      </c>
      <c r="EV10" t="s">
        <v>270</v>
      </c>
      <c r="EW10">
        <f>SSLcontrol</f>
        <v>1</v>
      </c>
      <c r="FC10" t="s">
        <v>430</v>
      </c>
      <c r="FD10" s="26">
        <f>thompSSLz</f>
        <v>-1.6257326156697292</v>
      </c>
      <c r="FE10" s="26"/>
      <c r="FM10" s="9" t="s">
        <v>334</v>
      </c>
      <c r="FN10" s="9"/>
      <c r="FO10" s="9" t="s">
        <v>436</v>
      </c>
      <c r="FP10" s="156">
        <f>AVERAGE(FP14:FP79)</f>
        <v>28.301476053261954</v>
      </c>
      <c r="FQ10" s="157">
        <f>AVERAGE(FI14:FI79)</f>
        <v>0.13942361711348342</v>
      </c>
      <c r="FR10" s="9" t="s">
        <v>419</v>
      </c>
      <c r="FS10" s="9" t="str">
        <f>FO10</f>
        <v>long-term avg eaten per SSL/yr</v>
      </c>
      <c r="FT10" s="72">
        <f>AVERAGE(FZ41:FZ81)</f>
        <v>0.13018921011226597</v>
      </c>
      <c r="FU10" s="1">
        <f>AVERAGE($FX$41:$FX$81)</f>
        <v>0.42370272774549228</v>
      </c>
      <c r="FV10" s="9" t="s">
        <v>420</v>
      </c>
      <c r="FW10" s="9" t="str">
        <f>FS10</f>
        <v>long-term avg eaten per SSL/yr</v>
      </c>
      <c r="FX10" s="72">
        <f>AVERAGE($GJ$36:$GJ$80)</f>
        <v>0.13744125055476666</v>
      </c>
      <c r="FY10" s="1">
        <f>AVERAGE($GH$36:$GH$80)</f>
        <v>0.39365970799918548</v>
      </c>
      <c r="GS10" s="167">
        <v>0</v>
      </c>
      <c r="GT10" s="46"/>
      <c r="GU10" s="167">
        <v>0</v>
      </c>
      <c r="GV10" s="46">
        <v>0</v>
      </c>
      <c r="GW10" s="6">
        <f>GV10/$GV$28</f>
        <v>0</v>
      </c>
      <c r="GZ10" t="s">
        <v>407</v>
      </c>
      <c r="HA10" s="4">
        <v>34000</v>
      </c>
      <c r="HB10" s="4">
        <v>78000</v>
      </c>
    </row>
    <row r="11" spans="1:210" x14ac:dyDescent="0.35">
      <c r="A11" t="s">
        <v>463</v>
      </c>
      <c r="B11">
        <f>B10*B9</f>
        <v>7.9312499999999986</v>
      </c>
      <c r="L11" s="136">
        <f>AVERAGE(CL89:CL103)</f>
        <v>415.27919984745614</v>
      </c>
      <c r="M11" s="136">
        <f>AVERAGE(EP89:EP113)</f>
        <v>233.77194734601227</v>
      </c>
      <c r="N11" s="178">
        <f>AVERAGE($I54:$I86)</f>
        <v>325849.62718562211</v>
      </c>
      <c r="O11" s="203">
        <f>AVERAGE(BO41:BO53)</f>
        <v>2.1961394518430333</v>
      </c>
      <c r="P11" s="206">
        <f>AVERAGE(BO54:BO81)</f>
        <v>1.0040449813726995</v>
      </c>
      <c r="Q11" s="176">
        <f>AVERAGE(BO104)</f>
        <v>0.70534238386420578</v>
      </c>
      <c r="R11" s="176">
        <f>AVERAGE(DT36:DT53)</f>
        <v>1.7471410005894223</v>
      </c>
      <c r="S11" s="176">
        <f>AVERAGE(DT54:DT80)</f>
        <v>0.42124539003938616</v>
      </c>
      <c r="T11" s="176">
        <f>DY104</f>
        <v>0.11617906224428368</v>
      </c>
      <c r="U11" s="177">
        <f>AVERAGE(K14:K53)</f>
        <v>1.1742467168853987</v>
      </c>
      <c r="V11" s="177">
        <f>AVERAGE(K54:K79)</f>
        <v>0.82681233850501445</v>
      </c>
      <c r="W11" s="176"/>
      <c r="X11" s="136">
        <f>AVERAGE($BA$41:$BA$53)</f>
        <v>1737.5384615384614</v>
      </c>
      <c r="Y11" s="136">
        <f>AVERAGE($DE$36:$DE$53)</f>
        <v>1221.0555555555557</v>
      </c>
      <c r="Z11" s="136">
        <f>AVERAGE($CO$54:$CO$87)</f>
        <v>2589.2160341931917</v>
      </c>
      <c r="AA11" s="136">
        <f>AVERAGE($ES$54:$ES$87)</f>
        <v>1453.4361152901038</v>
      </c>
      <c r="AB11" s="175">
        <f>J87</f>
        <v>6.7433396200422865E-2</v>
      </c>
      <c r="AC11" s="136">
        <f>AVERAGE(BI74:BI81)*1000</f>
        <v>284.5</v>
      </c>
      <c r="AD11" s="136">
        <f>AVERAGE(DM74:DM80)*1000</f>
        <v>102.14285714285717</v>
      </c>
      <c r="AE11" s="136">
        <f>CO88</f>
        <v>3109.8213900859387</v>
      </c>
      <c r="AF11" s="136">
        <f>ES88</f>
        <v>1521.4919544905149</v>
      </c>
      <c r="AG11" s="136">
        <f>FP10</f>
        <v>28.301476053261954</v>
      </c>
      <c r="AH11" s="91" t="s">
        <v>275</v>
      </c>
      <c r="AI11" s="174">
        <f>AJ11</f>
        <v>0.69</v>
      </c>
      <c r="AJ11" s="4">
        <v>0.69</v>
      </c>
      <c r="AK11" s="178">
        <f>AVERAGE($AO54:$AO86)</f>
        <v>521876.20998894185</v>
      </c>
      <c r="AL11" s="178">
        <f>AVERAGE($AO87:$AO103)</f>
        <v>504060.11003579921</v>
      </c>
      <c r="AM11" s="207">
        <f>AVERAGE(AP80:AP87)</f>
        <v>1537554.2067299269</v>
      </c>
      <c r="AN11" s="168">
        <f>AVERAGE(CO89:CO103)</f>
        <v>2380.3808439962854</v>
      </c>
      <c r="AO11" s="168">
        <f>AVERAGE(ES89:ES103)</f>
        <v>1436.1624102639762</v>
      </c>
      <c r="AP11" s="181">
        <f>'SR + catch data Murdoch_age var'!FQ21</f>
        <v>1.0373786284325202</v>
      </c>
      <c r="AQ11" s="146">
        <v>-4.9513662262647796E-7</v>
      </c>
      <c r="AR11" s="44">
        <v>9.2948001569691518E-2</v>
      </c>
      <c r="AS11" s="44">
        <v>0.10261762608871264</v>
      </c>
      <c r="AT11" s="195">
        <v>-0.1059507537257921</v>
      </c>
      <c r="AU11" s="195">
        <v>-0.22424628491210302</v>
      </c>
      <c r="AV11" s="195"/>
      <c r="AW11" s="72">
        <f>AVERAGE(AU14:AU53)</f>
        <v>1.1742467168853987</v>
      </c>
      <c r="AX11" s="147" t="s">
        <v>325</v>
      </c>
      <c r="AY11" s="72">
        <f>2*AY9+2*AY3</f>
        <v>28.633673635107865</v>
      </c>
      <c r="AZ11" s="72">
        <v>8.7570488852522885</v>
      </c>
      <c r="BA11" s="72">
        <v>9.9125203864599936</v>
      </c>
      <c r="BB11" s="72">
        <v>9.5425517519252825</v>
      </c>
      <c r="BC11" s="72">
        <v>6.9807819392038084</v>
      </c>
      <c r="BD11" s="72">
        <v>8.1012252556330484</v>
      </c>
      <c r="BE11" s="72">
        <v>12.617028684295704</v>
      </c>
      <c r="DN11">
        <v>1.0536089791710099</v>
      </c>
      <c r="DO11">
        <v>-1.02246763112984</v>
      </c>
      <c r="DP11">
        <v>-0.792741194696856</v>
      </c>
      <c r="DQ11">
        <v>-0.127949278428235</v>
      </c>
      <c r="DR11">
        <v>0.152526044726356</v>
      </c>
      <c r="DS11">
        <v>0.202708011377457</v>
      </c>
      <c r="FC11" t="s">
        <v>431</v>
      </c>
      <c r="FD11" s="26">
        <f>chilcotSSLz</f>
        <v>-1.5172046626699072</v>
      </c>
      <c r="FE11" s="26"/>
      <c r="FM11" s="9"/>
      <c r="FN11" s="9"/>
      <c r="FO11" s="9" t="s">
        <v>336</v>
      </c>
      <c r="FP11" s="156">
        <f>MIN(FM14:FM79)</f>
        <v>1.2406115470058179</v>
      </c>
      <c r="FQ11" s="157">
        <f>MIN(FI14:FI79)</f>
        <v>0.11041125726870697</v>
      </c>
      <c r="FR11" s="9"/>
      <c r="FS11" t="s">
        <v>437</v>
      </c>
      <c r="FT11" s="72">
        <f>MIN(FZ41:FZ81)</f>
        <v>1.9007406789338634E-2</v>
      </c>
      <c r="FU11" s="1">
        <f>MIN($FX$41:$FX$81)</f>
        <v>0.42370272774549178</v>
      </c>
      <c r="FV11" s="9"/>
      <c r="FW11" t="s">
        <v>437</v>
      </c>
      <c r="FX11" s="72">
        <f>MIN($GJ$36:$GJ$80)</f>
        <v>6.0548114529395423E-2</v>
      </c>
      <c r="FY11" s="1">
        <f>MIN($GH$36:$GH$80)</f>
        <v>0.33385968150399925</v>
      </c>
      <c r="GB11">
        <v>1</v>
      </c>
      <c r="GC11">
        <v>2</v>
      </c>
      <c r="GE11">
        <v>3</v>
      </c>
      <c r="GF11">
        <v>4</v>
      </c>
      <c r="GH11">
        <v>5</v>
      </c>
      <c r="GI11">
        <v>6</v>
      </c>
      <c r="GJ11">
        <v>7</v>
      </c>
      <c r="GK11">
        <v>8</v>
      </c>
      <c r="GS11" s="167">
        <v>4</v>
      </c>
      <c r="GT11" s="46"/>
      <c r="GU11" s="167">
        <v>0</v>
      </c>
      <c r="GV11" s="46">
        <v>2</v>
      </c>
      <c r="GW11" s="6">
        <f>SUM($GV$10:GV11)/$GV$28</f>
        <v>3.0303030303030304E-2</v>
      </c>
      <c r="GZ11" t="s">
        <v>408</v>
      </c>
      <c r="HA11" s="92">
        <f>HA10/HA9</f>
        <v>8.5</v>
      </c>
      <c r="HB11" s="92">
        <f>HB10/HB9</f>
        <v>19.5</v>
      </c>
    </row>
    <row r="12" spans="1:210" ht="15" thickBot="1" x14ac:dyDescent="0.4">
      <c r="A12" t="s">
        <v>464</v>
      </c>
      <c r="B12">
        <v>10</v>
      </c>
      <c r="C12" t="s">
        <v>465</v>
      </c>
      <c r="J12" t="s">
        <v>172</v>
      </c>
      <c r="K12" t="s">
        <v>190</v>
      </c>
      <c r="L12" t="s">
        <v>190</v>
      </c>
      <c r="M12" t="s">
        <v>190</v>
      </c>
      <c r="N12" t="s">
        <v>190</v>
      </c>
      <c r="O12" s="89"/>
      <c r="P12" s="211" t="s">
        <v>412</v>
      </c>
      <c r="Q12" s="176">
        <f>CM81</f>
        <v>1.2232298368205297E-2</v>
      </c>
      <c r="R12" s="212" t="s">
        <v>413</v>
      </c>
      <c r="S12" s="176">
        <f>EE80</f>
        <v>1.8766336221867335E-2</v>
      </c>
      <c r="T12" t="s">
        <v>220</v>
      </c>
      <c r="Y12" t="s">
        <v>217</v>
      </c>
      <c r="Z12"/>
      <c r="AA12"/>
      <c r="AB12"/>
      <c r="AD12" s="208" t="s">
        <v>397</v>
      </c>
      <c r="AE12" s="176">
        <f>AVERAGE(CN89:CN103)</f>
        <v>0.14854424119339299</v>
      </c>
      <c r="AF12" s="208" t="s">
        <v>398</v>
      </c>
      <c r="AG12" s="176">
        <f>AVERAGE(ER89:ER103)</f>
        <v>0.15417658182324964</v>
      </c>
      <c r="AH12" t="s">
        <v>394</v>
      </c>
      <c r="AI12" s="175">
        <f>byrate*Uapply</f>
        <v>0.13799999999999998</v>
      </c>
      <c r="AJ12" s="142" t="s">
        <v>305</v>
      </c>
      <c r="AK12" s="142" t="s">
        <v>306</v>
      </c>
      <c r="AL12" s="142" t="s">
        <v>307</v>
      </c>
      <c r="AM12" s="143">
        <f>AVERAGE(B83:B87)</f>
        <v>1.0345281697842186</v>
      </c>
      <c r="AN12" s="143">
        <f>AVERAGE((AY86:AY88))</f>
        <v>8.1554676069203538</v>
      </c>
      <c r="AO12" s="143">
        <f>AVERAGE((DD86:DD88))</f>
        <v>10.058337971628822</v>
      </c>
      <c r="AP12" s="142" t="s">
        <v>308</v>
      </c>
      <c r="AQ12" s="143">
        <f>AVERAGE(AN12:AO12)</f>
        <v>9.1069027892745886</v>
      </c>
      <c r="AR12" s="223" t="s">
        <v>395</v>
      </c>
      <c r="AS12" s="222">
        <f>SLOPE(CO89:CO103,CA89:CA103)/AVERAGE(CO89:CO103)</f>
        <v>1.4315832464027972E-3</v>
      </c>
      <c r="AT12" s="224" t="s">
        <v>396</v>
      </c>
      <c r="AU12" s="225">
        <f>SLOPE(ES89:ES103,FB89:FB103)/AVERAGE(ES89:ES103)</f>
        <v>-4.7429428789174475E-3</v>
      </c>
      <c r="AV12" s="225"/>
      <c r="AX12" s="147" t="s">
        <v>326</v>
      </c>
      <c r="AZ12" s="113">
        <f>AZ11-MIN($AZ$11:$BE$11)</f>
        <v>1.7762669460484801</v>
      </c>
      <c r="BA12" s="113">
        <f t="shared" ref="BA12:BD12" si="0">BA11-MIN($AZ$11:$BE$11)</f>
        <v>2.9317384472561852</v>
      </c>
      <c r="BB12" s="113">
        <f t="shared" si="0"/>
        <v>2.5617698127214741</v>
      </c>
      <c r="BC12" s="113">
        <f t="shared" si="0"/>
        <v>0</v>
      </c>
      <c r="BD12" s="113">
        <f t="shared" si="0"/>
        <v>1.12044331642924</v>
      </c>
      <c r="BE12" s="113">
        <f>BE11-MIN($AZ$11:$BE$11)</f>
        <v>5.6362467450918956</v>
      </c>
      <c r="CS12" t="s">
        <v>269</v>
      </c>
      <c r="CT12" t="s">
        <v>269</v>
      </c>
      <c r="CV12" t="s">
        <v>269</v>
      </c>
      <c r="DA12" t="s">
        <v>235</v>
      </c>
      <c r="DB12" t="s">
        <v>235</v>
      </c>
      <c r="FM12" s="9"/>
      <c r="FN12" s="9"/>
      <c r="FO12" s="9" t="s">
        <v>337</v>
      </c>
      <c r="FP12" s="156">
        <f>MAX(FM14:FM79)</f>
        <v>68.969529578579525</v>
      </c>
      <c r="FQ12" s="157">
        <f>MAX(FI14:FI79)</f>
        <v>0.29337580489279491</v>
      </c>
      <c r="FR12" s="9"/>
      <c r="FS12" t="s">
        <v>438</v>
      </c>
      <c r="FT12" s="72">
        <f>MAX(FZ41:FZ81)</f>
        <v>0.34249858709523523</v>
      </c>
      <c r="FU12" s="1">
        <f>MAX($FX$41:$FX$81)</f>
        <v>0.42370272774549206</v>
      </c>
      <c r="FV12" s="9"/>
      <c r="FW12" t="s">
        <v>438</v>
      </c>
      <c r="FX12" s="72">
        <f>MAX($GJ$36:$GJ$80)</f>
        <v>0.20132263477773427</v>
      </c>
      <c r="FY12" s="1">
        <f>MAX($GH$36:$GH$80)</f>
        <v>0.39798804775917185</v>
      </c>
      <c r="GB12" s="19" t="s">
        <v>276</v>
      </c>
      <c r="GC12" s="19" t="s">
        <v>276</v>
      </c>
      <c r="GD12" s="19"/>
      <c r="GE12" s="19" t="s">
        <v>276</v>
      </c>
      <c r="GF12" s="19" t="s">
        <v>276</v>
      </c>
      <c r="GG12" s="19"/>
      <c r="GH12" s="19" t="s">
        <v>276</v>
      </c>
      <c r="GI12" s="19" t="s">
        <v>276</v>
      </c>
      <c r="GJ12" s="19" t="s">
        <v>276</v>
      </c>
      <c r="GK12" s="19" t="s">
        <v>276</v>
      </c>
      <c r="GS12" s="167">
        <v>8</v>
      </c>
      <c r="GT12" s="46"/>
      <c r="GU12" s="167">
        <v>4</v>
      </c>
      <c r="GV12" s="46">
        <v>6</v>
      </c>
      <c r="GW12" s="6">
        <f>SUM($GV$10:GV12)/$GV$28</f>
        <v>0.12121212121212122</v>
      </c>
    </row>
    <row r="13" spans="1:210" ht="150" customHeight="1" x14ac:dyDescent="0.5">
      <c r="A13" s="9" t="s">
        <v>1</v>
      </c>
      <c r="B13" s="9" t="s">
        <v>339</v>
      </c>
      <c r="C13" s="9" t="s">
        <v>330</v>
      </c>
      <c r="D13" s="9" t="s">
        <v>328</v>
      </c>
      <c r="E13" s="9" t="s">
        <v>207</v>
      </c>
      <c r="F13" s="9" t="s">
        <v>470</v>
      </c>
      <c r="G13" s="9" t="s">
        <v>88</v>
      </c>
      <c r="H13" s="9" t="s">
        <v>88</v>
      </c>
      <c r="I13" s="9" t="s">
        <v>32</v>
      </c>
      <c r="J13" s="64" t="s">
        <v>250</v>
      </c>
      <c r="K13" s="9" t="str">
        <f>'SR + catch data Murdoch_age var'!CU2</f>
        <v>alpha(y) (Spawn, SSL_Control, PDO adult, PDO smolt, NPGO)</v>
      </c>
      <c r="L13" s="9" t="str">
        <f>'SR + catch data Murdoch_age var'!CV2</f>
        <v>10 yr moving average</v>
      </c>
      <c r="M13" s="9" t="str">
        <f>'SR + catch data Murdoch_age var'!CW2</f>
        <v>Recruits  (Spawn, SSLC, smolt SST, PDO, NPGO)</v>
      </c>
      <c r="N13" s="9" t="s">
        <v>208</v>
      </c>
      <c r="O13" s="9" t="s">
        <v>1</v>
      </c>
      <c r="P13" s="69" t="s">
        <v>209</v>
      </c>
      <c r="Q13" s="69" t="s">
        <v>210</v>
      </c>
      <c r="R13" s="69" t="s">
        <v>211</v>
      </c>
      <c r="S13" s="70" t="s">
        <v>212</v>
      </c>
      <c r="T13" s="69" t="s">
        <v>213</v>
      </c>
      <c r="U13" s="69" t="s">
        <v>214</v>
      </c>
      <c r="V13" s="69" t="s">
        <v>215</v>
      </c>
      <c r="W13" s="69" t="s">
        <v>216</v>
      </c>
      <c r="X13" s="73" t="s">
        <v>72</v>
      </c>
      <c r="Y13" s="71" t="s">
        <v>213</v>
      </c>
      <c r="Z13" s="71" t="s">
        <v>214</v>
      </c>
      <c r="AA13" s="71" t="s">
        <v>215</v>
      </c>
      <c r="AB13" s="71" t="s">
        <v>216</v>
      </c>
      <c r="AC13" s="69" t="s">
        <v>218</v>
      </c>
      <c r="AD13" s="69" t="s">
        <v>225</v>
      </c>
      <c r="AE13" s="71" t="s">
        <v>226</v>
      </c>
      <c r="AF13" s="71" t="s">
        <v>227</v>
      </c>
      <c r="AG13" s="71" t="s">
        <v>228</v>
      </c>
      <c r="AH13" s="71" t="s">
        <v>1</v>
      </c>
      <c r="AI13" s="77" t="s">
        <v>401</v>
      </c>
      <c r="AJ13" s="71" t="s">
        <v>213</v>
      </c>
      <c r="AK13" s="71" t="s">
        <v>214</v>
      </c>
      <c r="AL13" s="71" t="s">
        <v>215</v>
      </c>
      <c r="AM13" s="71" t="s">
        <v>216</v>
      </c>
      <c r="AN13" s="227" t="s">
        <v>232</v>
      </c>
      <c r="AO13" s="226" t="s">
        <v>279</v>
      </c>
      <c r="AP13" s="153" t="s">
        <v>329</v>
      </c>
      <c r="AQ13" s="71" t="s">
        <v>230</v>
      </c>
      <c r="AR13" s="71" t="s">
        <v>89</v>
      </c>
      <c r="AS13" s="71" t="s">
        <v>231</v>
      </c>
      <c r="AT13" s="71" t="s">
        <v>290</v>
      </c>
      <c r="AU13" s="9" t="s">
        <v>468</v>
      </c>
      <c r="AV13" s="9" t="s">
        <v>471</v>
      </c>
      <c r="AW13" s="33" t="s">
        <v>181</v>
      </c>
      <c r="AX13" s="33"/>
      <c r="AY13" s="33" t="s">
        <v>304</v>
      </c>
      <c r="AZ13" s="138" t="s">
        <v>314</v>
      </c>
      <c r="BA13" s="217" t="s">
        <v>302</v>
      </c>
      <c r="BB13" s="71" t="s">
        <v>1</v>
      </c>
      <c r="BC13" s="4" t="s">
        <v>239</v>
      </c>
      <c r="BD13" s="4" t="s">
        <v>240</v>
      </c>
      <c r="BE13" s="4" t="s">
        <v>241</v>
      </c>
      <c r="BF13" s="4" t="s">
        <v>242</v>
      </c>
      <c r="BG13" s="4" t="s">
        <v>243</v>
      </c>
      <c r="BH13" s="4" t="s">
        <v>222</v>
      </c>
      <c r="BI13" s="4" t="s">
        <v>223</v>
      </c>
      <c r="BJ13" s="4" t="s">
        <v>134</v>
      </c>
      <c r="BK13" t="s">
        <v>222</v>
      </c>
      <c r="BL13" s="118" t="s">
        <v>267</v>
      </c>
      <c r="BM13" s="56" t="s">
        <v>238</v>
      </c>
      <c r="BN13" t="s">
        <v>89</v>
      </c>
      <c r="BO13" s="30" t="s">
        <v>273</v>
      </c>
      <c r="BP13" s="9" t="s">
        <v>255</v>
      </c>
      <c r="BQ13" s="9" t="s">
        <v>208</v>
      </c>
      <c r="BR13" s="198" t="s">
        <v>245</v>
      </c>
      <c r="BS13" s="197" t="s">
        <v>246</v>
      </c>
      <c r="BT13" s="9" t="s">
        <v>247</v>
      </c>
      <c r="BU13" s="9" t="s">
        <v>251</v>
      </c>
      <c r="BV13" s="9" t="s">
        <v>251</v>
      </c>
      <c r="BW13" s="9" t="s">
        <v>248</v>
      </c>
      <c r="BX13" s="9" t="s">
        <v>249</v>
      </c>
      <c r="BY13" s="9" t="s">
        <v>253</v>
      </c>
      <c r="BZ13" s="9" t="s">
        <v>254</v>
      </c>
      <c r="CA13" s="9" t="s">
        <v>72</v>
      </c>
      <c r="CB13" s="30" t="s">
        <v>402</v>
      </c>
      <c r="CC13" s="9" t="s">
        <v>256</v>
      </c>
      <c r="CD13" s="9" t="s">
        <v>257</v>
      </c>
      <c r="CE13" s="9" t="s">
        <v>258</v>
      </c>
      <c r="CF13" s="9" t="s">
        <v>259</v>
      </c>
      <c r="CG13" s="9" t="s">
        <v>260</v>
      </c>
      <c r="CH13" s="9" t="s">
        <v>232</v>
      </c>
      <c r="CI13" s="198" t="s">
        <v>245</v>
      </c>
      <c r="CJ13" s="197" t="s">
        <v>246</v>
      </c>
      <c r="CK13" s="9" t="s">
        <v>261</v>
      </c>
      <c r="CL13" s="9" t="s">
        <v>262</v>
      </c>
      <c r="CM13" s="9" t="s">
        <v>414</v>
      </c>
      <c r="CN13" s="102" t="s">
        <v>263</v>
      </c>
      <c r="CO13" s="134" t="s">
        <v>266</v>
      </c>
      <c r="CP13" s="33" t="s">
        <v>130</v>
      </c>
      <c r="CQ13" s="21" t="s">
        <v>264</v>
      </c>
      <c r="CR13" s="9" t="s">
        <v>62</v>
      </c>
      <c r="CS13" s="9" t="s">
        <v>268</v>
      </c>
      <c r="CT13" s="9" t="s">
        <v>238</v>
      </c>
      <c r="CU13" s="9" t="s">
        <v>89</v>
      </c>
      <c r="CV13" s="102" t="s">
        <v>467</v>
      </c>
      <c r="CW13" s="9" t="str">
        <f t="shared" ref="CW13:CZ14" si="1">AQ13</f>
        <v>pdo_adult</v>
      </c>
      <c r="CX13" s="9" t="str">
        <f t="shared" si="1"/>
        <v>NPGO</v>
      </c>
      <c r="CY13" s="9" t="str">
        <f t="shared" si="1"/>
        <v>pdo_smolt</v>
      </c>
      <c r="CZ13" s="9" t="str">
        <f t="shared" si="1"/>
        <v>SSL_abundance</v>
      </c>
      <c r="DA13" s="102" t="s">
        <v>272</v>
      </c>
      <c r="DB13" s="9" t="s">
        <v>271</v>
      </c>
      <c r="DC13" s="138" t="s">
        <v>314</v>
      </c>
      <c r="DD13" t="s">
        <v>304</v>
      </c>
      <c r="DE13" s="218" t="s">
        <v>303</v>
      </c>
      <c r="DF13" s="9" t="s">
        <v>1</v>
      </c>
      <c r="DG13" s="9" t="str">
        <f>BC13</f>
        <v>P4</v>
      </c>
      <c r="DH13" s="9" t="str">
        <f>BD13</f>
        <v>P5</v>
      </c>
      <c r="DI13" s="9" t="str">
        <f>BE13</f>
        <v>P6</v>
      </c>
      <c r="DJ13" s="9" t="str">
        <f>BF13</f>
        <v>P7</v>
      </c>
      <c r="DK13" s="9" t="str">
        <f>BG13</f>
        <v>P8</v>
      </c>
      <c r="DL13" t="s">
        <v>222</v>
      </c>
      <c r="DM13" s="9" t="s">
        <v>223</v>
      </c>
      <c r="DN13" s="9" t="s">
        <v>134</v>
      </c>
      <c r="DO13" s="9" t="str">
        <f>BK13</f>
        <v>St</v>
      </c>
      <c r="DP13" s="9" t="str">
        <f>BL13</f>
        <v>SeaLions - actual</v>
      </c>
      <c r="DQ13" s="9" t="str">
        <f>BM13</f>
        <v>SST</v>
      </c>
      <c r="DR13" t="s">
        <v>89</v>
      </c>
      <c r="DS13" t="s">
        <v>94</v>
      </c>
      <c r="DT13" s="21" t="s">
        <v>469</v>
      </c>
      <c r="DU13" s="9" t="str">
        <f t="shared" ref="DU13:ED13" si="2">BP13</f>
        <v>RecruitSHTH(y)</v>
      </c>
      <c r="DV13" s="9" t="str">
        <f t="shared" si="2"/>
        <v>ln(Robs/Rpred)</v>
      </c>
      <c r="DW13" s="198" t="str">
        <f t="shared" si="2"/>
        <v>Mortalities in terminal FN fisheries</v>
      </c>
      <c r="DX13" s="197" t="str">
        <f t="shared" si="2"/>
        <v>Mortalities in sport</v>
      </c>
      <c r="DY13" s="9" t="str">
        <f t="shared" si="2"/>
        <v>Ut in salmon bycatch</v>
      </c>
      <c r="DZ13" s="9" t="str">
        <f t="shared" si="2"/>
        <v>Ushth</v>
      </c>
      <c r="EA13" s="9" t="str">
        <f t="shared" si="2"/>
        <v>Ushth</v>
      </c>
      <c r="EB13" s="9" t="str">
        <f t="shared" si="2"/>
        <v>Predicted bycatch</v>
      </c>
      <c r="EC13" s="9" t="str">
        <f t="shared" si="2"/>
        <v>Prefishery N</v>
      </c>
      <c r="ED13" s="9" t="str">
        <f t="shared" si="2"/>
        <v>Uchum grid</v>
      </c>
      <c r="EE13" s="9" t="s">
        <v>414</v>
      </c>
      <c r="EF13" s="9" t="str">
        <f t="shared" ref="EF13:EN13" si="3">CA13</f>
        <v>Brood year</v>
      </c>
      <c r="EG13" s="133" t="str">
        <f t="shared" si="3"/>
        <v>SH mortality rate in commercial fishery</v>
      </c>
      <c r="EH13" s="9" t="str">
        <f t="shared" si="3"/>
        <v>N4</v>
      </c>
      <c r="EI13" s="9" t="str">
        <f t="shared" si="3"/>
        <v>N5</v>
      </c>
      <c r="EJ13" s="9" t="str">
        <f t="shared" si="3"/>
        <v>N6</v>
      </c>
      <c r="EK13" s="9" t="str">
        <f t="shared" si="3"/>
        <v>N7</v>
      </c>
      <c r="EL13" s="9" t="str">
        <f t="shared" si="3"/>
        <v>N8</v>
      </c>
      <c r="EM13" s="9" t="str">
        <f t="shared" si="3"/>
        <v>total stock</v>
      </c>
      <c r="EN13" s="198" t="str">
        <f t="shared" si="3"/>
        <v>Mortalities in terminal FN fisheries</v>
      </c>
      <c r="EO13" s="197" t="str">
        <f t="shared" ref="EO13" si="4">CJ13</f>
        <v>Mortalities in sport</v>
      </c>
      <c r="EP13" s="9" t="str">
        <f t="shared" ref="EP13" si="5">CK13</f>
        <v>Bycatch in chum fishery</v>
      </c>
      <c r="EQ13" s="9" t="str">
        <f t="shared" ref="EQ13" si="6">CL13</f>
        <v>Total catch</v>
      </c>
      <c r="ER13" s="102" t="str">
        <f t="shared" ref="ER13" si="7">CN13</f>
        <v>total fishing mortality rate</v>
      </c>
      <c r="ES13" s="134" t="s">
        <v>277</v>
      </c>
      <c r="ET13" s="9" t="str">
        <f t="shared" ref="ET13" si="8">CP13</f>
        <v>alpha(y)</v>
      </c>
      <c r="EU13" s="9" t="str">
        <f t="shared" ref="EU13" si="9">CQ13</f>
        <v>Recruits/1000(y)</v>
      </c>
      <c r="EV13" s="9" t="str">
        <f t="shared" ref="EV13" si="10">CR13</f>
        <v>Recruits</v>
      </c>
      <c r="EW13" s="9" t="str">
        <f t="shared" ref="EW13" si="11">CS13</f>
        <v>Sea Lions - controls continued</v>
      </c>
      <c r="EX13" s="9" t="str">
        <f>DQ13</f>
        <v>SST</v>
      </c>
      <c r="EY13" s="9" t="str">
        <f>DR13</f>
        <v>NPGO</v>
      </c>
      <c r="EZ13" s="9" t="str">
        <f>DS13</f>
        <v>PDO</v>
      </c>
      <c r="FA13" s="9" t="s">
        <v>278</v>
      </c>
      <c r="FB13" s="9" t="s">
        <v>1</v>
      </c>
      <c r="FC13" s="9" t="s">
        <v>265</v>
      </c>
      <c r="FD13" s="9" t="s">
        <v>285</v>
      </c>
      <c r="FE13" s="33" t="s">
        <v>482</v>
      </c>
      <c r="FF13" s="9" t="s">
        <v>475</v>
      </c>
      <c r="FG13" s="9" t="s">
        <v>374</v>
      </c>
      <c r="FH13" s="9" t="s">
        <v>454</v>
      </c>
      <c r="FI13" s="9" t="s">
        <v>373</v>
      </c>
      <c r="FJ13" s="9" t="s">
        <v>372</v>
      </c>
      <c r="FK13" s="233" t="s">
        <v>286</v>
      </c>
      <c r="FL13" s="9" t="s">
        <v>439</v>
      </c>
      <c r="FM13" s="9" t="s">
        <v>371</v>
      </c>
      <c r="FN13" s="9" t="s">
        <v>440</v>
      </c>
      <c r="FO13" s="9" t="s">
        <v>388</v>
      </c>
      <c r="FP13" s="9" t="s">
        <v>375</v>
      </c>
      <c r="FQ13" s="9" t="s">
        <v>318</v>
      </c>
      <c r="FR13" s="233" t="s">
        <v>370</v>
      </c>
      <c r="FS13" s="9" t="s">
        <v>1</v>
      </c>
      <c r="FT13" s="33" t="s">
        <v>479</v>
      </c>
      <c r="FU13" s="30" t="s">
        <v>449</v>
      </c>
      <c r="FV13" s="233" t="s">
        <v>476</v>
      </c>
      <c r="FW13" s="9" t="s">
        <v>481</v>
      </c>
      <c r="FX13" s="9" t="s">
        <v>441</v>
      </c>
      <c r="FY13" s="9" t="s">
        <v>286</v>
      </c>
      <c r="FZ13" s="9" t="s">
        <v>453</v>
      </c>
      <c r="GA13" s="9" t="s">
        <v>434</v>
      </c>
      <c r="GB13" s="33" t="s">
        <v>478</v>
      </c>
      <c r="GC13" s="30" t="s">
        <v>450</v>
      </c>
      <c r="GD13" s="9" t="s">
        <v>450</v>
      </c>
      <c r="GE13" s="233" t="s">
        <v>477</v>
      </c>
      <c r="GF13" s="9" t="s">
        <v>480</v>
      </c>
      <c r="GG13" s="9" t="s">
        <v>451</v>
      </c>
      <c r="GH13" s="9" t="s">
        <v>442</v>
      </c>
      <c r="GI13" s="9" t="s">
        <v>443</v>
      </c>
      <c r="GJ13" s="9" t="s">
        <v>452</v>
      </c>
      <c r="GK13" s="9" t="s">
        <v>434</v>
      </c>
      <c r="GL13" s="9" t="s">
        <v>474</v>
      </c>
      <c r="GN13" s="9" t="str">
        <f>FM13</f>
        <v>chums killed per predator</v>
      </c>
      <c r="GO13" s="48" t="s">
        <v>287</v>
      </c>
      <c r="GP13" s="48" t="s">
        <v>357</v>
      </c>
      <c r="GS13" s="167">
        <v>12</v>
      </c>
      <c r="GT13" s="46"/>
      <c r="GU13" s="167">
        <v>8</v>
      </c>
      <c r="GV13" s="46">
        <v>8</v>
      </c>
      <c r="GW13" s="6">
        <f>SUM($GV$10:GV13)/$GV$28</f>
        <v>0.24242424242424243</v>
      </c>
      <c r="GY13" t="s">
        <v>1</v>
      </c>
      <c r="GZ13" s="9" t="s">
        <v>403</v>
      </c>
      <c r="HA13" s="9" t="s">
        <v>404</v>
      </c>
      <c r="HB13" s="9" t="s">
        <v>405</v>
      </c>
    </row>
    <row r="14" spans="1:210" x14ac:dyDescent="0.35">
      <c r="A14">
        <v>1951</v>
      </c>
      <c r="D14" s="80">
        <f>'SR + catch data Murdoch_age var'!C3</f>
        <v>171725</v>
      </c>
      <c r="E14" s="80">
        <f>'SR + catch data Murdoch_age var'!E3</f>
        <v>457007.21211789281</v>
      </c>
      <c r="F14" s="231">
        <f>LN(E14/D14)</f>
        <v>0.97880481210932424</v>
      </c>
      <c r="G14" s="80">
        <f>'SR + catch data Murdoch_age var'!D3</f>
        <v>1187739</v>
      </c>
      <c r="H14" s="80">
        <f>'Orig data'!Q5</f>
        <v>1187739</v>
      </c>
      <c r="I14" s="80">
        <f>G14-D14</f>
        <v>1016014</v>
      </c>
      <c r="J14" s="150">
        <f>I14/G14</f>
        <v>0.85541857259886223</v>
      </c>
      <c r="K14" s="83">
        <f>'SR + catch data Murdoch_age var'!CM3</f>
        <v>0.79338251571153884</v>
      </c>
      <c r="L14" s="83">
        <f>'SR + catch data Murdoch_age var'!CN3</f>
        <v>1.1484773547398874</v>
      </c>
      <c r="M14" s="84">
        <f>'SR + catch data Murdoch_age var'!CO3</f>
        <v>348713.10634828266</v>
      </c>
      <c r="N14" s="81">
        <f>LN(E14/M14)</f>
        <v>0.27044963291831742</v>
      </c>
      <c r="O14" s="82">
        <f>A14</f>
        <v>1951</v>
      </c>
      <c r="P14" s="81">
        <f>P$88</f>
        <v>0.10741516534518507</v>
      </c>
      <c r="Q14" s="81">
        <f t="shared" ref="Q14:S29" si="12">Q$88</f>
        <v>0.75930233821489568</v>
      </c>
      <c r="R14" s="81">
        <f t="shared" si="12"/>
        <v>0.13183604264117066</v>
      </c>
      <c r="S14" s="85">
        <f t="shared" si="12"/>
        <v>1.4464537987485602E-3</v>
      </c>
      <c r="T14" s="80">
        <f>$G14*P14</f>
        <v>127581.18107192477</v>
      </c>
      <c r="U14" s="80">
        <f t="shared" ref="U14:W14" si="13">$G14*Q14</f>
        <v>901852.99988902197</v>
      </c>
      <c r="V14" s="80">
        <f t="shared" si="13"/>
        <v>156586.80945058141</v>
      </c>
      <c r="W14" s="80">
        <f t="shared" si="13"/>
        <v>1718.0095884718162</v>
      </c>
      <c r="X14" s="86">
        <f>A14</f>
        <v>1951</v>
      </c>
      <c r="Y14" s="87">
        <f>$G14*$P14</f>
        <v>127581.18107192477</v>
      </c>
      <c r="Z14" s="87">
        <f>$G14*Q14</f>
        <v>901852.99988902197</v>
      </c>
      <c r="AA14" s="87">
        <f>$G14*R14</f>
        <v>156586.80945058141</v>
      </c>
      <c r="AB14" s="87">
        <f>$G14*S14</f>
        <v>1718.0095884718162</v>
      </c>
      <c r="AC14" s="80">
        <f>SUM(Y14:AB14)</f>
        <v>1187739</v>
      </c>
      <c r="AD14" s="84">
        <f>G14-AC14</f>
        <v>0</v>
      </c>
      <c r="AE14" s="80">
        <f>I14</f>
        <v>1016014</v>
      </c>
      <c r="AF14" s="72">
        <f>AE14/AC14</f>
        <v>0.85541857259886223</v>
      </c>
      <c r="AG14" s="26">
        <f>AF14-J14</f>
        <v>0</v>
      </c>
      <c r="AH14" s="61">
        <f t="shared" ref="AH14:AH45" si="14">X14</f>
        <v>1951</v>
      </c>
      <c r="AI14" s="26">
        <f t="shared" ref="AI14:AI53" si="15">AF14</f>
        <v>0.85541857259886223</v>
      </c>
      <c r="AJ14" s="61">
        <f>Y14</f>
        <v>127581.18107192477</v>
      </c>
      <c r="AK14" s="61">
        <f t="shared" ref="AK14:AM19" si="16">Z14</f>
        <v>901852.99988902197</v>
      </c>
      <c r="AL14" s="61">
        <f t="shared" si="16"/>
        <v>156586.80945058141</v>
      </c>
      <c r="AM14" s="61">
        <f t="shared" si="16"/>
        <v>1718.0095884718162</v>
      </c>
      <c r="AN14" s="79">
        <f>SUM(AJ14:AM14)</f>
        <v>1187739</v>
      </c>
      <c r="AO14" s="80">
        <f>AN14*AI14</f>
        <v>1016014</v>
      </c>
      <c r="AP14" s="80">
        <f>AN14-AO14</f>
        <v>171725</v>
      </c>
      <c r="AQ14" s="81" cm="1">
        <f t="array" ref="AQ14:AQ79">'SR + catch data Murdoch_age var'!AC3:AC68</f>
        <v>-2.2405166393895652</v>
      </c>
      <c r="AR14" s="81" cm="1">
        <f t="array" ref="AR14:AR79">'SR + catch data Murdoch_age var'!V3:V68</f>
        <v>-1.0984670611522276</v>
      </c>
      <c r="AS14" s="81">
        <f>'SR + catch data Murdoch_age var'!N3</f>
        <v>-1.1840628881527986</v>
      </c>
      <c r="AT14" s="121">
        <f>'SR + catch data Murdoch_age var'!BR3</f>
        <v>0.21616787065846596</v>
      </c>
      <c r="AU14" s="122">
        <f>$AP$11+SUMPRODUCT($AR$11:$AU$11,$AQ14:$AT14)</f>
        <v>0.79338251571153884</v>
      </c>
      <c r="AV14" s="122">
        <f>$AP$11+SUMPRODUCT($AR$11:$AU$11,$AQ14:$AT14)+$AQ$11*$D14</f>
        <v>0.70835517919100688</v>
      </c>
      <c r="AW14" s="80">
        <f t="shared" ref="AW14:AW45" si="17">IF(SSLcontrol=0,AP14*EXP(AU14+$AQ$11*AP14)*EXP(N14),AP14*EXP(DA14+$AQ$11*AP14)*EXP(N14))</f>
        <v>457007.21211789281</v>
      </c>
      <c r="AX14" s="80"/>
      <c r="AY14" s="141" t="e">
        <f>(CO14-BA14)/BA14</f>
        <v>#N/A</v>
      </c>
      <c r="AZ14" s="141"/>
      <c r="BA14" s="84" t="e">
        <f>BH14*1000</f>
        <v>#N/A</v>
      </c>
      <c r="BB14" s="101">
        <v>1951</v>
      </c>
      <c r="BC14" s="72">
        <v>3.5750695088044487E-2</v>
      </c>
      <c r="BD14" s="72">
        <v>0.8358758109360519</v>
      </c>
      <c r="BE14" s="72">
        <v>0.11956904541241889</v>
      </c>
      <c r="BF14" s="72">
        <v>8.3410565338276187E-3</v>
      </c>
      <c r="BG14" s="72">
        <v>4.6339202965708991E-4</v>
      </c>
      <c r="BH14" s="78" t="e">
        <f>-NA()</f>
        <v>#N/A</v>
      </c>
      <c r="BI14" s="78" t="e">
        <f>-NA()</f>
        <v>#N/A</v>
      </c>
      <c r="BJ14" s="78" t="e">
        <f>-NA()</f>
        <v>#N/A</v>
      </c>
      <c r="BK14" s="78" t="e">
        <f>-NA()</f>
        <v>#N/A</v>
      </c>
      <c r="BL14" s="78" t="e">
        <f>-NA()</f>
        <v>#N/A</v>
      </c>
      <c r="BM14" s="56" t="e">
        <f>-NA()</f>
        <v>#N/A</v>
      </c>
      <c r="BN14" s="78" t="e">
        <f>NA()</f>
        <v>#N/A</v>
      </c>
      <c r="BO14" s="78" t="e">
        <f>$BF$10+SUMPRODUCT($BH$10:$BI$10,BL14:BM14)</f>
        <v>#N/A</v>
      </c>
      <c r="BP14" s="78" t="e">
        <v>#N/A</v>
      </c>
      <c r="BQ14" s="78" t="e">
        <f t="shared" ref="BQ14:BQ40" si="18">LN(BP14/BI14)</f>
        <v>#N/A</v>
      </c>
      <c r="BR14" s="199" t="e">
        <f>-NA()</f>
        <v>#N/A</v>
      </c>
      <c r="BS14" s="78" t="e">
        <f t="shared" ref="BS14:BS40" si="19">$BF$10+SUMPRODUCT($BH$10:$BI$10,BO14:BR14)</f>
        <v>#N/A</v>
      </c>
      <c r="BT14" s="78" t="e">
        <f t="shared" ref="BT14:BT40" si="20">$BF$10+SUMPRODUCT($BH$10:$BI$10,BR14:BS14)</f>
        <v>#N/A</v>
      </c>
      <c r="BU14" s="78" t="e">
        <f t="shared" ref="BU14:BU40" si="21">$BF$10+SUMPRODUCT($BH$10:$BI$10,BS14:BT14)</f>
        <v>#N/A</v>
      </c>
      <c r="BV14" s="78" t="e">
        <f>BU14</f>
        <v>#N/A</v>
      </c>
      <c r="BW14" s="78" t="e">
        <f t="shared" ref="BW14:BW40" si="22">$BF$10+SUMPRODUCT($BH$10:$BI$10,BS14:BT14)</f>
        <v>#N/A</v>
      </c>
      <c r="BX14" s="78" t="e">
        <f t="shared" ref="BX14:BX40" si="23">$BF$10+SUMPRODUCT($BH$10:$BI$10,BT14:BW14)</f>
        <v>#N/A</v>
      </c>
      <c r="BY14" s="78" t="e">
        <f t="shared" ref="BY14:CE14" si="24">$BF$10+SUMPRODUCT($BH$10:$BI$10,BW14:BX14)</f>
        <v>#N/A</v>
      </c>
      <c r="BZ14" s="78" t="e">
        <f t="shared" si="24"/>
        <v>#N/A</v>
      </c>
      <c r="CA14" s="78">
        <v>1951</v>
      </c>
      <c r="CB14" s="78" t="e">
        <f t="shared" ref="CB14:CB40" si="25">$BF$10+SUMPRODUCT($BH$10:$BI$10,BY14:BZ14)</f>
        <v>#N/A</v>
      </c>
      <c r="CC14" s="78" t="e">
        <f t="shared" ref="CC14:CC40" si="26">$BF$10+SUMPRODUCT($BH$10:$BI$10,BZ14:CB14)</f>
        <v>#N/A</v>
      </c>
      <c r="CD14" s="78" t="e">
        <f t="shared" si="24"/>
        <v>#N/A</v>
      </c>
      <c r="CE14" s="78" t="e">
        <f t="shared" si="24"/>
        <v>#N/A</v>
      </c>
      <c r="CF14" s="78" t="e">
        <f t="shared" ref="CF14:CF40" si="27">$BF$10+SUMPRODUCT($BH$10:$BI$10,CD14:CE14)</f>
        <v>#N/A</v>
      </c>
      <c r="CG14" s="78" t="e">
        <f t="shared" ref="CG14:CG40" si="28">$BF$10+SUMPRODUCT($BH$10:$BI$10,CE14:CF14)</f>
        <v>#N/A</v>
      </c>
      <c r="CH14" s="78" t="e">
        <f t="shared" ref="CH14:CH40" si="29">$BF$10+SUMPRODUCT($BH$10:$BI$10,CF14:CG14)</f>
        <v>#N/A</v>
      </c>
      <c r="CI14" s="199" t="e">
        <f t="shared" ref="CI14:CI40" si="30">$BF$10+SUMPRODUCT($BH$10:$BI$10,CG14:CH14)</f>
        <v>#N/A</v>
      </c>
      <c r="CJ14" s="78" t="e">
        <f t="shared" ref="CJ14:CJ40" si="31">$BF$10+SUMPRODUCT($BH$10:$BI$10,CH14:CI14)</f>
        <v>#N/A</v>
      </c>
      <c r="CK14" s="78" t="e">
        <f t="shared" ref="CK14:CK40" si="32">$BF$10+SUMPRODUCT($BH$10:$BI$10,CI14:CJ14)</f>
        <v>#N/A</v>
      </c>
      <c r="CL14" s="78" t="e">
        <f t="shared" ref="CL14:CL40" si="33">$BF$10+SUMPRODUCT($BH$10:$BI$10,CJ14:CK14)</f>
        <v>#N/A</v>
      </c>
      <c r="CM14" s="78"/>
      <c r="CN14" s="180" t="e">
        <f t="shared" ref="CN14:CN40" si="34">$BF$10+SUMPRODUCT($BH$10:$BI$10,CK14:CL14)</f>
        <v>#N/A</v>
      </c>
      <c r="CO14" s="78" t="e">
        <f t="shared" ref="CO14:CO40" si="35">$BF$10+SUMPRODUCT($BH$10:$BI$10,CL14:CN14)</f>
        <v>#N/A</v>
      </c>
      <c r="CP14" s="78" t="e">
        <f>$BF$10+SUMPRODUCT($BH$10:$BI$10,CN14:CO14)</f>
        <v>#N/A</v>
      </c>
      <c r="CQ14" s="96" t="e">
        <f t="shared" ref="CQ14:CQ40" si="36">IF(SSLcontrol=0,$CO14/1000*EXP($CP14+$BG$10*$CO14/1000+$BQ14),$CO14/1000*EXP($DA14+$BG$10*$CO14/1000+$BQ14))</f>
        <v>#N/A</v>
      </c>
      <c r="CR14" s="78" t="e">
        <f>CQ14</f>
        <v>#N/A</v>
      </c>
      <c r="CS14" s="61" t="e">
        <f>BO14</f>
        <v>#N/A</v>
      </c>
      <c r="CT14" s="61" t="e">
        <f>BM14</f>
        <v>#N/A</v>
      </c>
      <c r="CU14" s="61" t="e">
        <f>NA()</f>
        <v>#N/A</v>
      </c>
      <c r="CV14" s="104" t="e">
        <f>$BF$10+SUMPRODUCT($BH$10:$BI$10,CS14:CT14)</f>
        <v>#N/A</v>
      </c>
      <c r="CW14" s="105">
        <f t="shared" si="1"/>
        <v>-2.2405166393895652</v>
      </c>
      <c r="CX14" s="105">
        <f t="shared" si="1"/>
        <v>-1.0984670611522276</v>
      </c>
      <c r="CY14" s="105">
        <f t="shared" si="1"/>
        <v>-1.1840628881527986</v>
      </c>
      <c r="CZ14" s="123">
        <f t="shared" si="1"/>
        <v>0.21616787065846596</v>
      </c>
      <c r="DA14" s="81">
        <f>$AP$11+SUMPRODUCT($AR$11:$AU$11,CW14:CZ14)</f>
        <v>0.79338251571153884</v>
      </c>
      <c r="DB14" s="9">
        <f t="shared" ref="DB14" si="37">AW14</f>
        <v>457007.21211789281</v>
      </c>
      <c r="DD14" s="1" t="e">
        <f>(ES14-DE14)/DE14</f>
        <v>#N/A</v>
      </c>
      <c r="DE14" s="126" t="e">
        <f>DL14*1000</f>
        <v>#N/A</v>
      </c>
      <c r="DF14" s="61">
        <v>1951</v>
      </c>
      <c r="DG14" s="26">
        <v>7.6142131979695434E-3</v>
      </c>
      <c r="DH14" s="26">
        <v>0.29512169725367693</v>
      </c>
      <c r="DI14" s="26">
        <v>0.6060236886632826</v>
      </c>
      <c r="DJ14" s="26">
        <v>8.8702329819081091E-2</v>
      </c>
      <c r="DK14" s="26">
        <v>2.5380710659898475E-3</v>
      </c>
      <c r="DL14" t="e">
        <f>NA()</f>
        <v>#N/A</v>
      </c>
      <c r="DM14" t="e">
        <f>NA()</f>
        <v>#N/A</v>
      </c>
      <c r="DN14" t="e">
        <f>NA()</f>
        <v>#N/A</v>
      </c>
      <c r="DO14" s="61" t="e">
        <f>DL14</f>
        <v>#N/A</v>
      </c>
      <c r="DP14" s="61" t="e">
        <f t="shared" ref="DP14:DQ14" si="38">DM14</f>
        <v>#N/A</v>
      </c>
      <c r="DQ14" s="61" t="e">
        <f t="shared" si="38"/>
        <v>#N/A</v>
      </c>
      <c r="DR14" s="61" t="e">
        <f>NA()</f>
        <v>#N/A</v>
      </c>
      <c r="DS14" s="61" t="e">
        <f>NA()</f>
        <v>#N/A</v>
      </c>
      <c r="DT14" s="113" t="e">
        <f t="shared" ref="DT14:DT35" si="39">$DN$11+$DP$11*DP14</f>
        <v>#N/A</v>
      </c>
      <c r="DU14" s="76" t="e">
        <f t="shared" ref="DU14:DU45" si="40">DO14*EXP(DT14+$DO$11*DO14)</f>
        <v>#N/A</v>
      </c>
      <c r="DV14" s="72" t="e">
        <f>LN(DM14/DU14)</f>
        <v>#N/A</v>
      </c>
      <c r="DW14" s="201" t="e">
        <f>LN(DN14/DV14)</f>
        <v>#N/A</v>
      </c>
      <c r="DX14" s="72" t="e">
        <f>LN(DO14/DW14)</f>
        <v>#N/A</v>
      </c>
      <c r="DY14" s="72" t="e">
        <f>LN(DP14/DX14)</f>
        <v>#N/A</v>
      </c>
      <c r="DZ14" s="72" t="e">
        <f t="shared" ref="DZ14" si="41">LN(DQ14/DY14)</f>
        <v>#N/A</v>
      </c>
      <c r="EA14" s="72" t="e">
        <f t="shared" ref="EA14" si="42">LN(DT14/DZ14)</f>
        <v>#N/A</v>
      </c>
      <c r="EB14" s="72" t="e">
        <f t="shared" ref="EB14" si="43">LN(DU14/EA14)</f>
        <v>#N/A</v>
      </c>
      <c r="EC14" s="72" t="e">
        <f t="shared" ref="EC14" si="44">LN(DV14/EB14)</f>
        <v>#N/A</v>
      </c>
      <c r="ED14" s="72" t="e">
        <f t="shared" ref="ED14" si="45">LN(DW14/EC14)</f>
        <v>#N/A</v>
      </c>
      <c r="EE14" s="72"/>
      <c r="EF14">
        <v>1951</v>
      </c>
      <c r="EG14" s="72" t="e">
        <f>DZ14</f>
        <v>#N/A</v>
      </c>
      <c r="EH14" t="e">
        <f>NA()</f>
        <v>#N/A</v>
      </c>
      <c r="EI14" t="e">
        <f>NA()</f>
        <v>#N/A</v>
      </c>
      <c r="EJ14" t="e">
        <f>NA()</f>
        <v>#N/A</v>
      </c>
      <c r="EK14" t="e">
        <f>NA()</f>
        <v>#N/A</v>
      </c>
      <c r="EL14" t="e">
        <f>NA()</f>
        <v>#N/A</v>
      </c>
      <c r="EM14" t="e">
        <f>NA()</f>
        <v>#N/A</v>
      </c>
      <c r="EN14" s="199" t="e">
        <f>NA()</f>
        <v>#N/A</v>
      </c>
      <c r="EO14" t="e">
        <f>NA()</f>
        <v>#N/A</v>
      </c>
      <c r="EP14" t="e">
        <f>NA()</f>
        <v>#N/A</v>
      </c>
      <c r="EQ14" t="e">
        <f>NA()</f>
        <v>#N/A</v>
      </c>
      <c r="ER14" s="180" t="e">
        <f>NA()</f>
        <v>#N/A</v>
      </c>
      <c r="ES14" t="e">
        <f>NA()</f>
        <v>#N/A</v>
      </c>
      <c r="ET14" t="e">
        <f>NA()</f>
        <v>#N/A</v>
      </c>
      <c r="EU14" t="e">
        <f>NA()</f>
        <v>#N/A</v>
      </c>
      <c r="EV14" t="e">
        <f>NA()</f>
        <v>#N/A</v>
      </c>
      <c r="EW14" s="61" t="e">
        <f>DP14</f>
        <v>#N/A</v>
      </c>
      <c r="EX14" s="9" t="e">
        <f t="shared" ref="EX14:EX35" si="46">DQ14</f>
        <v>#N/A</v>
      </c>
      <c r="EY14" s="9" t="e">
        <f t="shared" ref="EY14:EY35" si="47">DR14</f>
        <v>#N/A</v>
      </c>
      <c r="EZ14" s="9" t="e">
        <f t="shared" ref="EZ14:EZ35" si="48">DS14</f>
        <v>#N/A</v>
      </c>
      <c r="FA14" s="72" t="e">
        <f t="shared" ref="FA14:FA35" si="49">$DN$11+$DP$11*EW14</f>
        <v>#N/A</v>
      </c>
      <c r="FB14">
        <v>1951</v>
      </c>
      <c r="FC14" s="116">
        <f>AP14</f>
        <v>171725</v>
      </c>
      <c r="FD14" s="116">
        <f>$FC14*EXP($AP$11+$AQ$11*$FC14+$AR$11*$AQ14+$AS$11*$AR14+$AT$11*$AS14+$AU$11*SSLz)</f>
        <v>493491.60241446015</v>
      </c>
      <c r="FE14" s="116">
        <f>MAX(AN14,H14)</f>
        <v>1187739</v>
      </c>
      <c r="FF14" s="116">
        <f>$FC14*EXP($AP$11+$AQ$11*$FC14+$AR$11*$AQ14+$AS$11*$AR14+$AT$11*$AS14+$AU$11*$CZ14)</f>
        <v>348713.10634828277</v>
      </c>
      <c r="FG14" s="5">
        <f>FD14-FF14</f>
        <v>144778.49606617738</v>
      </c>
      <c r="FH14" s="5" t="e">
        <f>NA()</f>
        <v>#N/A</v>
      </c>
      <c r="FI14" s="155">
        <f>FG14/FD14</f>
        <v>0.29337580489279491</v>
      </c>
      <c r="FJ14" s="117">
        <f>100*FI14</f>
        <v>29.337580489279492</v>
      </c>
      <c r="FK14" s="61">
        <f t="shared" ref="FK14:FK45" si="50">CZ14*SSLsd+SSLavg</f>
        <v>18698.969720039091</v>
      </c>
      <c r="FL14" s="61">
        <f>FD14/FK14</f>
        <v>26.391379300732325</v>
      </c>
      <c r="FM14" s="92">
        <f>FG14/FK14</f>
        <v>7.7425921445833925</v>
      </c>
      <c r="FN14" s="72">
        <f>FI14</f>
        <v>0.29337580489279491</v>
      </c>
      <c r="FO14" s="179">
        <f t="shared" ref="FO14:FO45" si="51">FM14/rundays</f>
        <v>0.25808640481944639</v>
      </c>
      <c r="FP14" s="92">
        <f>AVERAGE($FM$14:FM14)</f>
        <v>7.7425921445833925</v>
      </c>
      <c r="FQ14" s="4" t="e">
        <f>NA()</f>
        <v>#N/A</v>
      </c>
      <c r="FR14" s="26">
        <f>FK14/MIN($FK$14:$FK$79)</f>
        <v>2.9681038134579381</v>
      </c>
      <c r="FS14">
        <f t="shared" ref="FS14:FS45" si="52">FB14</f>
        <v>1951</v>
      </c>
      <c r="FT14" s="5" t="e">
        <f t="shared" ref="FT14:FT40" si="53">BA14</f>
        <v>#N/A</v>
      </c>
      <c r="FU14" s="213" t="e">
        <f t="shared" ref="FU14:FU45" si="54">$FT14*EXP($BF$10+$BG$10*$FT14/1000+$BI$10*$CT14+$BH$10*$FD$10)</f>
        <v>#N/A</v>
      </c>
      <c r="FV14" s="213" t="e">
        <f>$FT14*EXP($BF$10+$BG$10*$FT14/1000+$BI$10*$CT14+$BH$10*$CS14)</f>
        <v>#N/A</v>
      </c>
      <c r="FW14" s="5" t="e">
        <f>FU14-FV14</f>
        <v>#N/A</v>
      </c>
      <c r="FX14" t="e">
        <f>FW14/FU14</f>
        <v>#N/A</v>
      </c>
      <c r="FY14" t="e">
        <f t="shared" ref="FY14:FY45" si="55">BL14*SSLsdTH+sslavgTH</f>
        <v>#N/A</v>
      </c>
      <c r="FZ14" t="e">
        <f>FW14/FY14</f>
        <v>#N/A</v>
      </c>
      <c r="GA14" t="e">
        <f t="shared" ref="GA14:GA45" si="56">FZ14/rundays</f>
        <v>#N/A</v>
      </c>
      <c r="GB14" s="61" t="e">
        <f>ES14</f>
        <v>#N/A</v>
      </c>
      <c r="GC14" s="61" t="e">
        <f t="shared" ref="GC14:GC35" si="57">$GB14*EXP($DN$11+$DO$11*$GB14/1000+$DQ$11*$CT14+$DR$11*$DR14+$DS$11*$DS14+$DP$11*$FD$11)</f>
        <v>#N/A</v>
      </c>
      <c r="GD14" s="61" t="e">
        <f>NA()</f>
        <v>#N/A</v>
      </c>
      <c r="GE14" s="61" t="e">
        <f>$GB14*EXP($DN$11+$DO$11*$GB14/1000+$DQ$11*$CT14+$DR$11*$DR14+$DS$11*$DS14+$DP$11*$EW14)</f>
        <v>#N/A</v>
      </c>
      <c r="GF14" s="61" t="e">
        <f>GC14-GE14</f>
        <v>#N/A</v>
      </c>
      <c r="GG14" s="61" t="e">
        <f>NA()</f>
        <v>#N/A</v>
      </c>
      <c r="GH14" s="6" t="e">
        <f>GF14/GC14</f>
        <v>#N/A</v>
      </c>
      <c r="GI14" t="e">
        <f t="shared" ref="GI14:GI45" si="58">EW14*SSLsdCH+SSLavgCH</f>
        <v>#N/A</v>
      </c>
      <c r="GJ14" s="26" t="e">
        <f>GF14/GI14</f>
        <v>#N/A</v>
      </c>
      <c r="GK14" t="e">
        <f t="shared" ref="GK14:GK45" si="59">GJ14/rundays</f>
        <v>#N/A</v>
      </c>
      <c r="GL14" s="232">
        <f>FK14/MIN($FK$14:$FK$78)</f>
        <v>2.9681038134579381</v>
      </c>
      <c r="GN14">
        <v>0</v>
      </c>
      <c r="GO14" s="167">
        <v>0</v>
      </c>
      <c r="GP14" s="46">
        <v>0</v>
      </c>
      <c r="GS14" s="167">
        <v>16</v>
      </c>
      <c r="GT14" s="46"/>
      <c r="GU14" s="167">
        <v>12</v>
      </c>
      <c r="GV14" s="46">
        <v>4</v>
      </c>
      <c r="GW14" s="6">
        <f>SUM($GV$10:GV14)/$GV$28</f>
        <v>0.30303030303030304</v>
      </c>
      <c r="GY14">
        <v>1951</v>
      </c>
      <c r="GZ14" s="112">
        <f t="shared" ref="GZ14:GZ45" si="60">AU14</f>
        <v>0.79338251571153884</v>
      </c>
      <c r="HA14" s="26" t="e">
        <f t="shared" ref="HA14:HA45" si="61">DT14</f>
        <v>#N/A</v>
      </c>
      <c r="HB14" s="26" t="e">
        <f t="shared" ref="HB14:HB45" si="62">CV14</f>
        <v>#N/A</v>
      </c>
    </row>
    <row r="15" spans="1:210" x14ac:dyDescent="0.35">
      <c r="A15">
        <v>1952</v>
      </c>
      <c r="D15" s="80">
        <f>'SR + catch data Murdoch_age var'!C4</f>
        <v>176250</v>
      </c>
      <c r="E15" s="80">
        <f>'SR + catch data Murdoch_age var'!E4</f>
        <v>298716.92108672787</v>
      </c>
      <c r="F15" s="231">
        <f t="shared" ref="F15:F78" si="63">LN(E15/D15)</f>
        <v>0.52759293102705396</v>
      </c>
      <c r="G15" s="80">
        <f>'SR + catch data Murdoch_age var'!D4</f>
        <v>927000</v>
      </c>
      <c r="H15" s="80">
        <f>'Orig data'!Q6</f>
        <v>927000</v>
      </c>
      <c r="I15" s="80">
        <f t="shared" ref="I15:I78" si="64">G15-D15</f>
        <v>750750</v>
      </c>
      <c r="J15" s="150">
        <f t="shared" ref="J15:J78" si="65">I15/G15</f>
        <v>0.80987055016181231</v>
      </c>
      <c r="K15" s="83">
        <f>'SR + catch data Murdoch_age var'!CM4</f>
        <v>1.0155748033370082</v>
      </c>
      <c r="L15" s="83">
        <f>'SR + catch data Murdoch_age var'!CN4</f>
        <v>1.1484773547398874</v>
      </c>
      <c r="M15" s="84">
        <f>'SR + catch data Murdoch_age var'!CO4</f>
        <v>445951.59524594119</v>
      </c>
      <c r="N15" s="81">
        <f t="shared" ref="N15:N78" si="66">LN(E15/M15)</f>
        <v>-0.40071404257203747</v>
      </c>
      <c r="O15" s="82">
        <f t="shared" ref="O15:O80" si="67">A15</f>
        <v>1952</v>
      </c>
      <c r="P15" s="81">
        <f t="shared" ref="P15:S46" si="68">P$88</f>
        <v>0.10741516534518507</v>
      </c>
      <c r="Q15" s="81">
        <f t="shared" si="12"/>
        <v>0.75930233821489568</v>
      </c>
      <c r="R15" s="81">
        <f t="shared" si="12"/>
        <v>0.13183604264117066</v>
      </c>
      <c r="S15" s="85">
        <f t="shared" si="12"/>
        <v>1.4464537987485602E-3</v>
      </c>
      <c r="T15" s="80">
        <f t="shared" ref="T15:T16" si="69">$G15*P15</f>
        <v>99573.85827498656</v>
      </c>
      <c r="U15" s="80">
        <f t="shared" ref="U15:U16" si="70">$G15*Q15</f>
        <v>703873.2675252083</v>
      </c>
      <c r="V15" s="80">
        <f t="shared" ref="V15:V16" si="71">$G15*R15</f>
        <v>122212.0115283652</v>
      </c>
      <c r="W15" s="80">
        <f t="shared" ref="W15:W16" si="72">$G15*S15</f>
        <v>1340.8626714399154</v>
      </c>
      <c r="X15" s="86">
        <f t="shared" ref="X15:X78" si="73">A15</f>
        <v>1952</v>
      </c>
      <c r="Y15" s="87">
        <f t="shared" ref="Y15:Y16" si="74">$G15*P15</f>
        <v>99573.85827498656</v>
      </c>
      <c r="Z15" s="87">
        <f t="shared" ref="Z15:Z17" si="75">$G15*Q15</f>
        <v>703873.2675252083</v>
      </c>
      <c r="AA15" s="87">
        <f t="shared" ref="AA15:AA18" si="76">$G15*R15</f>
        <v>122212.0115283652</v>
      </c>
      <c r="AB15" s="87">
        <f t="shared" ref="AB15:AB19" si="77">$G15*S15</f>
        <v>1340.8626714399154</v>
      </c>
      <c r="AC15" s="80">
        <f t="shared" ref="AC15:AC78" si="78">SUM(Y15:AB15)</f>
        <v>927000</v>
      </c>
      <c r="AD15" s="84">
        <f t="shared" ref="AD15:AD78" si="79">G15-AC15</f>
        <v>0</v>
      </c>
      <c r="AE15" s="80">
        <f t="shared" ref="AE15:AE78" si="80">I15</f>
        <v>750750</v>
      </c>
      <c r="AF15" s="72">
        <f t="shared" ref="AF15:AF78" si="81">AE15/AC15</f>
        <v>0.80987055016181231</v>
      </c>
      <c r="AG15" s="26">
        <f t="shared" ref="AG15:AG78" si="82">AF15-J15</f>
        <v>0</v>
      </c>
      <c r="AH15" s="61">
        <f t="shared" si="14"/>
        <v>1952</v>
      </c>
      <c r="AI15" s="26">
        <f t="shared" si="15"/>
        <v>0.80987055016181231</v>
      </c>
      <c r="AJ15" s="61">
        <f t="shared" ref="AJ15:AJ16" si="83">Y15</f>
        <v>99573.85827498656</v>
      </c>
      <c r="AK15" s="61">
        <f t="shared" si="16"/>
        <v>703873.2675252083</v>
      </c>
      <c r="AL15" s="61">
        <f t="shared" si="16"/>
        <v>122212.0115283652</v>
      </c>
      <c r="AM15" s="61">
        <f t="shared" si="16"/>
        <v>1340.8626714399154</v>
      </c>
      <c r="AN15" s="79">
        <f t="shared" ref="AN15:AN78" si="84">SUM(AJ15:AM15)</f>
        <v>927000</v>
      </c>
      <c r="AO15" s="80">
        <f t="shared" ref="AO15:AO78" si="85">AN15*AI15</f>
        <v>750750</v>
      </c>
      <c r="AP15" s="80">
        <f t="shared" ref="AP15:AP78" si="86">AN15-AO15</f>
        <v>176250</v>
      </c>
      <c r="AQ15" s="81">
        <v>-1.2495899854078174</v>
      </c>
      <c r="AR15" s="81">
        <v>0.85361448514897043</v>
      </c>
      <c r="AS15" s="81">
        <f>'SR + catch data Murdoch_age var'!N4</f>
        <v>-0.4109978162228024</v>
      </c>
      <c r="AT15" s="121">
        <f>'SR + catch data Murdoch_age var'!BR4</f>
        <v>0.16409794103909278</v>
      </c>
      <c r="AU15" s="122">
        <f t="shared" ref="AU15:AU45" si="87">$AP$11+SUMPRODUCT($AR$11:$AU$11,AQ15:AT15)</f>
        <v>1.0155748033370082</v>
      </c>
      <c r="AV15" s="122">
        <f t="shared" ref="AV15:AV78" si="88">$AP$11+SUMPRODUCT($AR$11:$AU$11,$AQ15:$AT15)+$AQ$11*$D15</f>
        <v>0.92830697359909142</v>
      </c>
      <c r="AW15" s="80">
        <f t="shared" si="17"/>
        <v>298716.92108672787</v>
      </c>
      <c r="AX15" s="80"/>
      <c r="AY15" s="141" t="e">
        <f t="shared" ref="AY15:AY78" si="89">(CO15-BA15)/BA15</f>
        <v>#N/A</v>
      </c>
      <c r="AZ15" s="141"/>
      <c r="BA15" s="84" t="e">
        <f t="shared" ref="BA15:BA40" si="90">BH15*1000</f>
        <v>#N/A</v>
      </c>
      <c r="BB15" s="101">
        <v>1952</v>
      </c>
      <c r="BC15" s="72">
        <v>3.5750695088044487E-2</v>
      </c>
      <c r="BD15" s="72">
        <v>0.8358758109360519</v>
      </c>
      <c r="BE15" s="72">
        <v>0.11956904541241889</v>
      </c>
      <c r="BF15" s="72">
        <v>8.3410565338276187E-3</v>
      </c>
      <c r="BG15" s="72">
        <v>4.6339202965708991E-4</v>
      </c>
      <c r="BH15" s="78" t="e">
        <f>-NA()</f>
        <v>#N/A</v>
      </c>
      <c r="BI15" s="78" t="e">
        <f>-NA()</f>
        <v>#N/A</v>
      </c>
      <c r="BJ15" s="78" t="e">
        <f>-NA()</f>
        <v>#N/A</v>
      </c>
      <c r="BK15" s="78" t="e">
        <f>-NA()</f>
        <v>#N/A</v>
      </c>
      <c r="BL15" s="78" t="e">
        <f>-NA()</f>
        <v>#N/A</v>
      </c>
      <c r="BM15" s="56" t="e">
        <f>-NA()</f>
        <v>#N/A</v>
      </c>
      <c r="BN15" s="78" t="e">
        <f>NA()</f>
        <v>#N/A</v>
      </c>
      <c r="BO15" s="78" t="e">
        <f t="shared" ref="BO15:BO40" si="91">$BF$10+SUMPRODUCT($BH$10:$BI$10,BL15:BM15)</f>
        <v>#N/A</v>
      </c>
      <c r="BP15" s="78" t="e">
        <v>#N/A</v>
      </c>
      <c r="BQ15" s="78" t="e">
        <f t="shared" si="18"/>
        <v>#N/A</v>
      </c>
      <c r="BR15" s="199" t="e">
        <f>-NA()</f>
        <v>#N/A</v>
      </c>
      <c r="BS15" s="78" t="e">
        <f t="shared" si="19"/>
        <v>#N/A</v>
      </c>
      <c r="BT15" s="78" t="e">
        <f t="shared" si="20"/>
        <v>#N/A</v>
      </c>
      <c r="BU15" s="78" t="e">
        <f t="shared" si="21"/>
        <v>#N/A</v>
      </c>
      <c r="BV15" s="78" t="e">
        <f t="shared" ref="BV15:BV78" si="92">BU15</f>
        <v>#N/A</v>
      </c>
      <c r="BW15" s="78" t="e">
        <f t="shared" si="22"/>
        <v>#N/A</v>
      </c>
      <c r="BX15" s="78" t="e">
        <f t="shared" si="23"/>
        <v>#N/A</v>
      </c>
      <c r="BY15" s="78" t="e">
        <f t="shared" ref="BY15:CE15" si="93">$BF$10+SUMPRODUCT($BH$10:$BI$10,BW15:BX15)</f>
        <v>#N/A</v>
      </c>
      <c r="BZ15" s="78" t="e">
        <f t="shared" si="93"/>
        <v>#N/A</v>
      </c>
      <c r="CA15" s="78">
        <v>1952</v>
      </c>
      <c r="CB15" s="78" t="e">
        <f t="shared" si="25"/>
        <v>#N/A</v>
      </c>
      <c r="CC15" s="78" t="e">
        <f t="shared" si="26"/>
        <v>#N/A</v>
      </c>
      <c r="CD15" s="78" t="e">
        <f t="shared" si="93"/>
        <v>#N/A</v>
      </c>
      <c r="CE15" s="78" t="e">
        <f t="shared" si="93"/>
        <v>#N/A</v>
      </c>
      <c r="CF15" s="78" t="e">
        <f t="shared" si="27"/>
        <v>#N/A</v>
      </c>
      <c r="CG15" s="78" t="e">
        <f t="shared" si="28"/>
        <v>#N/A</v>
      </c>
      <c r="CH15" s="78" t="e">
        <f t="shared" si="29"/>
        <v>#N/A</v>
      </c>
      <c r="CI15" s="199" t="e">
        <f t="shared" si="30"/>
        <v>#N/A</v>
      </c>
      <c r="CJ15" s="78" t="e">
        <f t="shared" si="31"/>
        <v>#N/A</v>
      </c>
      <c r="CK15" s="78" t="e">
        <f t="shared" si="32"/>
        <v>#N/A</v>
      </c>
      <c r="CL15" s="78" t="e">
        <f t="shared" si="33"/>
        <v>#N/A</v>
      </c>
      <c r="CM15" s="78"/>
      <c r="CN15" s="180" t="e">
        <f t="shared" si="34"/>
        <v>#N/A</v>
      </c>
      <c r="CO15" s="78" t="e">
        <f t="shared" si="35"/>
        <v>#N/A</v>
      </c>
      <c r="CP15" s="78" t="e">
        <f t="shared" ref="CP15:CP40" si="94">$BF$10+SUMPRODUCT($BH$10:$BI$10,CN15:CO15)</f>
        <v>#N/A</v>
      </c>
      <c r="CQ15" s="96" t="e">
        <f t="shared" si="36"/>
        <v>#N/A</v>
      </c>
      <c r="CR15" s="78" t="e">
        <f t="shared" ref="CR15:CR40" si="95">CQ15</f>
        <v>#N/A</v>
      </c>
      <c r="CS15" s="61" t="e">
        <f t="shared" ref="CS15:CS40" si="96">BO15</f>
        <v>#N/A</v>
      </c>
      <c r="CT15" s="61" t="e">
        <f t="shared" ref="CT15:CT78" si="97">BM15</f>
        <v>#N/A</v>
      </c>
      <c r="CU15" s="61" t="e">
        <f>NA()</f>
        <v>#N/A</v>
      </c>
      <c r="CV15" s="104" t="e">
        <f t="shared" ref="CV15:CV40" si="98">$BF$10+SUMPRODUCT($BH$10:$BI$10,CS15:CT15)</f>
        <v>#N/A</v>
      </c>
      <c r="CW15" s="105">
        <f t="shared" ref="CW15:CW78" si="99">AQ15</f>
        <v>-1.2495899854078174</v>
      </c>
      <c r="CX15" s="105">
        <f t="shared" ref="CX15:CX78" si="100">AR15</f>
        <v>0.85361448514897043</v>
      </c>
      <c r="CY15" s="105">
        <f t="shared" ref="CY15:CY78" si="101">AS15</f>
        <v>-0.4109978162228024</v>
      </c>
      <c r="CZ15" s="123">
        <f t="shared" ref="CZ15:CZ41" si="102">AT15</f>
        <v>0.16409794103909278</v>
      </c>
      <c r="DA15" s="81">
        <f t="shared" ref="DA14:DA45" si="103">$AP$11+SUMPRODUCT($AR$11:$AU$11,CW15:CZ15)</f>
        <v>1.0155748033370082</v>
      </c>
      <c r="DB15" s="9">
        <f t="shared" ref="DB15:DB78" si="104">AW15</f>
        <v>298716.92108672787</v>
      </c>
      <c r="DD15" s="1" t="e">
        <f t="shared" ref="DD15:DD78" si="105">(ES15-DE15)/DE15</f>
        <v>#N/A</v>
      </c>
      <c r="DE15" s="126" t="e">
        <f t="shared" ref="DE15:DE34" si="106">DL15*1000</f>
        <v>#N/A</v>
      </c>
      <c r="DF15" s="61">
        <v>1952</v>
      </c>
      <c r="DG15" s="26">
        <v>7.6142131979695434E-3</v>
      </c>
      <c r="DH15" s="26">
        <v>0.29512169725367693</v>
      </c>
      <c r="DI15" s="26">
        <v>0.6060236886632826</v>
      </c>
      <c r="DJ15" s="26">
        <v>8.8702329819081091E-2</v>
      </c>
      <c r="DK15" s="26">
        <v>2.5380710659898475E-3</v>
      </c>
      <c r="DL15" t="e">
        <f>NA()</f>
        <v>#N/A</v>
      </c>
      <c r="DM15" t="e">
        <f>NA()</f>
        <v>#N/A</v>
      </c>
      <c r="DN15" t="e">
        <f>NA()</f>
        <v>#N/A</v>
      </c>
      <c r="DO15" s="61" t="e">
        <f t="shared" ref="DO15:DO78" si="107">DL15</f>
        <v>#N/A</v>
      </c>
      <c r="DP15" s="61" t="e">
        <f t="shared" ref="DP15:DP35" si="108">DM15</f>
        <v>#N/A</v>
      </c>
      <c r="DQ15" s="61" t="e">
        <f t="shared" ref="DQ15:DQ35" si="109">DN15</f>
        <v>#N/A</v>
      </c>
      <c r="DR15" s="61" t="e">
        <f>NA()</f>
        <v>#N/A</v>
      </c>
      <c r="DS15" s="61" t="e">
        <f>NA()</f>
        <v>#N/A</v>
      </c>
      <c r="DT15" s="113" t="e">
        <f t="shared" si="39"/>
        <v>#N/A</v>
      </c>
      <c r="DU15" s="76" t="e">
        <f t="shared" si="40"/>
        <v>#N/A</v>
      </c>
      <c r="DV15" s="72" t="e">
        <f t="shared" ref="DV15:DV34" si="110">LN(DM15/DU15)</f>
        <v>#N/A</v>
      </c>
      <c r="DW15" s="201" t="e">
        <f t="shared" ref="DW15:DW34" si="111">LN(DN15/DV15)</f>
        <v>#N/A</v>
      </c>
      <c r="DX15" s="72" t="e">
        <f t="shared" ref="DX15:DX34" si="112">LN(DO15/DW15)</f>
        <v>#N/A</v>
      </c>
      <c r="DY15" s="72" t="e">
        <f t="shared" ref="DY15:DY34" si="113">LN(DP15/DX15)</f>
        <v>#N/A</v>
      </c>
      <c r="DZ15" s="72" t="e">
        <f t="shared" ref="DZ15:DZ34" si="114">LN(DQ15/DY15)</f>
        <v>#N/A</v>
      </c>
      <c r="EA15" s="72" t="e">
        <f t="shared" ref="EA15:EA34" si="115">LN(DT15/DZ15)</f>
        <v>#N/A</v>
      </c>
      <c r="EB15" s="72" t="e">
        <f t="shared" ref="EB15:EB34" si="116">LN(DU15/EA15)</f>
        <v>#N/A</v>
      </c>
      <c r="EC15" s="72" t="e">
        <f t="shared" ref="EC15:EC34" si="117">LN(DV15/EB15)</f>
        <v>#N/A</v>
      </c>
      <c r="ED15" s="72" t="e">
        <f t="shared" ref="ED15:ED34" si="118">LN(DW15/EC15)</f>
        <v>#N/A</v>
      </c>
      <c r="EE15" s="72"/>
      <c r="EF15">
        <v>1952</v>
      </c>
      <c r="EG15" s="72" t="e">
        <f t="shared" ref="EG15:EG35" si="119">DZ15</f>
        <v>#N/A</v>
      </c>
      <c r="EH15" t="e">
        <f>NA()</f>
        <v>#N/A</v>
      </c>
      <c r="EI15" t="e">
        <f>NA()</f>
        <v>#N/A</v>
      </c>
      <c r="EJ15" t="e">
        <f>NA()</f>
        <v>#N/A</v>
      </c>
      <c r="EK15" t="e">
        <f>NA()</f>
        <v>#N/A</v>
      </c>
      <c r="EL15" t="e">
        <f>NA()</f>
        <v>#N/A</v>
      </c>
      <c r="EM15" t="e">
        <f>NA()</f>
        <v>#N/A</v>
      </c>
      <c r="EN15" s="199" t="e">
        <f>NA()</f>
        <v>#N/A</v>
      </c>
      <c r="EO15" t="e">
        <f>NA()</f>
        <v>#N/A</v>
      </c>
      <c r="EP15" t="e">
        <f>NA()</f>
        <v>#N/A</v>
      </c>
      <c r="EQ15" t="e">
        <f>NA()</f>
        <v>#N/A</v>
      </c>
      <c r="ER15" s="180" t="e">
        <f>NA()</f>
        <v>#N/A</v>
      </c>
      <c r="ES15" t="e">
        <f>NA()</f>
        <v>#N/A</v>
      </c>
      <c r="ET15" t="e">
        <f>NA()</f>
        <v>#N/A</v>
      </c>
      <c r="EU15" t="e">
        <f>NA()</f>
        <v>#N/A</v>
      </c>
      <c r="EV15" t="e">
        <f>NA()</f>
        <v>#N/A</v>
      </c>
      <c r="EW15" s="61" t="e">
        <f t="shared" ref="EW15:EW35" si="120">DP15</f>
        <v>#N/A</v>
      </c>
      <c r="EX15" s="9" t="e">
        <f t="shared" si="46"/>
        <v>#N/A</v>
      </c>
      <c r="EY15" s="9" t="e">
        <f t="shared" si="47"/>
        <v>#N/A</v>
      </c>
      <c r="EZ15" s="9" t="e">
        <f t="shared" si="48"/>
        <v>#N/A</v>
      </c>
      <c r="FA15" s="72" t="e">
        <f t="shared" si="49"/>
        <v>#N/A</v>
      </c>
      <c r="FB15">
        <v>1952</v>
      </c>
      <c r="FC15" s="116">
        <f t="shared" ref="FC15:FC78" si="121">AP15</f>
        <v>176250</v>
      </c>
      <c r="FD15" s="116">
        <f t="shared" ref="FD15:FD45" si="122">$FC15*EXP($AP$11+$AQ$11*$FC15+$AR$11*$AQ15+$AS$11*$AR15+$AT$11*$AS15+$AU$11*SSLz)</f>
        <v>623775.31416408368</v>
      </c>
      <c r="FE15" s="116">
        <f t="shared" ref="FE15:FE17" si="123">MAX(AN15,H15)</f>
        <v>927000</v>
      </c>
      <c r="FF15" s="116">
        <f t="shared" ref="FF15:FF45" si="124">$FC15*EXP($AP$11+$AQ$11*$FC15+$AR$11*$AQ15+$AS$11*$AR15+$AT$11*$AS15+$AU$11*$CZ15)</f>
        <v>445951.59524594108</v>
      </c>
      <c r="FG15" s="5">
        <f t="shared" ref="FG15:FG29" si="125">FD15-FF15</f>
        <v>177823.71891814261</v>
      </c>
      <c r="FH15" s="5" t="e">
        <f>NA()</f>
        <v>#N/A</v>
      </c>
      <c r="FI15" s="155">
        <f t="shared" ref="FI14:FI45" si="126">FG15/FD15</f>
        <v>0.28507655702348972</v>
      </c>
      <c r="FJ15" s="117">
        <f t="shared" ref="FJ15:FJ78" si="127">100*FI15</f>
        <v>28.507655702348973</v>
      </c>
      <c r="FK15" s="61">
        <f t="shared" si="50"/>
        <v>18070.21712799383</v>
      </c>
      <c r="FL15" s="61">
        <f>FD15/FK15</f>
        <v>34.519525125005273</v>
      </c>
      <c r="FM15" s="92">
        <f t="shared" ref="FM15:FM78" si="128">FG15/FK15</f>
        <v>9.8407073727223526</v>
      </c>
      <c r="FN15" s="72">
        <f t="shared" ref="FN15:FN78" si="129">FI15</f>
        <v>0.28507655702348972</v>
      </c>
      <c r="FO15" s="179">
        <f t="shared" si="51"/>
        <v>0.32802357909074509</v>
      </c>
      <c r="FP15" s="92">
        <f>AVERAGE($FM$14:FM15)</f>
        <v>8.7916497586528735</v>
      </c>
      <c r="FQ15" s="1">
        <f>(FK15-FK14)/FK14</f>
        <v>-3.362498583927042E-2</v>
      </c>
      <c r="FR15" s="26">
        <f t="shared" ref="FR15:FR78" si="130">FK15/MIN($FK$14:$FK$79)</f>
        <v>2.8683013647609306</v>
      </c>
      <c r="FS15">
        <f t="shared" si="52"/>
        <v>1952</v>
      </c>
      <c r="FT15" s="5" t="e">
        <f t="shared" si="53"/>
        <v>#N/A</v>
      </c>
      <c r="FU15" s="213" t="e">
        <f t="shared" si="54"/>
        <v>#N/A</v>
      </c>
      <c r="FV15" s="213" t="e">
        <f t="shared" ref="FV15:FV78" si="131">$FT15*EXP($BF$10+$BG$10*$FT15/1000+$BI$10*$CT15+$BH$10*$CS15)</f>
        <v>#N/A</v>
      </c>
      <c r="FW15" s="5" t="e">
        <f t="shared" ref="FW15:FW78" si="132">FU15-FV15</f>
        <v>#N/A</v>
      </c>
      <c r="FX15" t="e">
        <f t="shared" ref="FX15:FX78" si="133">FW15/FU15</f>
        <v>#N/A</v>
      </c>
      <c r="FY15" t="e">
        <f t="shared" si="55"/>
        <v>#N/A</v>
      </c>
      <c r="FZ15" t="e">
        <f t="shared" ref="FZ15:FZ78" si="134">FW15/FY15</f>
        <v>#N/A</v>
      </c>
      <c r="GA15" t="e">
        <f t="shared" si="56"/>
        <v>#N/A</v>
      </c>
      <c r="GB15" s="61" t="e">
        <f t="shared" ref="GB15:GB78" si="135">ES15</f>
        <v>#N/A</v>
      </c>
      <c r="GC15" s="61" t="e">
        <f t="shared" si="57"/>
        <v>#N/A</v>
      </c>
      <c r="GD15" s="61" t="e">
        <f>NA()</f>
        <v>#N/A</v>
      </c>
      <c r="GE15" s="61" t="e">
        <f t="shared" ref="GE15:GE35" si="136">$GB15*EXP($DN$11+$DO$11*$GB15/1000+$DQ$11*$CT15+$DR$11*$DR15+$DS$11*$DS15+$DP$11*$EW15)</f>
        <v>#N/A</v>
      </c>
      <c r="GF15" s="61" t="e">
        <f t="shared" ref="GF15:GF78" si="137">GC15-GE15</f>
        <v>#N/A</v>
      </c>
      <c r="GG15" s="61" t="e">
        <f>NA()</f>
        <v>#N/A</v>
      </c>
      <c r="GH15" s="6" t="e">
        <f t="shared" ref="GH15:GH78" si="138">GF15/GC15</f>
        <v>#N/A</v>
      </c>
      <c r="GI15" t="e">
        <f t="shared" si="58"/>
        <v>#N/A</v>
      </c>
      <c r="GJ15" s="26" t="e">
        <f t="shared" ref="GJ15:GJ35" si="139">GF15/GI15</f>
        <v>#N/A</v>
      </c>
      <c r="GK15" t="e">
        <f t="shared" si="59"/>
        <v>#N/A</v>
      </c>
      <c r="GL15" s="232">
        <f t="shared" ref="GL15:GL78" si="140">FK15/MIN($FK$14:$FK$78)</f>
        <v>2.8683013647609306</v>
      </c>
      <c r="GN15">
        <v>3</v>
      </c>
      <c r="GO15">
        <v>0</v>
      </c>
      <c r="GP15" s="46">
        <v>2</v>
      </c>
      <c r="GS15" s="167">
        <v>20</v>
      </c>
      <c r="GT15" s="46"/>
      <c r="GU15" s="167">
        <v>16</v>
      </c>
      <c r="GV15" s="46">
        <v>4</v>
      </c>
      <c r="GW15" s="6">
        <f>SUM($GV$10:GV15)/$GV$28</f>
        <v>0.36363636363636365</v>
      </c>
      <c r="GY15">
        <v>1952</v>
      </c>
      <c r="GZ15" s="112">
        <f t="shared" si="60"/>
        <v>1.0155748033370082</v>
      </c>
      <c r="HA15" s="26" t="e">
        <f t="shared" si="61"/>
        <v>#N/A</v>
      </c>
      <c r="HB15" s="26" t="e">
        <f t="shared" si="62"/>
        <v>#N/A</v>
      </c>
    </row>
    <row r="16" spans="1:210" x14ac:dyDescent="0.35">
      <c r="A16">
        <v>1953</v>
      </c>
      <c r="D16" s="80">
        <f>'SR + catch data Murdoch_age var'!C5</f>
        <v>137625</v>
      </c>
      <c r="E16" s="80">
        <f>'SR + catch data Murdoch_age var'!E5</f>
        <v>339247.35388798552</v>
      </c>
      <c r="F16" s="231">
        <f t="shared" si="63"/>
        <v>0.90219690375368433</v>
      </c>
      <c r="G16" s="80">
        <f>'SR + catch data Murdoch_age var'!D5</f>
        <v>918122</v>
      </c>
      <c r="H16" s="80">
        <f>'Orig data'!Q7</f>
        <v>918122</v>
      </c>
      <c r="I16" s="80">
        <f t="shared" si="64"/>
        <v>780497</v>
      </c>
      <c r="J16" s="150">
        <f t="shared" si="65"/>
        <v>0.85010162048180959</v>
      </c>
      <c r="K16" s="83">
        <f>'SR + catch data Murdoch_age var'!CM5</f>
        <v>1.3173499057663574</v>
      </c>
      <c r="L16" s="83">
        <f>'SR + catch data Murdoch_age var'!CN5</f>
        <v>1.1484773547398874</v>
      </c>
      <c r="M16" s="84">
        <f>'SR + catch data Murdoch_age var'!CO5</f>
        <v>479977.54574999982</v>
      </c>
      <c r="N16" s="81">
        <f t="shared" si="66"/>
        <v>-0.3470098243237042</v>
      </c>
      <c r="O16" s="82">
        <f t="shared" si="67"/>
        <v>1953</v>
      </c>
      <c r="P16" s="81">
        <f t="shared" si="68"/>
        <v>0.10741516534518507</v>
      </c>
      <c r="Q16" s="81">
        <f t="shared" si="12"/>
        <v>0.75930233821489568</v>
      </c>
      <c r="R16" s="81">
        <f t="shared" si="12"/>
        <v>0.13183604264117066</v>
      </c>
      <c r="S16" s="85">
        <f t="shared" si="12"/>
        <v>1.4464537987485602E-3</v>
      </c>
      <c r="T16" s="80">
        <f t="shared" si="69"/>
        <v>98620.226437051999</v>
      </c>
      <c r="U16" s="80">
        <f t="shared" si="70"/>
        <v>697132.18136653642</v>
      </c>
      <c r="V16" s="80">
        <f t="shared" si="71"/>
        <v>121041.57114179689</v>
      </c>
      <c r="W16" s="80">
        <f t="shared" si="72"/>
        <v>1328.0210546146257</v>
      </c>
      <c r="X16" s="86">
        <f t="shared" si="73"/>
        <v>1953</v>
      </c>
      <c r="Y16" s="87">
        <f t="shared" si="74"/>
        <v>98620.226437051999</v>
      </c>
      <c r="Z16" s="87">
        <f t="shared" si="75"/>
        <v>697132.18136653642</v>
      </c>
      <c r="AA16" s="87">
        <f t="shared" si="76"/>
        <v>121041.57114179689</v>
      </c>
      <c r="AB16" s="87">
        <f t="shared" si="77"/>
        <v>1328.0210546146257</v>
      </c>
      <c r="AC16" s="80">
        <f t="shared" si="78"/>
        <v>918121.99999999988</v>
      </c>
      <c r="AD16" s="84">
        <f t="shared" si="79"/>
        <v>0</v>
      </c>
      <c r="AE16" s="80">
        <f t="shared" si="80"/>
        <v>780497</v>
      </c>
      <c r="AF16" s="72">
        <f t="shared" si="81"/>
        <v>0.85010162048180971</v>
      </c>
      <c r="AG16" s="26">
        <f t="shared" si="82"/>
        <v>0</v>
      </c>
      <c r="AH16" s="61">
        <f t="shared" si="14"/>
        <v>1953</v>
      </c>
      <c r="AI16" s="26">
        <f t="shared" si="15"/>
        <v>0.85010162048180971</v>
      </c>
      <c r="AJ16" s="61">
        <f t="shared" si="83"/>
        <v>98620.226437051999</v>
      </c>
      <c r="AK16" s="61">
        <f t="shared" si="16"/>
        <v>697132.18136653642</v>
      </c>
      <c r="AL16" s="61">
        <f t="shared" si="16"/>
        <v>121041.57114179689</v>
      </c>
      <c r="AM16" s="61">
        <f t="shared" si="16"/>
        <v>1328.0210546146257</v>
      </c>
      <c r="AN16" s="79">
        <f t="shared" si="84"/>
        <v>918121.99999999988</v>
      </c>
      <c r="AO16" s="80">
        <f t="shared" si="85"/>
        <v>780497</v>
      </c>
      <c r="AP16" s="80">
        <f t="shared" si="86"/>
        <v>137624.99999999988</v>
      </c>
      <c r="AQ16" s="81">
        <v>1.0113248502778918</v>
      </c>
      <c r="AR16" s="81">
        <v>0.90303427113127921</v>
      </c>
      <c r="AS16" s="81">
        <f>'SR + catch data Murdoch_age var'!N5</f>
        <v>-0.5502326544467524</v>
      </c>
      <c r="AT16" s="121">
        <f>'SR + catch data Murdoch_age var'!BR5</f>
        <v>-0.15610450774264295</v>
      </c>
      <c r="AU16" s="122">
        <f t="shared" si="87"/>
        <v>1.3173499057663576</v>
      </c>
      <c r="AV16" s="122">
        <f t="shared" si="88"/>
        <v>1.2492067280773886</v>
      </c>
      <c r="AW16" s="80">
        <f t="shared" si="17"/>
        <v>339247.35388798529</v>
      </c>
      <c r="AX16" s="80"/>
      <c r="AY16" s="141" t="e">
        <f t="shared" si="89"/>
        <v>#N/A</v>
      </c>
      <c r="AZ16" s="141"/>
      <c r="BA16" s="84" t="e">
        <f t="shared" si="90"/>
        <v>#N/A</v>
      </c>
      <c r="BB16" s="101">
        <v>1953</v>
      </c>
      <c r="BC16" s="72">
        <v>3.5750695088044487E-2</v>
      </c>
      <c r="BD16" s="72">
        <v>0.8358758109360519</v>
      </c>
      <c r="BE16" s="72">
        <v>0.11956904541241889</v>
      </c>
      <c r="BF16" s="72">
        <v>8.3410565338276187E-3</v>
      </c>
      <c r="BG16" s="72">
        <v>4.6339202965708991E-4</v>
      </c>
      <c r="BH16" s="78" t="e">
        <f>-NA()</f>
        <v>#N/A</v>
      </c>
      <c r="BI16" s="78" t="e">
        <f>-NA()</f>
        <v>#N/A</v>
      </c>
      <c r="BJ16" s="78" t="e">
        <f>-NA()</f>
        <v>#N/A</v>
      </c>
      <c r="BK16" s="78" t="e">
        <f>-NA()</f>
        <v>#N/A</v>
      </c>
      <c r="BL16" s="78" t="e">
        <f>-NA()</f>
        <v>#N/A</v>
      </c>
      <c r="BM16" s="56" t="e">
        <f>-NA()</f>
        <v>#N/A</v>
      </c>
      <c r="BN16" s="78" t="e">
        <f>NA()</f>
        <v>#N/A</v>
      </c>
      <c r="BO16" s="78" t="e">
        <f t="shared" si="91"/>
        <v>#N/A</v>
      </c>
      <c r="BP16" s="78" t="e">
        <v>#N/A</v>
      </c>
      <c r="BQ16" s="78" t="e">
        <f t="shared" si="18"/>
        <v>#N/A</v>
      </c>
      <c r="BR16" s="199" t="e">
        <f>-NA()</f>
        <v>#N/A</v>
      </c>
      <c r="BS16" s="78" t="e">
        <f t="shared" si="19"/>
        <v>#N/A</v>
      </c>
      <c r="BT16" s="78" t="e">
        <f t="shared" si="20"/>
        <v>#N/A</v>
      </c>
      <c r="BU16" s="78" t="e">
        <f t="shared" si="21"/>
        <v>#N/A</v>
      </c>
      <c r="BV16" s="78" t="e">
        <f t="shared" si="92"/>
        <v>#N/A</v>
      </c>
      <c r="BW16" s="78" t="e">
        <f t="shared" si="22"/>
        <v>#N/A</v>
      </c>
      <c r="BX16" s="78" t="e">
        <f t="shared" si="23"/>
        <v>#N/A</v>
      </c>
      <c r="BY16" s="78" t="e">
        <f t="shared" ref="BY16:CE16" si="141">$BF$10+SUMPRODUCT($BH$10:$BI$10,BW16:BX16)</f>
        <v>#N/A</v>
      </c>
      <c r="BZ16" s="78" t="e">
        <f t="shared" si="141"/>
        <v>#N/A</v>
      </c>
      <c r="CA16" s="78">
        <v>1953</v>
      </c>
      <c r="CB16" s="78" t="e">
        <f t="shared" si="25"/>
        <v>#N/A</v>
      </c>
      <c r="CC16" s="78" t="e">
        <f t="shared" si="26"/>
        <v>#N/A</v>
      </c>
      <c r="CD16" s="78" t="e">
        <f t="shared" si="141"/>
        <v>#N/A</v>
      </c>
      <c r="CE16" s="78" t="e">
        <f t="shared" si="141"/>
        <v>#N/A</v>
      </c>
      <c r="CF16" s="78" t="e">
        <f t="shared" si="27"/>
        <v>#N/A</v>
      </c>
      <c r="CG16" s="78" t="e">
        <f t="shared" si="28"/>
        <v>#N/A</v>
      </c>
      <c r="CH16" s="78" t="e">
        <f t="shared" si="29"/>
        <v>#N/A</v>
      </c>
      <c r="CI16" s="199" t="e">
        <f t="shared" si="30"/>
        <v>#N/A</v>
      </c>
      <c r="CJ16" s="78" t="e">
        <f t="shared" si="31"/>
        <v>#N/A</v>
      </c>
      <c r="CK16" s="78" t="e">
        <f t="shared" si="32"/>
        <v>#N/A</v>
      </c>
      <c r="CL16" s="78" t="e">
        <f t="shared" si="33"/>
        <v>#N/A</v>
      </c>
      <c r="CM16" s="78"/>
      <c r="CN16" s="180" t="e">
        <f t="shared" si="34"/>
        <v>#N/A</v>
      </c>
      <c r="CO16" s="78" t="e">
        <f t="shared" si="35"/>
        <v>#N/A</v>
      </c>
      <c r="CP16" s="78" t="e">
        <f t="shared" si="94"/>
        <v>#N/A</v>
      </c>
      <c r="CQ16" s="96" t="e">
        <f t="shared" si="36"/>
        <v>#N/A</v>
      </c>
      <c r="CR16" s="78" t="e">
        <f t="shared" si="95"/>
        <v>#N/A</v>
      </c>
      <c r="CS16" s="61" t="e">
        <f t="shared" si="96"/>
        <v>#N/A</v>
      </c>
      <c r="CT16" s="61" t="e">
        <f t="shared" si="97"/>
        <v>#N/A</v>
      </c>
      <c r="CU16" s="61" t="e">
        <f>NA()</f>
        <v>#N/A</v>
      </c>
      <c r="CV16" s="104" t="e">
        <f t="shared" si="98"/>
        <v>#N/A</v>
      </c>
      <c r="CW16" s="105">
        <f t="shared" si="99"/>
        <v>1.0113248502778918</v>
      </c>
      <c r="CX16" s="105">
        <f t="shared" si="100"/>
        <v>0.90303427113127921</v>
      </c>
      <c r="CY16" s="105">
        <f t="shared" si="101"/>
        <v>-0.5502326544467524</v>
      </c>
      <c r="CZ16" s="123">
        <f t="shared" si="102"/>
        <v>-0.15610450774264295</v>
      </c>
      <c r="DA16" s="81">
        <f t="shared" si="103"/>
        <v>1.3173499057663576</v>
      </c>
      <c r="DB16" s="9">
        <f t="shared" si="104"/>
        <v>339247.35388798529</v>
      </c>
      <c r="DD16" s="1" t="e">
        <f t="shared" si="105"/>
        <v>#N/A</v>
      </c>
      <c r="DE16" s="126" t="e">
        <f t="shared" si="106"/>
        <v>#N/A</v>
      </c>
      <c r="DF16" s="61">
        <v>1953</v>
      </c>
      <c r="DG16" s="26">
        <v>7.6142131979695434E-3</v>
      </c>
      <c r="DH16" s="26">
        <v>0.29512169725367693</v>
      </c>
      <c r="DI16" s="26">
        <v>0.6060236886632826</v>
      </c>
      <c r="DJ16" s="26">
        <v>8.8702329819081091E-2</v>
      </c>
      <c r="DK16" s="26">
        <v>2.5380710659898475E-3</v>
      </c>
      <c r="DL16" t="e">
        <f>NA()</f>
        <v>#N/A</v>
      </c>
      <c r="DM16" t="e">
        <f>NA()</f>
        <v>#N/A</v>
      </c>
      <c r="DN16" t="e">
        <f>NA()</f>
        <v>#N/A</v>
      </c>
      <c r="DO16" s="61" t="e">
        <f t="shared" si="107"/>
        <v>#N/A</v>
      </c>
      <c r="DP16" s="61" t="e">
        <f t="shared" si="108"/>
        <v>#N/A</v>
      </c>
      <c r="DQ16" s="61" t="e">
        <f t="shared" si="109"/>
        <v>#N/A</v>
      </c>
      <c r="DR16" s="61" t="e">
        <f>NA()</f>
        <v>#N/A</v>
      </c>
      <c r="DS16" s="61" t="e">
        <f>NA()</f>
        <v>#N/A</v>
      </c>
      <c r="DT16" s="113" t="e">
        <f t="shared" si="39"/>
        <v>#N/A</v>
      </c>
      <c r="DU16" s="76" t="e">
        <f t="shared" si="40"/>
        <v>#N/A</v>
      </c>
      <c r="DV16" s="72" t="e">
        <f t="shared" si="110"/>
        <v>#N/A</v>
      </c>
      <c r="DW16" s="201" t="e">
        <f t="shared" si="111"/>
        <v>#N/A</v>
      </c>
      <c r="DX16" s="72" t="e">
        <f t="shared" si="112"/>
        <v>#N/A</v>
      </c>
      <c r="DY16" s="72" t="e">
        <f t="shared" si="113"/>
        <v>#N/A</v>
      </c>
      <c r="DZ16" s="72" t="e">
        <f t="shared" si="114"/>
        <v>#N/A</v>
      </c>
      <c r="EA16" s="72" t="e">
        <f t="shared" si="115"/>
        <v>#N/A</v>
      </c>
      <c r="EB16" s="72" t="e">
        <f t="shared" si="116"/>
        <v>#N/A</v>
      </c>
      <c r="EC16" s="72" t="e">
        <f t="shared" si="117"/>
        <v>#N/A</v>
      </c>
      <c r="ED16" s="72" t="e">
        <f t="shared" si="118"/>
        <v>#N/A</v>
      </c>
      <c r="EE16" s="72"/>
      <c r="EF16">
        <v>1953</v>
      </c>
      <c r="EG16" s="72" t="e">
        <f t="shared" si="119"/>
        <v>#N/A</v>
      </c>
      <c r="EH16" t="e">
        <f>NA()</f>
        <v>#N/A</v>
      </c>
      <c r="EI16" t="e">
        <f>NA()</f>
        <v>#N/A</v>
      </c>
      <c r="EJ16" t="e">
        <f>NA()</f>
        <v>#N/A</v>
      </c>
      <c r="EK16" t="e">
        <f>NA()</f>
        <v>#N/A</v>
      </c>
      <c r="EL16" t="e">
        <f>NA()</f>
        <v>#N/A</v>
      </c>
      <c r="EM16" t="e">
        <f>NA()</f>
        <v>#N/A</v>
      </c>
      <c r="EN16" s="199" t="e">
        <f>NA()</f>
        <v>#N/A</v>
      </c>
      <c r="EO16" t="e">
        <f>NA()</f>
        <v>#N/A</v>
      </c>
      <c r="EP16" t="e">
        <f>NA()</f>
        <v>#N/A</v>
      </c>
      <c r="EQ16" t="e">
        <f>NA()</f>
        <v>#N/A</v>
      </c>
      <c r="ER16" s="180" t="e">
        <f>NA()</f>
        <v>#N/A</v>
      </c>
      <c r="ES16" t="e">
        <f>NA()</f>
        <v>#N/A</v>
      </c>
      <c r="ET16" t="e">
        <f>NA()</f>
        <v>#N/A</v>
      </c>
      <c r="EU16" t="e">
        <f>NA()</f>
        <v>#N/A</v>
      </c>
      <c r="EV16" t="e">
        <f>NA()</f>
        <v>#N/A</v>
      </c>
      <c r="EW16" s="61" t="e">
        <f t="shared" si="120"/>
        <v>#N/A</v>
      </c>
      <c r="EX16" s="9" t="e">
        <f t="shared" si="46"/>
        <v>#N/A</v>
      </c>
      <c r="EY16" s="9" t="e">
        <f t="shared" si="47"/>
        <v>#N/A</v>
      </c>
      <c r="EZ16" s="9" t="e">
        <f t="shared" si="48"/>
        <v>#N/A</v>
      </c>
      <c r="FA16" s="72" t="e">
        <f t="shared" si="49"/>
        <v>#N/A</v>
      </c>
      <c r="FB16">
        <v>1953</v>
      </c>
      <c r="FC16" s="116">
        <f t="shared" si="121"/>
        <v>137624.99999999988</v>
      </c>
      <c r="FD16" s="116">
        <f t="shared" si="122"/>
        <v>624852.06663876155</v>
      </c>
      <c r="FE16" s="116">
        <f t="shared" si="123"/>
        <v>918122</v>
      </c>
      <c r="FF16" s="116">
        <f t="shared" si="124"/>
        <v>479977.54574999941</v>
      </c>
      <c r="FG16" s="5">
        <f t="shared" si="125"/>
        <v>144874.52088876214</v>
      </c>
      <c r="FH16" s="5" t="e">
        <f>NA()</f>
        <v>#N/A</v>
      </c>
      <c r="FI16" s="155">
        <f t="shared" si="126"/>
        <v>0.23185411175492959</v>
      </c>
      <c r="FJ16" s="117">
        <f t="shared" si="127"/>
        <v>23.185411175492959</v>
      </c>
      <c r="FK16" s="61">
        <f t="shared" si="50"/>
        <v>14203.722183167749</v>
      </c>
      <c r="FL16" s="61">
        <f t="shared" ref="FL15:FL78" si="142">FD16/FK16</f>
        <v>43.992135200957975</v>
      </c>
      <c r="FM16" s="92">
        <f t="shared" si="128"/>
        <v>10.199757431220883</v>
      </c>
      <c r="FN16" s="72">
        <f t="shared" si="129"/>
        <v>0.23185411175492959</v>
      </c>
      <c r="FO16" s="179">
        <f t="shared" si="51"/>
        <v>0.33999191437402942</v>
      </c>
      <c r="FP16" s="92">
        <f>AVERAGE($FM$14:FM16)</f>
        <v>9.2610189828422094</v>
      </c>
      <c r="FQ16" s="1">
        <f t="shared" ref="FQ16:FQ79" si="143">(FK16-FK15)/FK15</f>
        <v>-0.21397058582302395</v>
      </c>
      <c r="FR16" s="26">
        <f t="shared" si="130"/>
        <v>2.2545692414260552</v>
      </c>
      <c r="FS16">
        <f t="shared" si="52"/>
        <v>1953</v>
      </c>
      <c r="FT16" s="5" t="e">
        <f t="shared" si="53"/>
        <v>#N/A</v>
      </c>
      <c r="FU16" s="213" t="e">
        <f t="shared" si="54"/>
        <v>#N/A</v>
      </c>
      <c r="FV16" s="213" t="e">
        <f t="shared" si="131"/>
        <v>#N/A</v>
      </c>
      <c r="FW16" s="5" t="e">
        <f t="shared" si="132"/>
        <v>#N/A</v>
      </c>
      <c r="FX16" t="e">
        <f t="shared" si="133"/>
        <v>#N/A</v>
      </c>
      <c r="FY16" t="e">
        <f t="shared" si="55"/>
        <v>#N/A</v>
      </c>
      <c r="FZ16" t="e">
        <f t="shared" si="134"/>
        <v>#N/A</v>
      </c>
      <c r="GA16" t="e">
        <f t="shared" si="56"/>
        <v>#N/A</v>
      </c>
      <c r="GB16" s="61" t="e">
        <f t="shared" si="135"/>
        <v>#N/A</v>
      </c>
      <c r="GC16" s="61" t="e">
        <f t="shared" si="57"/>
        <v>#N/A</v>
      </c>
      <c r="GD16" s="61" t="e">
        <f>NA()</f>
        <v>#N/A</v>
      </c>
      <c r="GE16" s="61" t="e">
        <f t="shared" si="136"/>
        <v>#N/A</v>
      </c>
      <c r="GF16" s="61" t="e">
        <f t="shared" si="137"/>
        <v>#N/A</v>
      </c>
      <c r="GG16" s="61" t="e">
        <f>NA()</f>
        <v>#N/A</v>
      </c>
      <c r="GH16" s="6" t="e">
        <f t="shared" si="138"/>
        <v>#N/A</v>
      </c>
      <c r="GI16" t="e">
        <f t="shared" si="58"/>
        <v>#N/A</v>
      </c>
      <c r="GJ16" s="26" t="e">
        <f t="shared" si="139"/>
        <v>#N/A</v>
      </c>
      <c r="GK16" t="e">
        <f t="shared" si="59"/>
        <v>#N/A</v>
      </c>
      <c r="GL16" s="232">
        <f t="shared" si="140"/>
        <v>2.2545692414260552</v>
      </c>
      <c r="GN16">
        <v>6</v>
      </c>
      <c r="GO16">
        <v>3</v>
      </c>
      <c r="GP16" s="46">
        <v>5</v>
      </c>
      <c r="GS16" s="167">
        <v>24</v>
      </c>
      <c r="GT16" s="46"/>
      <c r="GU16" s="167">
        <v>20</v>
      </c>
      <c r="GV16" s="46">
        <v>4</v>
      </c>
      <c r="GW16" s="6">
        <f>SUM($GV$10:GV16)/$GV$28</f>
        <v>0.42424242424242425</v>
      </c>
      <c r="GY16">
        <v>1953</v>
      </c>
      <c r="GZ16" s="112">
        <f t="shared" si="60"/>
        <v>1.3173499057663576</v>
      </c>
      <c r="HA16" s="26" t="e">
        <f t="shared" si="61"/>
        <v>#N/A</v>
      </c>
      <c r="HB16" s="26" t="e">
        <f t="shared" si="62"/>
        <v>#N/A</v>
      </c>
    </row>
    <row r="17" spans="1:210" x14ac:dyDescent="0.35">
      <c r="A17">
        <v>1954</v>
      </c>
      <c r="D17" s="80">
        <f>'SR + catch data Murdoch_age var'!C6</f>
        <v>86375</v>
      </c>
      <c r="E17" s="80">
        <f>'SR + catch data Murdoch_age var'!E6</f>
        <v>544674.7468592932</v>
      </c>
      <c r="F17" s="231">
        <f t="shared" si="63"/>
        <v>1.8414905396689467</v>
      </c>
      <c r="G17" s="80">
        <f>'SR + catch data Murdoch_age var'!D6</f>
        <v>1096517</v>
      </c>
      <c r="H17" s="80">
        <f>'Orig data'!Q8</f>
        <v>1096517</v>
      </c>
      <c r="I17" s="80">
        <f t="shared" si="64"/>
        <v>1010142</v>
      </c>
      <c r="J17" s="150">
        <f t="shared" si="65"/>
        <v>0.92122785146057928</v>
      </c>
      <c r="K17" s="83">
        <f>'SR + catch data Murdoch_age var'!CM6</f>
        <v>1.240168103225584</v>
      </c>
      <c r="L17" s="83">
        <f>'SR + catch data Murdoch_age var'!CN6</f>
        <v>1.1484773547398874</v>
      </c>
      <c r="M17" s="84">
        <f>'SR + catch data Murdoch_age var'!CO6</f>
        <v>286030.64617408189</v>
      </c>
      <c r="N17" s="81">
        <f t="shared" si="66"/>
        <v>0.6440898622227248</v>
      </c>
      <c r="O17" s="82">
        <f t="shared" si="67"/>
        <v>1954</v>
      </c>
      <c r="P17" s="81">
        <f t="shared" si="68"/>
        <v>0.10741516534518507</v>
      </c>
      <c r="Q17" s="81">
        <f t="shared" si="12"/>
        <v>0.75930233821489568</v>
      </c>
      <c r="R17" s="81">
        <f t="shared" si="12"/>
        <v>0.13183604264117066</v>
      </c>
      <c r="S17" s="85">
        <f t="shared" si="12"/>
        <v>1.4464537987485602E-3</v>
      </c>
      <c r="T17" s="80">
        <f t="shared" ref="T17:T78" si="144">$G17*P17</f>
        <v>117782.5548588063</v>
      </c>
      <c r="U17" s="80">
        <f t="shared" ref="U17:U79" si="145">$G17*Q17</f>
        <v>832587.92199238273</v>
      </c>
      <c r="V17" s="80">
        <f t="shared" ref="V17:V79" si="146">$G17*R17</f>
        <v>144560.46196876853</v>
      </c>
      <c r="W17" s="80">
        <f t="shared" ref="W17:W79" si="147">$G17*S17</f>
        <v>1586.0611800423751</v>
      </c>
      <c r="X17" s="86">
        <f t="shared" si="73"/>
        <v>1954</v>
      </c>
      <c r="Y17" s="79">
        <f>$M14*P17*EXP($N14)</f>
        <v>49089.505253585521</v>
      </c>
      <c r="Z17" s="87">
        <f t="shared" si="75"/>
        <v>832587.92199238273</v>
      </c>
      <c r="AA17" s="87">
        <f t="shared" si="76"/>
        <v>144560.46196876853</v>
      </c>
      <c r="AB17" s="87">
        <f t="shared" si="77"/>
        <v>1586.0611800423751</v>
      </c>
      <c r="AC17" s="80">
        <f t="shared" si="78"/>
        <v>1027823.9503947791</v>
      </c>
      <c r="AD17" s="84">
        <f>G17-AC17</f>
        <v>68693.049605220906</v>
      </c>
      <c r="AE17" s="80">
        <f t="shared" si="80"/>
        <v>1010142</v>
      </c>
      <c r="AF17" s="72">
        <f t="shared" si="81"/>
        <v>0.98279671300908333</v>
      </c>
      <c r="AG17" s="26">
        <f t="shared" si="82"/>
        <v>6.156886154850405E-2</v>
      </c>
      <c r="AH17" s="61">
        <f t="shared" si="14"/>
        <v>1954</v>
      </c>
      <c r="AI17" s="26">
        <f t="shared" si="15"/>
        <v>0.98279671300908333</v>
      </c>
      <c r="AJ17" s="75">
        <f>AW14*P17</f>
        <v>49089.505253585521</v>
      </c>
      <c r="AK17" s="61">
        <f t="shared" si="16"/>
        <v>832587.92199238273</v>
      </c>
      <c r="AL17" s="61">
        <f t="shared" si="16"/>
        <v>144560.46196876853</v>
      </c>
      <c r="AM17" s="61">
        <f t="shared" si="16"/>
        <v>1586.0611800423751</v>
      </c>
      <c r="AN17" s="79">
        <f t="shared" si="84"/>
        <v>1027823.9503947791</v>
      </c>
      <c r="AO17" s="80">
        <f t="shared" si="85"/>
        <v>1010142</v>
      </c>
      <c r="AP17" s="80">
        <f t="shared" si="86"/>
        <v>17681.950394779094</v>
      </c>
      <c r="AQ17" s="81">
        <v>1.0277653862439076</v>
      </c>
      <c r="AR17" s="81">
        <v>3.8188016440875022E-2</v>
      </c>
      <c r="AS17" s="81">
        <f>'SR + catch data Murdoch_age var'!N6</f>
        <v>2.7488017586953652E-2</v>
      </c>
      <c r="AT17" s="121">
        <f>'SR + catch data Murdoch_age var'!BR6</f>
        <v>-0.47382880251686166</v>
      </c>
      <c r="AU17" s="122">
        <f t="shared" si="87"/>
        <v>1.240168103225584</v>
      </c>
      <c r="AV17" s="122">
        <f t="shared" si="88"/>
        <v>1.197400677446222</v>
      </c>
      <c r="AW17" s="80">
        <f t="shared" si="17"/>
        <v>115358.80929294313</v>
      </c>
      <c r="AX17" s="80"/>
      <c r="AY17" s="141" t="e">
        <f t="shared" si="89"/>
        <v>#N/A</v>
      </c>
      <c r="AZ17" s="141"/>
      <c r="BA17" s="84" t="e">
        <f t="shared" si="90"/>
        <v>#N/A</v>
      </c>
      <c r="BB17" s="101">
        <v>1954</v>
      </c>
      <c r="BC17" s="72">
        <v>3.5750695088044487E-2</v>
      </c>
      <c r="BD17" s="72">
        <v>0.8358758109360519</v>
      </c>
      <c r="BE17" s="72">
        <v>0.11956904541241889</v>
      </c>
      <c r="BF17" s="72">
        <v>8.3410565338276187E-3</v>
      </c>
      <c r="BG17" s="72">
        <v>4.6339202965708991E-4</v>
      </c>
      <c r="BH17" s="78" t="e">
        <f>-NA()</f>
        <v>#N/A</v>
      </c>
      <c r="BI17" s="78" t="e">
        <f>-NA()</f>
        <v>#N/A</v>
      </c>
      <c r="BJ17" s="78" t="e">
        <f>-NA()</f>
        <v>#N/A</v>
      </c>
      <c r="BK17" s="78" t="e">
        <f>-NA()</f>
        <v>#N/A</v>
      </c>
      <c r="BL17" s="78" t="e">
        <f>-NA()</f>
        <v>#N/A</v>
      </c>
      <c r="BM17" s="56" t="e">
        <f>-NA()</f>
        <v>#N/A</v>
      </c>
      <c r="BN17" s="78" t="e">
        <f>NA()</f>
        <v>#N/A</v>
      </c>
      <c r="BO17" s="78" t="e">
        <f t="shared" si="91"/>
        <v>#N/A</v>
      </c>
      <c r="BP17" s="78" t="e">
        <v>#N/A</v>
      </c>
      <c r="BQ17" s="78" t="e">
        <f t="shared" si="18"/>
        <v>#N/A</v>
      </c>
      <c r="BR17" s="199" t="e">
        <f>-NA()</f>
        <v>#N/A</v>
      </c>
      <c r="BS17" s="78" t="e">
        <f t="shared" si="19"/>
        <v>#N/A</v>
      </c>
      <c r="BT17" s="78" t="e">
        <f t="shared" si="20"/>
        <v>#N/A</v>
      </c>
      <c r="BU17" s="78" t="e">
        <f t="shared" si="21"/>
        <v>#N/A</v>
      </c>
      <c r="BV17" s="78" t="e">
        <f t="shared" si="92"/>
        <v>#N/A</v>
      </c>
      <c r="BW17" s="78" t="e">
        <f t="shared" si="22"/>
        <v>#N/A</v>
      </c>
      <c r="BX17" s="78" t="e">
        <f t="shared" si="23"/>
        <v>#N/A</v>
      </c>
      <c r="BY17" s="78" t="e">
        <f t="shared" ref="BY17:CE17" si="148">$BF$10+SUMPRODUCT($BH$10:$BI$10,BW17:BX17)</f>
        <v>#N/A</v>
      </c>
      <c r="BZ17" s="78" t="e">
        <f t="shared" si="148"/>
        <v>#N/A</v>
      </c>
      <c r="CA17" s="78">
        <v>1954</v>
      </c>
      <c r="CB17" s="78" t="e">
        <f t="shared" si="25"/>
        <v>#N/A</v>
      </c>
      <c r="CC17" s="78" t="e">
        <f t="shared" si="26"/>
        <v>#N/A</v>
      </c>
      <c r="CD17" s="78" t="e">
        <f t="shared" si="148"/>
        <v>#N/A</v>
      </c>
      <c r="CE17" s="78" t="e">
        <f t="shared" si="148"/>
        <v>#N/A</v>
      </c>
      <c r="CF17" s="78" t="e">
        <f t="shared" si="27"/>
        <v>#N/A</v>
      </c>
      <c r="CG17" s="78" t="e">
        <f t="shared" si="28"/>
        <v>#N/A</v>
      </c>
      <c r="CH17" s="78" t="e">
        <f t="shared" si="29"/>
        <v>#N/A</v>
      </c>
      <c r="CI17" s="199" t="e">
        <f t="shared" si="30"/>
        <v>#N/A</v>
      </c>
      <c r="CJ17" s="78" t="e">
        <f t="shared" si="31"/>
        <v>#N/A</v>
      </c>
      <c r="CK17" s="78" t="e">
        <f t="shared" si="32"/>
        <v>#N/A</v>
      </c>
      <c r="CL17" s="78" t="e">
        <f t="shared" si="33"/>
        <v>#N/A</v>
      </c>
      <c r="CM17" s="78"/>
      <c r="CN17" s="180" t="e">
        <f t="shared" si="34"/>
        <v>#N/A</v>
      </c>
      <c r="CO17" s="78" t="e">
        <f t="shared" si="35"/>
        <v>#N/A</v>
      </c>
      <c r="CP17" s="78" t="e">
        <f t="shared" si="94"/>
        <v>#N/A</v>
      </c>
      <c r="CQ17" s="96" t="e">
        <f t="shared" si="36"/>
        <v>#N/A</v>
      </c>
      <c r="CR17" s="78" t="e">
        <f t="shared" si="95"/>
        <v>#N/A</v>
      </c>
      <c r="CS17" s="61" t="e">
        <f t="shared" si="96"/>
        <v>#N/A</v>
      </c>
      <c r="CT17" s="61" t="e">
        <f t="shared" si="97"/>
        <v>#N/A</v>
      </c>
      <c r="CU17" s="61" t="e">
        <f>NA()</f>
        <v>#N/A</v>
      </c>
      <c r="CV17" s="104" t="e">
        <f t="shared" si="98"/>
        <v>#N/A</v>
      </c>
      <c r="CW17" s="105">
        <f t="shared" si="99"/>
        <v>1.0277653862439076</v>
      </c>
      <c r="CX17" s="105">
        <f t="shared" si="100"/>
        <v>3.8188016440875022E-2</v>
      </c>
      <c r="CY17" s="105">
        <f t="shared" si="101"/>
        <v>2.7488017586953652E-2</v>
      </c>
      <c r="CZ17" s="123">
        <f t="shared" si="102"/>
        <v>-0.47382880251686166</v>
      </c>
      <c r="DA17" s="81">
        <f t="shared" si="103"/>
        <v>1.240168103225584</v>
      </c>
      <c r="DB17" s="9">
        <f t="shared" si="104"/>
        <v>115358.80929294313</v>
      </c>
      <c r="DD17" s="1" t="e">
        <f t="shared" si="105"/>
        <v>#N/A</v>
      </c>
      <c r="DE17" s="126" t="e">
        <f t="shared" si="106"/>
        <v>#N/A</v>
      </c>
      <c r="DF17" s="61">
        <v>1954</v>
      </c>
      <c r="DG17" s="26">
        <v>7.6142131979695434E-3</v>
      </c>
      <c r="DH17" s="26">
        <v>0.29512169725367693</v>
      </c>
      <c r="DI17" s="26">
        <v>0.6060236886632826</v>
      </c>
      <c r="DJ17" s="26">
        <v>8.8702329819081091E-2</v>
      </c>
      <c r="DK17" s="26">
        <v>2.5380710659898475E-3</v>
      </c>
      <c r="DL17" t="e">
        <f>NA()</f>
        <v>#N/A</v>
      </c>
      <c r="DM17" t="e">
        <f>NA()</f>
        <v>#N/A</v>
      </c>
      <c r="DN17" t="e">
        <f>NA()</f>
        <v>#N/A</v>
      </c>
      <c r="DO17" s="61" t="e">
        <f t="shared" si="107"/>
        <v>#N/A</v>
      </c>
      <c r="DP17" s="61" t="e">
        <f t="shared" si="108"/>
        <v>#N/A</v>
      </c>
      <c r="DQ17" s="61" t="e">
        <f t="shared" si="109"/>
        <v>#N/A</v>
      </c>
      <c r="DR17" s="61" t="e">
        <f>NA()</f>
        <v>#N/A</v>
      </c>
      <c r="DS17" s="61" t="e">
        <f>NA()</f>
        <v>#N/A</v>
      </c>
      <c r="DT17" s="113" t="e">
        <f t="shared" si="39"/>
        <v>#N/A</v>
      </c>
      <c r="DU17" s="76" t="e">
        <f t="shared" si="40"/>
        <v>#N/A</v>
      </c>
      <c r="DV17" s="72" t="e">
        <f t="shared" si="110"/>
        <v>#N/A</v>
      </c>
      <c r="DW17" s="201" t="e">
        <f t="shared" si="111"/>
        <v>#N/A</v>
      </c>
      <c r="DX17" s="72" t="e">
        <f t="shared" si="112"/>
        <v>#N/A</v>
      </c>
      <c r="DY17" s="72" t="e">
        <f t="shared" si="113"/>
        <v>#N/A</v>
      </c>
      <c r="DZ17" s="72" t="e">
        <f t="shared" si="114"/>
        <v>#N/A</v>
      </c>
      <c r="EA17" s="72" t="e">
        <f t="shared" si="115"/>
        <v>#N/A</v>
      </c>
      <c r="EB17" s="72" t="e">
        <f t="shared" si="116"/>
        <v>#N/A</v>
      </c>
      <c r="EC17" s="72" t="e">
        <f t="shared" si="117"/>
        <v>#N/A</v>
      </c>
      <c r="ED17" s="72" t="e">
        <f t="shared" si="118"/>
        <v>#N/A</v>
      </c>
      <c r="EE17" s="72"/>
      <c r="EF17">
        <v>1954</v>
      </c>
      <c r="EG17" s="72" t="e">
        <f t="shared" si="119"/>
        <v>#N/A</v>
      </c>
      <c r="EH17" t="e">
        <f>NA()</f>
        <v>#N/A</v>
      </c>
      <c r="EI17" t="e">
        <f>NA()</f>
        <v>#N/A</v>
      </c>
      <c r="EJ17" t="e">
        <f>NA()</f>
        <v>#N/A</v>
      </c>
      <c r="EK17" t="e">
        <f>NA()</f>
        <v>#N/A</v>
      </c>
      <c r="EL17" t="e">
        <f>NA()</f>
        <v>#N/A</v>
      </c>
      <c r="EM17" t="e">
        <f>NA()</f>
        <v>#N/A</v>
      </c>
      <c r="EN17" s="199" t="e">
        <f>NA()</f>
        <v>#N/A</v>
      </c>
      <c r="EO17" t="e">
        <f>NA()</f>
        <v>#N/A</v>
      </c>
      <c r="EP17" t="e">
        <f>NA()</f>
        <v>#N/A</v>
      </c>
      <c r="EQ17" t="e">
        <f>NA()</f>
        <v>#N/A</v>
      </c>
      <c r="ER17" s="180" t="e">
        <f>NA()</f>
        <v>#N/A</v>
      </c>
      <c r="ES17" t="e">
        <f>NA()</f>
        <v>#N/A</v>
      </c>
      <c r="ET17" t="e">
        <f>NA()</f>
        <v>#N/A</v>
      </c>
      <c r="EU17" t="e">
        <f>NA()</f>
        <v>#N/A</v>
      </c>
      <c r="EV17" t="e">
        <f>NA()</f>
        <v>#N/A</v>
      </c>
      <c r="EW17" s="61" t="e">
        <f t="shared" si="120"/>
        <v>#N/A</v>
      </c>
      <c r="EX17" s="9" t="e">
        <f t="shared" si="46"/>
        <v>#N/A</v>
      </c>
      <c r="EY17" s="9" t="e">
        <f t="shared" si="47"/>
        <v>#N/A</v>
      </c>
      <c r="EZ17" s="9" t="e">
        <f t="shared" si="48"/>
        <v>#N/A</v>
      </c>
      <c r="FA17" s="72" t="e">
        <f t="shared" si="49"/>
        <v>#N/A</v>
      </c>
      <c r="FB17">
        <v>1954</v>
      </c>
      <c r="FC17" s="116">
        <f t="shared" si="121"/>
        <v>17681.950394779094</v>
      </c>
      <c r="FD17" s="116">
        <f t="shared" si="122"/>
        <v>73441.164457549574</v>
      </c>
      <c r="FE17" s="116">
        <f t="shared" si="123"/>
        <v>1096517</v>
      </c>
      <c r="FF17" s="116">
        <f t="shared" si="124"/>
        <v>60579.556798246718</v>
      </c>
      <c r="FG17" s="5">
        <f t="shared" si="125"/>
        <v>12861.607659302856</v>
      </c>
      <c r="FH17" s="5" t="e">
        <f>NA()</f>
        <v>#N/A</v>
      </c>
      <c r="FI17" s="155">
        <f t="shared" si="126"/>
        <v>0.17512804643419178</v>
      </c>
      <c r="FJ17" s="117">
        <f t="shared" si="127"/>
        <v>17.512804643419177</v>
      </c>
      <c r="FK17" s="61">
        <f t="shared" si="50"/>
        <v>10367.151337857522</v>
      </c>
      <c r="FL17" s="61">
        <f t="shared" si="142"/>
        <v>7.0840255017177114</v>
      </c>
      <c r="FM17" s="92">
        <f t="shared" si="128"/>
        <v>1.2406115470058179</v>
      </c>
      <c r="FN17" s="72">
        <f t="shared" si="129"/>
        <v>0.17512804643419178</v>
      </c>
      <c r="FO17" s="179">
        <f t="shared" si="51"/>
        <v>4.1353718233527265E-2</v>
      </c>
      <c r="FP17" s="92">
        <f>AVERAGE($FM$14:FM17)</f>
        <v>7.2559171238831119</v>
      </c>
      <c r="FQ17" s="1">
        <f t="shared" si="143"/>
        <v>-0.27011024264166406</v>
      </c>
      <c r="FR17" s="26">
        <f t="shared" si="130"/>
        <v>1.6455869965720309</v>
      </c>
      <c r="FS17">
        <f t="shared" si="52"/>
        <v>1954</v>
      </c>
      <c r="FT17" s="5" t="e">
        <f t="shared" si="53"/>
        <v>#N/A</v>
      </c>
      <c r="FU17" s="213" t="e">
        <f t="shared" si="54"/>
        <v>#N/A</v>
      </c>
      <c r="FV17" s="213" t="e">
        <f t="shared" si="131"/>
        <v>#N/A</v>
      </c>
      <c r="FW17" s="5" t="e">
        <f t="shared" si="132"/>
        <v>#N/A</v>
      </c>
      <c r="FX17" t="e">
        <f t="shared" si="133"/>
        <v>#N/A</v>
      </c>
      <c r="FY17" t="e">
        <f t="shared" si="55"/>
        <v>#N/A</v>
      </c>
      <c r="FZ17" t="e">
        <f t="shared" si="134"/>
        <v>#N/A</v>
      </c>
      <c r="GA17" t="e">
        <f t="shared" si="56"/>
        <v>#N/A</v>
      </c>
      <c r="GB17" s="61" t="e">
        <f t="shared" si="135"/>
        <v>#N/A</v>
      </c>
      <c r="GC17" s="61" t="e">
        <f t="shared" si="57"/>
        <v>#N/A</v>
      </c>
      <c r="GD17" s="61" t="e">
        <f>NA()</f>
        <v>#N/A</v>
      </c>
      <c r="GE17" s="61" t="e">
        <f t="shared" si="136"/>
        <v>#N/A</v>
      </c>
      <c r="GF17" s="61" t="e">
        <f t="shared" si="137"/>
        <v>#N/A</v>
      </c>
      <c r="GG17" s="61" t="e">
        <f>NA()</f>
        <v>#N/A</v>
      </c>
      <c r="GH17" s="6" t="e">
        <f t="shared" si="138"/>
        <v>#N/A</v>
      </c>
      <c r="GI17" t="e">
        <f t="shared" si="58"/>
        <v>#N/A</v>
      </c>
      <c r="GJ17" s="26" t="e">
        <f t="shared" si="139"/>
        <v>#N/A</v>
      </c>
      <c r="GK17" t="e">
        <f t="shared" si="59"/>
        <v>#N/A</v>
      </c>
      <c r="GL17" s="232">
        <f t="shared" si="140"/>
        <v>1.6455869965720309</v>
      </c>
      <c r="GN17">
        <v>9</v>
      </c>
      <c r="GO17">
        <v>6</v>
      </c>
      <c r="GP17" s="46">
        <v>3</v>
      </c>
      <c r="GS17" s="167">
        <v>28</v>
      </c>
      <c r="GT17" s="46"/>
      <c r="GU17" s="167">
        <v>24</v>
      </c>
      <c r="GV17" s="46">
        <v>6</v>
      </c>
      <c r="GW17" s="6">
        <f>SUM($GV$10:GV17)/$GV$28</f>
        <v>0.51515151515151514</v>
      </c>
      <c r="GY17">
        <v>1954</v>
      </c>
      <c r="GZ17" s="112">
        <f t="shared" si="60"/>
        <v>1.240168103225584</v>
      </c>
      <c r="HA17" s="26" t="e">
        <f t="shared" si="61"/>
        <v>#N/A</v>
      </c>
      <c r="HB17" s="26" t="e">
        <f t="shared" si="62"/>
        <v>#N/A</v>
      </c>
    </row>
    <row r="18" spans="1:210" x14ac:dyDescent="0.35">
      <c r="A18">
        <v>1955</v>
      </c>
      <c r="D18" s="80">
        <f>'SR + catch data Murdoch_age var'!C7</f>
        <v>110500</v>
      </c>
      <c r="E18" s="80">
        <f>'SR + catch data Murdoch_age var'!E7</f>
        <v>606789.30472412845</v>
      </c>
      <c r="F18" s="231">
        <f t="shared" si="63"/>
        <v>1.7031661006594034</v>
      </c>
      <c r="G18" s="80">
        <f>'SR + catch data Murdoch_age var'!D7</f>
        <v>397099</v>
      </c>
      <c r="H18" s="80">
        <f>'Orig data'!Q9</f>
        <v>397099</v>
      </c>
      <c r="I18" s="80">
        <f t="shared" si="64"/>
        <v>286599</v>
      </c>
      <c r="J18" s="150">
        <f t="shared" si="65"/>
        <v>0.72173186031694869</v>
      </c>
      <c r="K18" s="83">
        <f>'SR + catch data Murdoch_age var'!CM7</f>
        <v>1.5065636129896651</v>
      </c>
      <c r="L18" s="83">
        <f>'SR + catch data Murdoch_age var'!CN7</f>
        <v>1.1484773547398874</v>
      </c>
      <c r="M18" s="84">
        <f>'SR + catch data Murdoch_age var'!CO7</f>
        <v>471946.92732114426</v>
      </c>
      <c r="N18" s="81">
        <f t="shared" si="66"/>
        <v>0.25131508446996392</v>
      </c>
      <c r="O18" s="82">
        <f t="shared" si="67"/>
        <v>1955</v>
      </c>
      <c r="P18" s="81">
        <f t="shared" si="68"/>
        <v>0.10741516534518507</v>
      </c>
      <c r="Q18" s="81">
        <f t="shared" si="12"/>
        <v>0.75930233821489568</v>
      </c>
      <c r="R18" s="81">
        <f t="shared" si="12"/>
        <v>0.13183604264117066</v>
      </c>
      <c r="S18" s="85">
        <f t="shared" si="12"/>
        <v>1.4464537987485602E-3</v>
      </c>
      <c r="T18" s="80">
        <f t="shared" si="144"/>
        <v>42654.454743407645</v>
      </c>
      <c r="U18" s="80">
        <f t="shared" si="145"/>
        <v>301518.19920279685</v>
      </c>
      <c r="V18" s="80">
        <f t="shared" si="146"/>
        <v>52351.960696766226</v>
      </c>
      <c r="W18" s="80">
        <f t="shared" si="147"/>
        <v>574.38535702925458</v>
      </c>
      <c r="X18" s="86">
        <f t="shared" si="73"/>
        <v>1955</v>
      </c>
      <c r="Y18" s="79">
        <f t="shared" ref="Y18:Y81" si="149">$M15*P18*EXP($N15)</f>
        <v>32086.727469935478</v>
      </c>
      <c r="Z18" s="79">
        <f>$M14*Q18*EXP($N14)</f>
        <v>347006.64474218682</v>
      </c>
      <c r="AA18" s="87">
        <f t="shared" si="76"/>
        <v>52351.960696766226</v>
      </c>
      <c r="AB18" s="87">
        <f t="shared" si="77"/>
        <v>574.38535702925458</v>
      </c>
      <c r="AC18" s="80">
        <f t="shared" si="78"/>
        <v>432019.71826591779</v>
      </c>
      <c r="AD18" s="84">
        <f t="shared" si="79"/>
        <v>-34920.718265917792</v>
      </c>
      <c r="AE18" s="80">
        <f t="shared" si="80"/>
        <v>286599</v>
      </c>
      <c r="AF18" s="72">
        <f t="shared" si="81"/>
        <v>0.66339333109696608</v>
      </c>
      <c r="AG18" s="26">
        <f t="shared" si="82"/>
        <v>-5.8338529219982616E-2</v>
      </c>
      <c r="AH18" s="61">
        <f t="shared" si="14"/>
        <v>1955</v>
      </c>
      <c r="AI18" s="26">
        <f t="shared" si="15"/>
        <v>0.66339333109696608</v>
      </c>
      <c r="AJ18" s="75">
        <f t="shared" ref="AJ18:AJ79" si="150">AW15*P18</f>
        <v>32086.727469935475</v>
      </c>
      <c r="AK18" s="75">
        <f>AW14*Q18</f>
        <v>347006.64474218682</v>
      </c>
      <c r="AL18" s="61">
        <f t="shared" si="16"/>
        <v>52351.960696766226</v>
      </c>
      <c r="AM18" s="61">
        <f t="shared" si="16"/>
        <v>574.38535702925458</v>
      </c>
      <c r="AN18" s="79">
        <f t="shared" si="84"/>
        <v>432019.71826591779</v>
      </c>
      <c r="AO18" s="80">
        <f t="shared" si="85"/>
        <v>286599</v>
      </c>
      <c r="AP18" s="80">
        <f t="shared" si="86"/>
        <v>145420.71826591779</v>
      </c>
      <c r="AQ18" s="81">
        <v>1.0857902136565754</v>
      </c>
      <c r="AR18" s="81">
        <v>-0.15949112748836022</v>
      </c>
      <c r="AS18" s="81">
        <f>'SR + catch data Murdoch_age var'!N7</f>
        <v>-2.2917071982030355</v>
      </c>
      <c r="AT18" s="121">
        <f>'SR + catch data Murdoch_age var'!BR7</f>
        <v>-0.6324361183778815</v>
      </c>
      <c r="AU18" s="122">
        <f t="shared" si="87"/>
        <v>1.5065636129896651</v>
      </c>
      <c r="AV18" s="122">
        <f t="shared" si="88"/>
        <v>1.4518510161894393</v>
      </c>
      <c r="AW18" s="80">
        <f t="shared" si="17"/>
        <v>784860.99103573873</v>
      </c>
      <c r="AX18" s="80"/>
      <c r="AY18" s="141" t="e">
        <f t="shared" si="89"/>
        <v>#N/A</v>
      </c>
      <c r="AZ18" s="141"/>
      <c r="BA18" s="84" t="e">
        <f t="shared" si="90"/>
        <v>#N/A</v>
      </c>
      <c r="BB18" s="101">
        <v>1955</v>
      </c>
      <c r="BC18" s="72">
        <v>3.5750695088044487E-2</v>
      </c>
      <c r="BD18" s="72">
        <v>0.8358758109360519</v>
      </c>
      <c r="BE18" s="72">
        <v>0.11956904541241889</v>
      </c>
      <c r="BF18" s="72">
        <v>8.3410565338276187E-3</v>
      </c>
      <c r="BG18" s="72">
        <v>4.6339202965708991E-4</v>
      </c>
      <c r="BH18" s="78" t="e">
        <f>-NA()</f>
        <v>#N/A</v>
      </c>
      <c r="BI18" s="78" t="e">
        <f>-NA()</f>
        <v>#N/A</v>
      </c>
      <c r="BJ18" s="78" t="e">
        <f>-NA()</f>
        <v>#N/A</v>
      </c>
      <c r="BK18" s="78" t="e">
        <f>-NA()</f>
        <v>#N/A</v>
      </c>
      <c r="BL18" s="78" t="e">
        <f>-NA()</f>
        <v>#N/A</v>
      </c>
      <c r="BM18" s="56" t="e">
        <f>-NA()</f>
        <v>#N/A</v>
      </c>
      <c r="BN18" s="78" t="e">
        <f>NA()</f>
        <v>#N/A</v>
      </c>
      <c r="BO18" s="78" t="e">
        <f t="shared" si="91"/>
        <v>#N/A</v>
      </c>
      <c r="BP18" s="78" t="e">
        <v>#N/A</v>
      </c>
      <c r="BQ18" s="78" t="e">
        <f t="shared" si="18"/>
        <v>#N/A</v>
      </c>
      <c r="BR18" s="199" t="e">
        <f>-NA()</f>
        <v>#N/A</v>
      </c>
      <c r="BS18" s="78" t="e">
        <f t="shared" si="19"/>
        <v>#N/A</v>
      </c>
      <c r="BT18" s="78" t="e">
        <f t="shared" si="20"/>
        <v>#N/A</v>
      </c>
      <c r="BU18" s="78" t="e">
        <f t="shared" si="21"/>
        <v>#N/A</v>
      </c>
      <c r="BV18" s="78" t="e">
        <f t="shared" si="92"/>
        <v>#N/A</v>
      </c>
      <c r="BW18" s="78" t="e">
        <f t="shared" si="22"/>
        <v>#N/A</v>
      </c>
      <c r="BX18" s="78" t="e">
        <f t="shared" si="23"/>
        <v>#N/A</v>
      </c>
      <c r="BY18" s="78" t="e">
        <f t="shared" ref="BY18:CE18" si="151">$BF$10+SUMPRODUCT($BH$10:$BI$10,BW18:BX18)</f>
        <v>#N/A</v>
      </c>
      <c r="BZ18" s="78" t="e">
        <f t="shared" si="151"/>
        <v>#N/A</v>
      </c>
      <c r="CA18" s="78">
        <v>1955</v>
      </c>
      <c r="CB18" s="78" t="e">
        <f t="shared" si="25"/>
        <v>#N/A</v>
      </c>
      <c r="CC18" s="78" t="e">
        <f t="shared" si="26"/>
        <v>#N/A</v>
      </c>
      <c r="CD18" s="78" t="e">
        <f t="shared" si="151"/>
        <v>#N/A</v>
      </c>
      <c r="CE18" s="78" t="e">
        <f t="shared" si="151"/>
        <v>#N/A</v>
      </c>
      <c r="CF18" s="78" t="e">
        <f t="shared" si="27"/>
        <v>#N/A</v>
      </c>
      <c r="CG18" s="78" t="e">
        <f t="shared" si="28"/>
        <v>#N/A</v>
      </c>
      <c r="CH18" s="78" t="e">
        <f t="shared" si="29"/>
        <v>#N/A</v>
      </c>
      <c r="CI18" s="199" t="e">
        <f t="shared" si="30"/>
        <v>#N/A</v>
      </c>
      <c r="CJ18" s="78" t="e">
        <f t="shared" si="31"/>
        <v>#N/A</v>
      </c>
      <c r="CK18" s="78" t="e">
        <f t="shared" si="32"/>
        <v>#N/A</v>
      </c>
      <c r="CL18" s="78" t="e">
        <f t="shared" si="33"/>
        <v>#N/A</v>
      </c>
      <c r="CM18" s="78"/>
      <c r="CN18" s="180" t="e">
        <f t="shared" si="34"/>
        <v>#N/A</v>
      </c>
      <c r="CO18" s="78" t="e">
        <f t="shared" si="35"/>
        <v>#N/A</v>
      </c>
      <c r="CP18" s="78" t="e">
        <f t="shared" si="94"/>
        <v>#N/A</v>
      </c>
      <c r="CQ18" s="96" t="e">
        <f t="shared" si="36"/>
        <v>#N/A</v>
      </c>
      <c r="CR18" s="78" t="e">
        <f t="shared" si="95"/>
        <v>#N/A</v>
      </c>
      <c r="CS18" s="61" t="e">
        <f t="shared" si="96"/>
        <v>#N/A</v>
      </c>
      <c r="CT18" s="61" t="e">
        <f t="shared" si="97"/>
        <v>#N/A</v>
      </c>
      <c r="CU18" s="61" t="e">
        <f>NA()</f>
        <v>#N/A</v>
      </c>
      <c r="CV18" s="104" t="e">
        <f t="shared" si="98"/>
        <v>#N/A</v>
      </c>
      <c r="CW18" s="105">
        <f t="shared" si="99"/>
        <v>1.0857902136565754</v>
      </c>
      <c r="CX18" s="105">
        <f t="shared" si="100"/>
        <v>-0.15949112748836022</v>
      </c>
      <c r="CY18" s="105">
        <f t="shared" si="101"/>
        <v>-2.2917071982030355</v>
      </c>
      <c r="CZ18" s="123">
        <f t="shared" si="102"/>
        <v>-0.6324361183778815</v>
      </c>
      <c r="DA18" s="81">
        <f t="shared" si="103"/>
        <v>1.5065636129896651</v>
      </c>
      <c r="DB18" s="9">
        <f t="shared" si="104"/>
        <v>784860.99103573873</v>
      </c>
      <c r="DD18" s="1" t="e">
        <f t="shared" si="105"/>
        <v>#N/A</v>
      </c>
      <c r="DE18" s="126" t="e">
        <f t="shared" si="106"/>
        <v>#N/A</v>
      </c>
      <c r="DF18" s="61">
        <v>1955</v>
      </c>
      <c r="DG18" s="26">
        <v>7.6142131979695434E-3</v>
      </c>
      <c r="DH18" s="26">
        <v>0.29512169725367693</v>
      </c>
      <c r="DI18" s="26">
        <v>0.6060236886632826</v>
      </c>
      <c r="DJ18" s="26">
        <v>8.8702329819081091E-2</v>
      </c>
      <c r="DK18" s="26">
        <v>2.5380710659898475E-3</v>
      </c>
      <c r="DL18" t="e">
        <f>NA()</f>
        <v>#N/A</v>
      </c>
      <c r="DM18" t="e">
        <f>NA()</f>
        <v>#N/A</v>
      </c>
      <c r="DN18" t="e">
        <f>NA()</f>
        <v>#N/A</v>
      </c>
      <c r="DO18" s="61" t="e">
        <f t="shared" si="107"/>
        <v>#N/A</v>
      </c>
      <c r="DP18" s="61" t="e">
        <f t="shared" si="108"/>
        <v>#N/A</v>
      </c>
      <c r="DQ18" s="61" t="e">
        <f t="shared" si="109"/>
        <v>#N/A</v>
      </c>
      <c r="DR18" s="61" t="e">
        <f>NA()</f>
        <v>#N/A</v>
      </c>
      <c r="DS18" s="61" t="e">
        <f>NA()</f>
        <v>#N/A</v>
      </c>
      <c r="DT18" s="113" t="e">
        <f t="shared" si="39"/>
        <v>#N/A</v>
      </c>
      <c r="DU18" s="76" t="e">
        <f t="shared" si="40"/>
        <v>#N/A</v>
      </c>
      <c r="DV18" s="72" t="e">
        <f t="shared" si="110"/>
        <v>#N/A</v>
      </c>
      <c r="DW18" s="201" t="e">
        <f t="shared" si="111"/>
        <v>#N/A</v>
      </c>
      <c r="DX18" s="72" t="e">
        <f t="shared" si="112"/>
        <v>#N/A</v>
      </c>
      <c r="DY18" s="72" t="e">
        <f t="shared" si="113"/>
        <v>#N/A</v>
      </c>
      <c r="DZ18" s="72" t="e">
        <f t="shared" si="114"/>
        <v>#N/A</v>
      </c>
      <c r="EA18" s="72" t="e">
        <f t="shared" si="115"/>
        <v>#N/A</v>
      </c>
      <c r="EB18" s="72" t="e">
        <f t="shared" si="116"/>
        <v>#N/A</v>
      </c>
      <c r="EC18" s="72" t="e">
        <f t="shared" si="117"/>
        <v>#N/A</v>
      </c>
      <c r="ED18" s="72" t="e">
        <f t="shared" si="118"/>
        <v>#N/A</v>
      </c>
      <c r="EE18" s="72"/>
      <c r="EF18">
        <v>1955</v>
      </c>
      <c r="EG18" s="72" t="e">
        <f t="shared" si="119"/>
        <v>#N/A</v>
      </c>
      <c r="EH18" t="e">
        <f>NA()</f>
        <v>#N/A</v>
      </c>
      <c r="EI18" t="e">
        <f>NA()</f>
        <v>#N/A</v>
      </c>
      <c r="EJ18" t="e">
        <f>NA()</f>
        <v>#N/A</v>
      </c>
      <c r="EK18" t="e">
        <f>NA()</f>
        <v>#N/A</v>
      </c>
      <c r="EL18" t="e">
        <f>NA()</f>
        <v>#N/A</v>
      </c>
      <c r="EM18" t="e">
        <f>NA()</f>
        <v>#N/A</v>
      </c>
      <c r="EN18" s="199" t="e">
        <f>NA()</f>
        <v>#N/A</v>
      </c>
      <c r="EO18" t="e">
        <f>NA()</f>
        <v>#N/A</v>
      </c>
      <c r="EP18" t="e">
        <f>NA()</f>
        <v>#N/A</v>
      </c>
      <c r="EQ18" t="e">
        <f>NA()</f>
        <v>#N/A</v>
      </c>
      <c r="ER18" s="180" t="e">
        <f>NA()</f>
        <v>#N/A</v>
      </c>
      <c r="ES18" t="e">
        <f>NA()</f>
        <v>#N/A</v>
      </c>
      <c r="ET18" t="e">
        <f>NA()</f>
        <v>#N/A</v>
      </c>
      <c r="EU18" t="e">
        <f>NA()</f>
        <v>#N/A</v>
      </c>
      <c r="EV18" t="e">
        <f>NA()</f>
        <v>#N/A</v>
      </c>
      <c r="EW18" s="61" t="e">
        <f t="shared" si="120"/>
        <v>#N/A</v>
      </c>
      <c r="EX18" s="9" t="e">
        <f t="shared" si="46"/>
        <v>#N/A</v>
      </c>
      <c r="EY18" s="9" t="e">
        <f t="shared" si="47"/>
        <v>#N/A</v>
      </c>
      <c r="EZ18" s="9" t="e">
        <f t="shared" si="48"/>
        <v>#N/A</v>
      </c>
      <c r="FA18" s="72" t="e">
        <f t="shared" si="49"/>
        <v>#N/A</v>
      </c>
      <c r="FB18">
        <v>1955</v>
      </c>
      <c r="FC18" s="116">
        <f t="shared" si="121"/>
        <v>145420.71826591779</v>
      </c>
      <c r="FD18" s="116">
        <f t="shared" si="122"/>
        <v>714191.79541674536</v>
      </c>
      <c r="FE18" s="116">
        <f>MAX(AN18,H18,FD14)</f>
        <v>493491.60241446015</v>
      </c>
      <c r="FF18" s="116">
        <f t="shared" si="124"/>
        <v>610447.03690344351</v>
      </c>
      <c r="FG18" s="5">
        <f t="shared" si="125"/>
        <v>103744.75851330184</v>
      </c>
      <c r="FH18" s="5">
        <f>FG14</f>
        <v>144778.49606617738</v>
      </c>
      <c r="FI18" s="155">
        <f t="shared" si="126"/>
        <v>0.14526176186715317</v>
      </c>
      <c r="FJ18" s="117">
        <f t="shared" si="127"/>
        <v>14.526176186715317</v>
      </c>
      <c r="FK18" s="61">
        <f t="shared" si="50"/>
        <v>8451.9430459712585</v>
      </c>
      <c r="FL18" s="61">
        <f t="shared" si="142"/>
        <v>84.500308571905876</v>
      </c>
      <c r="FM18" s="92">
        <f t="shared" si="128"/>
        <v>12.274663701473154</v>
      </c>
      <c r="FN18" s="72">
        <f t="shared" si="129"/>
        <v>0.14526176186715317</v>
      </c>
      <c r="FO18" s="179">
        <f t="shared" si="51"/>
        <v>0.4091554567157718</v>
      </c>
      <c r="FP18" s="92">
        <f>AVERAGE($FM$14:FM18)</f>
        <v>8.2596664394011192</v>
      </c>
      <c r="FQ18" s="1">
        <f t="shared" si="143"/>
        <v>-0.18473814353346374</v>
      </c>
      <c r="FR18" s="26">
        <f t="shared" si="130"/>
        <v>1.3415843098025055</v>
      </c>
      <c r="FS18">
        <f t="shared" si="52"/>
        <v>1955</v>
      </c>
      <c r="FT18" s="5" t="e">
        <f t="shared" si="53"/>
        <v>#N/A</v>
      </c>
      <c r="FU18" s="213" t="e">
        <f t="shared" si="54"/>
        <v>#N/A</v>
      </c>
      <c r="FV18" s="213" t="e">
        <f t="shared" si="131"/>
        <v>#N/A</v>
      </c>
      <c r="FW18" s="5" t="e">
        <f t="shared" si="132"/>
        <v>#N/A</v>
      </c>
      <c r="FX18" t="e">
        <f t="shared" si="133"/>
        <v>#N/A</v>
      </c>
      <c r="FY18" t="e">
        <f t="shared" si="55"/>
        <v>#N/A</v>
      </c>
      <c r="FZ18" t="e">
        <f t="shared" si="134"/>
        <v>#N/A</v>
      </c>
      <c r="GA18" t="e">
        <f t="shared" si="56"/>
        <v>#N/A</v>
      </c>
      <c r="GB18" s="61" t="e">
        <f t="shared" si="135"/>
        <v>#N/A</v>
      </c>
      <c r="GC18" s="61" t="e">
        <f t="shared" si="57"/>
        <v>#N/A</v>
      </c>
      <c r="GD18" s="61" t="e">
        <f>NA()</f>
        <v>#N/A</v>
      </c>
      <c r="GE18" s="61" t="e">
        <f t="shared" si="136"/>
        <v>#N/A</v>
      </c>
      <c r="GF18" s="61" t="e">
        <f t="shared" si="137"/>
        <v>#N/A</v>
      </c>
      <c r="GG18" s="61" t="e">
        <f>NA()</f>
        <v>#N/A</v>
      </c>
      <c r="GH18" s="6" t="e">
        <f t="shared" si="138"/>
        <v>#N/A</v>
      </c>
      <c r="GI18" t="e">
        <f t="shared" si="58"/>
        <v>#N/A</v>
      </c>
      <c r="GJ18" s="26" t="e">
        <f t="shared" si="139"/>
        <v>#N/A</v>
      </c>
      <c r="GK18" t="e">
        <f t="shared" si="59"/>
        <v>#N/A</v>
      </c>
      <c r="GL18" s="232">
        <f t="shared" si="140"/>
        <v>1.3415843098025055</v>
      </c>
      <c r="GN18">
        <v>12</v>
      </c>
      <c r="GO18">
        <v>9</v>
      </c>
      <c r="GP18" s="46">
        <v>6</v>
      </c>
      <c r="GS18" s="167">
        <v>32</v>
      </c>
      <c r="GT18" s="46"/>
      <c r="GU18" s="167">
        <v>28</v>
      </c>
      <c r="GV18" s="46">
        <v>6</v>
      </c>
      <c r="GW18" s="6">
        <f>SUM($GV$10:GV18)/$GV$28</f>
        <v>0.60606060606060608</v>
      </c>
      <c r="GY18">
        <v>1955</v>
      </c>
      <c r="GZ18" s="112">
        <f t="shared" si="60"/>
        <v>1.5065636129896651</v>
      </c>
      <c r="HA18" s="26" t="e">
        <f t="shared" si="61"/>
        <v>#N/A</v>
      </c>
      <c r="HB18" s="26" t="e">
        <f t="shared" si="62"/>
        <v>#N/A</v>
      </c>
    </row>
    <row r="19" spans="1:210" x14ac:dyDescent="0.35">
      <c r="A19">
        <v>1956</v>
      </c>
      <c r="D19" s="80">
        <f>'SR + catch data Murdoch_age var'!C8</f>
        <v>32950</v>
      </c>
      <c r="E19" s="80">
        <f>'SR + catch data Murdoch_age var'!E8</f>
        <v>400464.07254387828</v>
      </c>
      <c r="F19" s="231">
        <f t="shared" si="63"/>
        <v>2.4976327950288582</v>
      </c>
      <c r="G19" s="80">
        <f>'SR + catch data Murdoch_age var'!D8</f>
        <v>282627</v>
      </c>
      <c r="H19" s="80">
        <f>'Orig data'!Q10</f>
        <v>282627</v>
      </c>
      <c r="I19" s="80">
        <f t="shared" si="64"/>
        <v>249677</v>
      </c>
      <c r="J19" s="150">
        <f t="shared" si="65"/>
        <v>0.88341524341269584</v>
      </c>
      <c r="K19" s="83">
        <f>'SR + catch data Murdoch_age var'!CM8</f>
        <v>1.2257965190082776</v>
      </c>
      <c r="L19" s="83">
        <f>'SR + catch data Murdoch_age var'!CN8</f>
        <v>1.1484773547398874</v>
      </c>
      <c r="M19" s="84">
        <f>'SR + catch data Murdoch_age var'!CO8</f>
        <v>110440.07081186434</v>
      </c>
      <c r="N19" s="81">
        <f t="shared" si="66"/>
        <v>1.2881510277361228</v>
      </c>
      <c r="O19" s="82">
        <f t="shared" si="67"/>
        <v>1956</v>
      </c>
      <c r="P19" s="81">
        <f t="shared" si="68"/>
        <v>0.10741516534518507</v>
      </c>
      <c r="Q19" s="81">
        <f t="shared" si="12"/>
        <v>0.75930233821489568</v>
      </c>
      <c r="R19" s="81">
        <f t="shared" si="12"/>
        <v>0.13183604264117066</v>
      </c>
      <c r="S19" s="85">
        <f t="shared" si="12"/>
        <v>1.4464537987485602E-3</v>
      </c>
      <c r="T19" s="80">
        <f t="shared" si="144"/>
        <v>30358.42593601362</v>
      </c>
      <c r="U19" s="80">
        <f t="shared" si="145"/>
        <v>214599.34194266133</v>
      </c>
      <c r="V19" s="80">
        <f t="shared" si="146"/>
        <v>37260.425223546139</v>
      </c>
      <c r="W19" s="80">
        <f t="shared" si="147"/>
        <v>408.80689777890933</v>
      </c>
      <c r="X19" s="86">
        <f t="shared" si="73"/>
        <v>1956</v>
      </c>
      <c r="Y19" s="79">
        <f t="shared" si="149"/>
        <v>36440.310610794477</v>
      </c>
      <c r="Z19" s="79">
        <f t="shared" ref="Z19:Z82" si="152">$M15*Q19*EXP($N15)</f>
        <v>226816.45664550699</v>
      </c>
      <c r="AA19" s="79">
        <f>$M14*R19*EXP($N14)</f>
        <v>60250.022304097045</v>
      </c>
      <c r="AB19" s="87">
        <f t="shared" si="77"/>
        <v>408.80689777890933</v>
      </c>
      <c r="AC19" s="80">
        <f t="shared" si="78"/>
        <v>323915.59645817749</v>
      </c>
      <c r="AD19" s="84">
        <f t="shared" si="79"/>
        <v>-41288.59645817749</v>
      </c>
      <c r="AE19" s="80">
        <f t="shared" si="80"/>
        <v>249677</v>
      </c>
      <c r="AF19" s="72">
        <f t="shared" si="81"/>
        <v>0.77080882405808193</v>
      </c>
      <c r="AG19" s="26">
        <f t="shared" si="82"/>
        <v>-0.11260641935461391</v>
      </c>
      <c r="AH19" s="61">
        <f t="shared" si="14"/>
        <v>1956</v>
      </c>
      <c r="AI19" s="26">
        <f t="shared" si="15"/>
        <v>0.77080882405808193</v>
      </c>
      <c r="AJ19" s="75">
        <f t="shared" si="150"/>
        <v>36440.310610794455</v>
      </c>
      <c r="AK19" s="75">
        <f t="shared" ref="AK19:AK79" si="153">AW15*Q19</f>
        <v>226816.45664550696</v>
      </c>
      <c r="AL19" s="75">
        <f>AW14*R19</f>
        <v>60250.022304097038</v>
      </c>
      <c r="AM19" s="61">
        <f t="shared" si="16"/>
        <v>408.80689777890933</v>
      </c>
      <c r="AN19" s="79">
        <f t="shared" si="84"/>
        <v>323915.59645817737</v>
      </c>
      <c r="AO19" s="80">
        <f t="shared" si="85"/>
        <v>249676.99999999991</v>
      </c>
      <c r="AP19" s="80">
        <f t="shared" si="86"/>
        <v>74238.596458177461</v>
      </c>
      <c r="AQ19" s="81">
        <v>0.59134866969738575</v>
      </c>
      <c r="AR19" s="81">
        <v>-1.3702758840549263</v>
      </c>
      <c r="AS19" s="81">
        <f>'SR + catch data Murdoch_age var'!N8</f>
        <v>-1.2775788242733628</v>
      </c>
      <c r="AT19" s="121">
        <f>'SR + catch data Murdoch_age var'!BR8</f>
        <v>-0.61854863050825093</v>
      </c>
      <c r="AU19" s="122">
        <f t="shared" si="87"/>
        <v>1.2257965190082776</v>
      </c>
      <c r="AV19" s="122">
        <f t="shared" si="88"/>
        <v>1.2094817672927352</v>
      </c>
      <c r="AW19" s="80">
        <f t="shared" si="17"/>
        <v>884014.51453354396</v>
      </c>
      <c r="AX19" s="80"/>
      <c r="AY19" s="141" t="e">
        <f t="shared" si="89"/>
        <v>#N/A</v>
      </c>
      <c r="AZ19" s="141"/>
      <c r="BA19" s="84" t="e">
        <f t="shared" si="90"/>
        <v>#N/A</v>
      </c>
      <c r="BB19" s="101">
        <v>1956</v>
      </c>
      <c r="BC19" s="72">
        <v>3.5750695088044487E-2</v>
      </c>
      <c r="BD19" s="72">
        <v>0.8358758109360519</v>
      </c>
      <c r="BE19" s="72">
        <v>0.11956904541241889</v>
      </c>
      <c r="BF19" s="72">
        <v>8.3410565338276187E-3</v>
      </c>
      <c r="BG19" s="72">
        <v>4.6339202965708991E-4</v>
      </c>
      <c r="BH19" s="78" t="e">
        <f>-NA()</f>
        <v>#N/A</v>
      </c>
      <c r="BI19" s="78" t="e">
        <f>-NA()</f>
        <v>#N/A</v>
      </c>
      <c r="BJ19" s="78" t="e">
        <f>-NA()</f>
        <v>#N/A</v>
      </c>
      <c r="BK19" s="78" t="e">
        <f>-NA()</f>
        <v>#N/A</v>
      </c>
      <c r="BL19" s="78" t="e">
        <f>-NA()</f>
        <v>#N/A</v>
      </c>
      <c r="BM19" s="56" t="e">
        <f>-NA()</f>
        <v>#N/A</v>
      </c>
      <c r="BN19" s="78" t="e">
        <f>NA()</f>
        <v>#N/A</v>
      </c>
      <c r="BO19" s="78" t="e">
        <f t="shared" si="91"/>
        <v>#N/A</v>
      </c>
      <c r="BP19" s="78" t="e">
        <v>#N/A</v>
      </c>
      <c r="BQ19" s="78" t="e">
        <f t="shared" si="18"/>
        <v>#N/A</v>
      </c>
      <c r="BR19" s="199" t="e">
        <f>-NA()</f>
        <v>#N/A</v>
      </c>
      <c r="BS19" s="78" t="e">
        <f t="shared" si="19"/>
        <v>#N/A</v>
      </c>
      <c r="BT19" s="78" t="e">
        <f t="shared" si="20"/>
        <v>#N/A</v>
      </c>
      <c r="BU19" s="78" t="e">
        <f t="shared" si="21"/>
        <v>#N/A</v>
      </c>
      <c r="BV19" s="78" t="e">
        <f t="shared" si="92"/>
        <v>#N/A</v>
      </c>
      <c r="BW19" s="78" t="e">
        <f t="shared" si="22"/>
        <v>#N/A</v>
      </c>
      <c r="BX19" s="78" t="e">
        <f t="shared" si="23"/>
        <v>#N/A</v>
      </c>
      <c r="BY19" s="78" t="e">
        <f t="shared" ref="BY19:CE19" si="154">$BF$10+SUMPRODUCT($BH$10:$BI$10,BW19:BX19)</f>
        <v>#N/A</v>
      </c>
      <c r="BZ19" s="78" t="e">
        <f t="shared" si="154"/>
        <v>#N/A</v>
      </c>
      <c r="CA19" s="78">
        <v>1956</v>
      </c>
      <c r="CB19" s="78" t="e">
        <f t="shared" si="25"/>
        <v>#N/A</v>
      </c>
      <c r="CC19" s="78" t="e">
        <f t="shared" si="26"/>
        <v>#N/A</v>
      </c>
      <c r="CD19" s="78" t="e">
        <f t="shared" si="154"/>
        <v>#N/A</v>
      </c>
      <c r="CE19" s="78" t="e">
        <f t="shared" si="154"/>
        <v>#N/A</v>
      </c>
      <c r="CF19" s="78" t="e">
        <f t="shared" si="27"/>
        <v>#N/A</v>
      </c>
      <c r="CG19" s="78" t="e">
        <f t="shared" si="28"/>
        <v>#N/A</v>
      </c>
      <c r="CH19" s="78" t="e">
        <f t="shared" si="29"/>
        <v>#N/A</v>
      </c>
      <c r="CI19" s="199" t="e">
        <f t="shared" si="30"/>
        <v>#N/A</v>
      </c>
      <c r="CJ19" s="78" t="e">
        <f t="shared" si="31"/>
        <v>#N/A</v>
      </c>
      <c r="CK19" s="78" t="e">
        <f t="shared" si="32"/>
        <v>#N/A</v>
      </c>
      <c r="CL19" s="78" t="e">
        <f t="shared" si="33"/>
        <v>#N/A</v>
      </c>
      <c r="CM19" s="78"/>
      <c r="CN19" s="180" t="e">
        <f t="shared" si="34"/>
        <v>#N/A</v>
      </c>
      <c r="CO19" s="78" t="e">
        <f t="shared" si="35"/>
        <v>#N/A</v>
      </c>
      <c r="CP19" s="78" t="e">
        <f t="shared" si="94"/>
        <v>#N/A</v>
      </c>
      <c r="CQ19" s="96" t="e">
        <f t="shared" si="36"/>
        <v>#N/A</v>
      </c>
      <c r="CR19" s="78" t="e">
        <f t="shared" si="95"/>
        <v>#N/A</v>
      </c>
      <c r="CS19" s="61" t="e">
        <f t="shared" si="96"/>
        <v>#N/A</v>
      </c>
      <c r="CT19" s="61" t="e">
        <f t="shared" si="97"/>
        <v>#N/A</v>
      </c>
      <c r="CU19" s="61" t="e">
        <f>NA()</f>
        <v>#N/A</v>
      </c>
      <c r="CV19" s="104" t="e">
        <f t="shared" si="98"/>
        <v>#N/A</v>
      </c>
      <c r="CW19" s="105">
        <f t="shared" si="99"/>
        <v>0.59134866969738575</v>
      </c>
      <c r="CX19" s="105">
        <f t="shared" si="100"/>
        <v>-1.3702758840549263</v>
      </c>
      <c r="CY19" s="105">
        <f t="shared" si="101"/>
        <v>-1.2775788242733628</v>
      </c>
      <c r="CZ19" s="123">
        <f t="shared" si="102"/>
        <v>-0.61854863050825093</v>
      </c>
      <c r="DA19" s="81">
        <f t="shared" si="103"/>
        <v>1.2257965190082776</v>
      </c>
      <c r="DB19" s="9">
        <f t="shared" si="104"/>
        <v>884014.51453354396</v>
      </c>
      <c r="DD19" s="1" t="e">
        <f t="shared" si="105"/>
        <v>#N/A</v>
      </c>
      <c r="DE19" s="126" t="e">
        <f t="shared" si="106"/>
        <v>#N/A</v>
      </c>
      <c r="DF19" s="61">
        <v>1956</v>
      </c>
      <c r="DG19" s="26">
        <v>7.6142131979695434E-3</v>
      </c>
      <c r="DH19" s="26">
        <v>0.29512169725367693</v>
      </c>
      <c r="DI19" s="26">
        <v>0.6060236886632826</v>
      </c>
      <c r="DJ19" s="26">
        <v>8.8702329819081091E-2</v>
      </c>
      <c r="DK19" s="26">
        <v>2.5380710659898475E-3</v>
      </c>
      <c r="DL19" t="e">
        <f>NA()</f>
        <v>#N/A</v>
      </c>
      <c r="DM19" t="e">
        <f>NA()</f>
        <v>#N/A</v>
      </c>
      <c r="DN19" t="e">
        <f>NA()</f>
        <v>#N/A</v>
      </c>
      <c r="DO19" s="61" t="e">
        <f t="shared" si="107"/>
        <v>#N/A</v>
      </c>
      <c r="DP19" s="61" t="e">
        <f t="shared" si="108"/>
        <v>#N/A</v>
      </c>
      <c r="DQ19" s="61" t="e">
        <f t="shared" si="109"/>
        <v>#N/A</v>
      </c>
      <c r="DR19" s="61" t="e">
        <f>NA()</f>
        <v>#N/A</v>
      </c>
      <c r="DS19" s="61" t="e">
        <f>NA()</f>
        <v>#N/A</v>
      </c>
      <c r="DT19" s="113" t="e">
        <f t="shared" si="39"/>
        <v>#N/A</v>
      </c>
      <c r="DU19" s="76" t="e">
        <f t="shared" si="40"/>
        <v>#N/A</v>
      </c>
      <c r="DV19" s="72" t="e">
        <f t="shared" si="110"/>
        <v>#N/A</v>
      </c>
      <c r="DW19" s="201" t="e">
        <f t="shared" si="111"/>
        <v>#N/A</v>
      </c>
      <c r="DX19" s="72" t="e">
        <f t="shared" si="112"/>
        <v>#N/A</v>
      </c>
      <c r="DY19" s="72" t="e">
        <f t="shared" si="113"/>
        <v>#N/A</v>
      </c>
      <c r="DZ19" s="72" t="e">
        <f t="shared" si="114"/>
        <v>#N/A</v>
      </c>
      <c r="EA19" s="72" t="e">
        <f t="shared" si="115"/>
        <v>#N/A</v>
      </c>
      <c r="EB19" s="72" t="e">
        <f t="shared" si="116"/>
        <v>#N/A</v>
      </c>
      <c r="EC19" s="72" t="e">
        <f t="shared" si="117"/>
        <v>#N/A</v>
      </c>
      <c r="ED19" s="72" t="e">
        <f t="shared" si="118"/>
        <v>#N/A</v>
      </c>
      <c r="EE19" s="72"/>
      <c r="EF19">
        <v>1956</v>
      </c>
      <c r="EG19" s="72" t="e">
        <f t="shared" si="119"/>
        <v>#N/A</v>
      </c>
      <c r="EH19" t="e">
        <f>NA()</f>
        <v>#N/A</v>
      </c>
      <c r="EI19" t="e">
        <f>NA()</f>
        <v>#N/A</v>
      </c>
      <c r="EJ19" t="e">
        <f>NA()</f>
        <v>#N/A</v>
      </c>
      <c r="EK19" t="e">
        <f>NA()</f>
        <v>#N/A</v>
      </c>
      <c r="EL19" t="e">
        <f>NA()</f>
        <v>#N/A</v>
      </c>
      <c r="EM19" t="e">
        <f>NA()</f>
        <v>#N/A</v>
      </c>
      <c r="EN19" s="199" t="e">
        <f>NA()</f>
        <v>#N/A</v>
      </c>
      <c r="EO19" t="e">
        <f>NA()</f>
        <v>#N/A</v>
      </c>
      <c r="EP19" t="e">
        <f>NA()</f>
        <v>#N/A</v>
      </c>
      <c r="EQ19" t="e">
        <f>NA()</f>
        <v>#N/A</v>
      </c>
      <c r="ER19" s="180" t="e">
        <f>NA()</f>
        <v>#N/A</v>
      </c>
      <c r="ES19" t="e">
        <f>NA()</f>
        <v>#N/A</v>
      </c>
      <c r="ET19" t="e">
        <f>NA()</f>
        <v>#N/A</v>
      </c>
      <c r="EU19" t="e">
        <f>NA()</f>
        <v>#N/A</v>
      </c>
      <c r="EV19" t="e">
        <f>NA()</f>
        <v>#N/A</v>
      </c>
      <c r="EW19" s="61" t="e">
        <f t="shared" si="120"/>
        <v>#N/A</v>
      </c>
      <c r="EX19" s="9" t="e">
        <f t="shared" si="46"/>
        <v>#N/A</v>
      </c>
      <c r="EY19" s="9" t="e">
        <f t="shared" si="47"/>
        <v>#N/A</v>
      </c>
      <c r="EZ19" s="9" t="e">
        <f t="shared" si="48"/>
        <v>#N/A</v>
      </c>
      <c r="FA19" s="72" t="e">
        <f t="shared" si="49"/>
        <v>#N/A</v>
      </c>
      <c r="FB19">
        <v>1956</v>
      </c>
      <c r="FC19" s="116">
        <f t="shared" si="121"/>
        <v>74238.596458177461</v>
      </c>
      <c r="FD19" s="116">
        <f t="shared" si="122"/>
        <v>286115.81678290729</v>
      </c>
      <c r="FE19" s="116">
        <f>MAX(AN19,H19,FD15)</f>
        <v>623775.31416408368</v>
      </c>
      <c r="FF19" s="116">
        <f t="shared" si="124"/>
        <v>243793.71903107045</v>
      </c>
      <c r="FG19" s="5">
        <f t="shared" si="125"/>
        <v>42322.097751836845</v>
      </c>
      <c r="FH19" s="5">
        <f t="shared" ref="FH19:FH82" si="155">FG15</f>
        <v>177823.71891814261</v>
      </c>
      <c r="FI19" s="155">
        <f t="shared" si="126"/>
        <v>0.14791946222235272</v>
      </c>
      <c r="FJ19" s="117">
        <f t="shared" si="127"/>
        <v>14.791946222235271</v>
      </c>
      <c r="FK19" s="61">
        <f t="shared" si="50"/>
        <v>8619.6366468433171</v>
      </c>
      <c r="FL19" s="61">
        <f t="shared" si="142"/>
        <v>33.193489297218647</v>
      </c>
      <c r="FM19" s="92">
        <f t="shared" si="128"/>
        <v>4.9099630861280028</v>
      </c>
      <c r="FN19" s="72">
        <f t="shared" si="129"/>
        <v>0.14791946222235272</v>
      </c>
      <c r="FO19" s="179">
        <f t="shared" si="51"/>
        <v>0.16366543620426677</v>
      </c>
      <c r="FP19" s="92">
        <f>AVERAGE(FM14:FM19)</f>
        <v>7.7013825471889339</v>
      </c>
      <c r="FQ19" s="1">
        <f t="shared" si="143"/>
        <v>1.9840834227106179E-2</v>
      </c>
      <c r="FR19" s="26">
        <f t="shared" si="130"/>
        <v>1.3682024616949837</v>
      </c>
      <c r="FS19">
        <f t="shared" si="52"/>
        <v>1956</v>
      </c>
      <c r="FT19" s="5" t="e">
        <f t="shared" si="53"/>
        <v>#N/A</v>
      </c>
      <c r="FU19" s="213" t="e">
        <f t="shared" si="54"/>
        <v>#N/A</v>
      </c>
      <c r="FV19" s="213" t="e">
        <f t="shared" si="131"/>
        <v>#N/A</v>
      </c>
      <c r="FW19" s="5" t="e">
        <f t="shared" si="132"/>
        <v>#N/A</v>
      </c>
      <c r="FX19" t="e">
        <f t="shared" si="133"/>
        <v>#N/A</v>
      </c>
      <c r="FY19" t="e">
        <f t="shared" si="55"/>
        <v>#N/A</v>
      </c>
      <c r="FZ19" t="e">
        <f t="shared" si="134"/>
        <v>#N/A</v>
      </c>
      <c r="GA19" t="e">
        <f t="shared" si="56"/>
        <v>#N/A</v>
      </c>
      <c r="GB19" s="61" t="e">
        <f t="shared" si="135"/>
        <v>#N/A</v>
      </c>
      <c r="GC19" s="61" t="e">
        <f t="shared" si="57"/>
        <v>#N/A</v>
      </c>
      <c r="GD19" s="61" t="e">
        <f>NA()</f>
        <v>#N/A</v>
      </c>
      <c r="GE19" s="61" t="e">
        <f t="shared" si="136"/>
        <v>#N/A</v>
      </c>
      <c r="GF19" s="61" t="e">
        <f t="shared" si="137"/>
        <v>#N/A</v>
      </c>
      <c r="GG19" s="61" t="e">
        <f>NA()</f>
        <v>#N/A</v>
      </c>
      <c r="GH19" s="6" t="e">
        <f t="shared" si="138"/>
        <v>#N/A</v>
      </c>
      <c r="GI19" t="e">
        <f t="shared" si="58"/>
        <v>#N/A</v>
      </c>
      <c r="GJ19" s="26" t="e">
        <f t="shared" si="139"/>
        <v>#N/A</v>
      </c>
      <c r="GK19" t="e">
        <f t="shared" si="59"/>
        <v>#N/A</v>
      </c>
      <c r="GL19" s="232">
        <f t="shared" si="140"/>
        <v>1.3682024616949837</v>
      </c>
      <c r="GN19">
        <v>15</v>
      </c>
      <c r="GO19">
        <v>12</v>
      </c>
      <c r="GP19" s="46">
        <v>3</v>
      </c>
      <c r="GS19" s="167">
        <v>36</v>
      </c>
      <c r="GT19" s="46"/>
      <c r="GU19" s="167">
        <v>32</v>
      </c>
      <c r="GV19" s="46">
        <v>11</v>
      </c>
      <c r="GW19" s="6">
        <f>SUM($GV$10:GV19)/$GV$28</f>
        <v>0.77272727272727271</v>
      </c>
      <c r="GY19">
        <v>1956</v>
      </c>
      <c r="GZ19" s="112">
        <f t="shared" si="60"/>
        <v>1.2257965190082776</v>
      </c>
      <c r="HA19" s="26" t="e">
        <f t="shared" si="61"/>
        <v>#N/A</v>
      </c>
      <c r="HB19" s="26" t="e">
        <f t="shared" si="62"/>
        <v>#N/A</v>
      </c>
    </row>
    <row r="20" spans="1:210" x14ac:dyDescent="0.35">
      <c r="A20">
        <v>1957</v>
      </c>
      <c r="D20" s="80">
        <f>'SR + catch data Murdoch_age var'!C9</f>
        <v>84655</v>
      </c>
      <c r="E20" s="80">
        <f>'SR + catch data Murdoch_age var'!E9</f>
        <v>267911.40112163423</v>
      </c>
      <c r="F20" s="231">
        <f t="shared" si="63"/>
        <v>1.1520721594430823</v>
      </c>
      <c r="G20" s="80">
        <f>'SR + catch data Murdoch_age var'!D9</f>
        <v>308363</v>
      </c>
      <c r="H20" s="80">
        <f>'Orig data'!Q11</f>
        <v>308363</v>
      </c>
      <c r="I20" s="80">
        <f t="shared" si="64"/>
        <v>223708</v>
      </c>
      <c r="J20" s="150">
        <f t="shared" si="65"/>
        <v>0.72546965751403381</v>
      </c>
      <c r="K20" s="83">
        <f>'SR + catch data Murdoch_age var'!CM9</f>
        <v>0.93402454544113167</v>
      </c>
      <c r="L20" s="83">
        <f>'SR + catch data Murdoch_age var'!CN9</f>
        <v>1.1977178280463978</v>
      </c>
      <c r="M20" s="84">
        <f>'SR + catch data Murdoch_age var'!CO9</f>
        <v>206581.0704289382</v>
      </c>
      <c r="N20" s="81">
        <f t="shared" si="66"/>
        <v>0.25996340479039515</v>
      </c>
      <c r="O20" s="82">
        <f t="shared" si="67"/>
        <v>1957</v>
      </c>
      <c r="P20" s="81">
        <f t="shared" si="68"/>
        <v>0.10741516534518507</v>
      </c>
      <c r="Q20" s="81">
        <f t="shared" si="12"/>
        <v>0.75930233821489568</v>
      </c>
      <c r="R20" s="81">
        <f t="shared" si="12"/>
        <v>0.13183604264117066</v>
      </c>
      <c r="S20" s="85">
        <f t="shared" si="12"/>
        <v>1.4464537987485602E-3</v>
      </c>
      <c r="T20" s="80">
        <f t="shared" si="144"/>
        <v>33122.862631337302</v>
      </c>
      <c r="U20" s="80">
        <f t="shared" si="145"/>
        <v>234140.74691895986</v>
      </c>
      <c r="V20" s="80">
        <f t="shared" si="146"/>
        <v>40653.357616959307</v>
      </c>
      <c r="W20" s="80">
        <f t="shared" si="147"/>
        <v>446.0328327435023</v>
      </c>
      <c r="X20" s="86">
        <f t="shared" si="73"/>
        <v>1957</v>
      </c>
      <c r="Y20" s="79">
        <f t="shared" si="149"/>
        <v>58506.327993237799</v>
      </c>
      <c r="Z20" s="79">
        <f t="shared" si="152"/>
        <v>257591.30904036359</v>
      </c>
      <c r="AA20" s="79">
        <f t="shared" ref="AA20:AA82" si="156">$M15*R20*EXP($N15)</f>
        <v>39381.656746029068</v>
      </c>
      <c r="AB20" s="79">
        <f>$M14*S20*EXP($N14)</f>
        <v>661.03981802341514</v>
      </c>
      <c r="AC20" s="80">
        <f t="shared" si="78"/>
        <v>356140.33359765384</v>
      </c>
      <c r="AD20" s="84">
        <f t="shared" si="79"/>
        <v>-47777.333597653836</v>
      </c>
      <c r="AE20" s="80">
        <f t="shared" si="80"/>
        <v>223708</v>
      </c>
      <c r="AF20" s="72">
        <f t="shared" si="81"/>
        <v>0.62814564624048452</v>
      </c>
      <c r="AG20" s="26">
        <f t="shared" si="82"/>
        <v>-9.7324011273549282E-2</v>
      </c>
      <c r="AH20" s="61">
        <f t="shared" si="14"/>
        <v>1957</v>
      </c>
      <c r="AI20" s="26">
        <f t="shared" si="15"/>
        <v>0.62814564624048452</v>
      </c>
      <c r="AJ20" s="75">
        <f t="shared" si="150"/>
        <v>12391.285574225158</v>
      </c>
      <c r="AK20" s="75">
        <f t="shared" si="153"/>
        <v>257591.30904036341</v>
      </c>
      <c r="AL20" s="75">
        <f t="shared" ref="AL20:AL79" si="157">AW15*R20</f>
        <v>39381.656746029068</v>
      </c>
      <c r="AM20" s="75">
        <f>AW14*S20</f>
        <v>661.03981802341514</v>
      </c>
      <c r="AN20" s="79">
        <f t="shared" si="84"/>
        <v>310025.29117864108</v>
      </c>
      <c r="AO20" s="80">
        <f t="shared" si="85"/>
        <v>194741.03687830188</v>
      </c>
      <c r="AP20" s="80">
        <f t="shared" si="86"/>
        <v>115284.25430033921</v>
      </c>
      <c r="AQ20" s="81">
        <v>-0.78767908160996614</v>
      </c>
      <c r="AR20" s="81">
        <v>-0.45600984338221306</v>
      </c>
      <c r="AS20" s="81">
        <f>'SR + catch data Murdoch_age var'!N9</f>
        <v>1.1766949659129966</v>
      </c>
      <c r="AT20" s="121">
        <f>'SR + catch data Murdoch_age var'!BR9</f>
        <v>-0.63022439690672305</v>
      </c>
      <c r="AU20" s="122">
        <f t="shared" si="87"/>
        <v>0.93402454544113156</v>
      </c>
      <c r="AV20" s="122">
        <f t="shared" si="88"/>
        <v>0.89210875465268702</v>
      </c>
      <c r="AW20" s="80">
        <f t="shared" si="17"/>
        <v>359353.77501807862</v>
      </c>
      <c r="AX20" s="80"/>
      <c r="AY20" s="141" t="e">
        <f t="shared" si="89"/>
        <v>#N/A</v>
      </c>
      <c r="AZ20" s="141"/>
      <c r="BA20" s="84" t="e">
        <f t="shared" si="90"/>
        <v>#N/A</v>
      </c>
      <c r="BB20" s="101">
        <v>1957</v>
      </c>
      <c r="BC20" s="72">
        <v>3.5750695088044487E-2</v>
      </c>
      <c r="BD20" s="72">
        <v>0.8358758109360519</v>
      </c>
      <c r="BE20" s="72">
        <v>0.11956904541241889</v>
      </c>
      <c r="BF20" s="72">
        <v>8.3410565338276187E-3</v>
      </c>
      <c r="BG20" s="72">
        <v>4.6339202965708991E-4</v>
      </c>
      <c r="BH20" s="78" t="e">
        <f>-NA()</f>
        <v>#N/A</v>
      </c>
      <c r="BI20" s="78" t="e">
        <f>-NA()</f>
        <v>#N/A</v>
      </c>
      <c r="BJ20" s="78" t="e">
        <f>-NA()</f>
        <v>#N/A</v>
      </c>
      <c r="BK20" s="78" t="e">
        <f>-NA()</f>
        <v>#N/A</v>
      </c>
      <c r="BL20" s="78" t="e">
        <f>-NA()</f>
        <v>#N/A</v>
      </c>
      <c r="BM20" s="56" t="e">
        <f>-NA()</f>
        <v>#N/A</v>
      </c>
      <c r="BN20" s="78" t="e">
        <f>NA()</f>
        <v>#N/A</v>
      </c>
      <c r="BO20" s="78" t="e">
        <f t="shared" si="91"/>
        <v>#N/A</v>
      </c>
      <c r="BP20" s="78" t="e">
        <v>#N/A</v>
      </c>
      <c r="BQ20" s="78" t="e">
        <f t="shared" si="18"/>
        <v>#N/A</v>
      </c>
      <c r="BR20" s="199" t="e">
        <f>-NA()</f>
        <v>#N/A</v>
      </c>
      <c r="BS20" s="78" t="e">
        <f t="shared" si="19"/>
        <v>#N/A</v>
      </c>
      <c r="BT20" s="78" t="e">
        <f t="shared" si="20"/>
        <v>#N/A</v>
      </c>
      <c r="BU20" s="78" t="e">
        <f t="shared" si="21"/>
        <v>#N/A</v>
      </c>
      <c r="BV20" s="78" t="e">
        <f t="shared" si="92"/>
        <v>#N/A</v>
      </c>
      <c r="BW20" s="78" t="e">
        <f t="shared" si="22"/>
        <v>#N/A</v>
      </c>
      <c r="BX20" s="78" t="e">
        <f t="shared" si="23"/>
        <v>#N/A</v>
      </c>
      <c r="BY20" s="78" t="e">
        <f t="shared" ref="BY20:CE20" si="158">$BF$10+SUMPRODUCT($BH$10:$BI$10,BW20:BX20)</f>
        <v>#N/A</v>
      </c>
      <c r="BZ20" s="78" t="e">
        <f t="shared" si="158"/>
        <v>#N/A</v>
      </c>
      <c r="CA20" s="78">
        <v>1957</v>
      </c>
      <c r="CB20" s="78" t="e">
        <f t="shared" si="25"/>
        <v>#N/A</v>
      </c>
      <c r="CC20" s="78" t="e">
        <f t="shared" si="26"/>
        <v>#N/A</v>
      </c>
      <c r="CD20" s="78" t="e">
        <f t="shared" si="158"/>
        <v>#N/A</v>
      </c>
      <c r="CE20" s="78" t="e">
        <f t="shared" si="158"/>
        <v>#N/A</v>
      </c>
      <c r="CF20" s="78" t="e">
        <f t="shared" si="27"/>
        <v>#N/A</v>
      </c>
      <c r="CG20" s="78" t="e">
        <f t="shared" si="28"/>
        <v>#N/A</v>
      </c>
      <c r="CH20" s="78" t="e">
        <f t="shared" si="29"/>
        <v>#N/A</v>
      </c>
      <c r="CI20" s="199" t="e">
        <f t="shared" si="30"/>
        <v>#N/A</v>
      </c>
      <c r="CJ20" s="78" t="e">
        <f t="shared" si="31"/>
        <v>#N/A</v>
      </c>
      <c r="CK20" s="78" t="e">
        <f t="shared" si="32"/>
        <v>#N/A</v>
      </c>
      <c r="CL20" s="78" t="e">
        <f t="shared" si="33"/>
        <v>#N/A</v>
      </c>
      <c r="CM20" s="78"/>
      <c r="CN20" s="180" t="e">
        <f t="shared" si="34"/>
        <v>#N/A</v>
      </c>
      <c r="CO20" s="78" t="e">
        <f t="shared" si="35"/>
        <v>#N/A</v>
      </c>
      <c r="CP20" s="78" t="e">
        <f t="shared" si="94"/>
        <v>#N/A</v>
      </c>
      <c r="CQ20" s="96" t="e">
        <f t="shared" si="36"/>
        <v>#N/A</v>
      </c>
      <c r="CR20" s="78" t="e">
        <f t="shared" si="95"/>
        <v>#N/A</v>
      </c>
      <c r="CS20" s="61" t="e">
        <f t="shared" si="96"/>
        <v>#N/A</v>
      </c>
      <c r="CT20" s="61" t="e">
        <f t="shared" si="97"/>
        <v>#N/A</v>
      </c>
      <c r="CU20" s="61" t="e">
        <f>NA()</f>
        <v>#N/A</v>
      </c>
      <c r="CV20" s="104" t="e">
        <f t="shared" si="98"/>
        <v>#N/A</v>
      </c>
      <c r="CW20" s="105">
        <f t="shared" si="99"/>
        <v>-0.78767908160996614</v>
      </c>
      <c r="CX20" s="105">
        <f t="shared" si="100"/>
        <v>-0.45600984338221306</v>
      </c>
      <c r="CY20" s="105">
        <f t="shared" si="101"/>
        <v>1.1766949659129966</v>
      </c>
      <c r="CZ20" s="123">
        <f t="shared" si="102"/>
        <v>-0.63022439690672305</v>
      </c>
      <c r="DA20" s="81">
        <f t="shared" si="103"/>
        <v>0.93402454544113156</v>
      </c>
      <c r="DB20" s="9">
        <f t="shared" si="104"/>
        <v>359353.77501807862</v>
      </c>
      <c r="DD20" s="1" t="e">
        <f t="shared" si="105"/>
        <v>#N/A</v>
      </c>
      <c r="DE20" s="126" t="e">
        <f t="shared" si="106"/>
        <v>#N/A</v>
      </c>
      <c r="DF20" s="61">
        <v>1957</v>
      </c>
      <c r="DG20" s="26">
        <v>7.6142131979695434E-3</v>
      </c>
      <c r="DH20" s="26">
        <v>0.29512169725367693</v>
      </c>
      <c r="DI20" s="26">
        <v>0.6060236886632826</v>
      </c>
      <c r="DJ20" s="26">
        <v>8.8702329819081091E-2</v>
      </c>
      <c r="DK20" s="26">
        <v>2.5380710659898475E-3</v>
      </c>
      <c r="DL20" t="e">
        <f>NA()</f>
        <v>#N/A</v>
      </c>
      <c r="DM20" t="e">
        <f>NA()</f>
        <v>#N/A</v>
      </c>
      <c r="DN20" t="e">
        <f>NA()</f>
        <v>#N/A</v>
      </c>
      <c r="DO20" s="61" t="e">
        <f t="shared" si="107"/>
        <v>#N/A</v>
      </c>
      <c r="DP20" s="61" t="e">
        <f t="shared" si="108"/>
        <v>#N/A</v>
      </c>
      <c r="DQ20" s="61" t="e">
        <f t="shared" si="109"/>
        <v>#N/A</v>
      </c>
      <c r="DR20" s="61" t="e">
        <f>NA()</f>
        <v>#N/A</v>
      </c>
      <c r="DS20" s="61" t="e">
        <f>NA()</f>
        <v>#N/A</v>
      </c>
      <c r="DT20" s="113" t="e">
        <f t="shared" si="39"/>
        <v>#N/A</v>
      </c>
      <c r="DU20" s="76" t="e">
        <f t="shared" si="40"/>
        <v>#N/A</v>
      </c>
      <c r="DV20" s="72" t="e">
        <f t="shared" si="110"/>
        <v>#N/A</v>
      </c>
      <c r="DW20" s="201" t="e">
        <f t="shared" si="111"/>
        <v>#N/A</v>
      </c>
      <c r="DX20" s="72" t="e">
        <f t="shared" si="112"/>
        <v>#N/A</v>
      </c>
      <c r="DY20" s="72" t="e">
        <f t="shared" si="113"/>
        <v>#N/A</v>
      </c>
      <c r="DZ20" s="72" t="e">
        <f t="shared" si="114"/>
        <v>#N/A</v>
      </c>
      <c r="EA20" s="72" t="e">
        <f t="shared" si="115"/>
        <v>#N/A</v>
      </c>
      <c r="EB20" s="72" t="e">
        <f t="shared" si="116"/>
        <v>#N/A</v>
      </c>
      <c r="EC20" s="72" t="e">
        <f t="shared" si="117"/>
        <v>#N/A</v>
      </c>
      <c r="ED20" s="72" t="e">
        <f t="shared" si="118"/>
        <v>#N/A</v>
      </c>
      <c r="EE20" s="72"/>
      <c r="EF20">
        <v>1957</v>
      </c>
      <c r="EG20" s="72" t="e">
        <f t="shared" si="119"/>
        <v>#N/A</v>
      </c>
      <c r="EH20" t="e">
        <f>NA()</f>
        <v>#N/A</v>
      </c>
      <c r="EI20" t="e">
        <f>NA()</f>
        <v>#N/A</v>
      </c>
      <c r="EJ20" t="e">
        <f>NA()</f>
        <v>#N/A</v>
      </c>
      <c r="EK20" t="e">
        <f>NA()</f>
        <v>#N/A</v>
      </c>
      <c r="EL20" t="e">
        <f>NA()</f>
        <v>#N/A</v>
      </c>
      <c r="EM20" t="e">
        <f>NA()</f>
        <v>#N/A</v>
      </c>
      <c r="EN20" s="199" t="e">
        <f>NA()</f>
        <v>#N/A</v>
      </c>
      <c r="EO20" t="e">
        <f>NA()</f>
        <v>#N/A</v>
      </c>
      <c r="EP20" t="e">
        <f>NA()</f>
        <v>#N/A</v>
      </c>
      <c r="EQ20" t="e">
        <f>NA()</f>
        <v>#N/A</v>
      </c>
      <c r="ER20" s="180" t="e">
        <f>NA()</f>
        <v>#N/A</v>
      </c>
      <c r="ES20" t="e">
        <f>NA()</f>
        <v>#N/A</v>
      </c>
      <c r="ET20" t="e">
        <f>NA()</f>
        <v>#N/A</v>
      </c>
      <c r="EU20" t="e">
        <f>NA()</f>
        <v>#N/A</v>
      </c>
      <c r="EV20" t="e">
        <f>NA()</f>
        <v>#N/A</v>
      </c>
      <c r="EW20" s="61" t="e">
        <f t="shared" si="120"/>
        <v>#N/A</v>
      </c>
      <c r="EX20" s="9" t="e">
        <f t="shared" si="46"/>
        <v>#N/A</v>
      </c>
      <c r="EY20" s="9" t="e">
        <f t="shared" si="47"/>
        <v>#N/A</v>
      </c>
      <c r="EZ20" s="9" t="e">
        <f t="shared" si="48"/>
        <v>#N/A</v>
      </c>
      <c r="FA20" s="72" t="e">
        <f t="shared" si="49"/>
        <v>#N/A</v>
      </c>
      <c r="FB20">
        <v>1957</v>
      </c>
      <c r="FC20" s="116">
        <f t="shared" si="121"/>
        <v>115284.25430033921</v>
      </c>
      <c r="FD20" s="116">
        <f t="shared" si="122"/>
        <v>324342.45765689609</v>
      </c>
      <c r="FE20" s="116">
        <f t="shared" ref="FE20:FE83" si="159">MAX(AN20,H20,FD16)</f>
        <v>624852.06663876155</v>
      </c>
      <c r="FF20" s="116">
        <f t="shared" si="124"/>
        <v>277090.43808931008</v>
      </c>
      <c r="FG20" s="5">
        <f t="shared" si="125"/>
        <v>47252.019567586016</v>
      </c>
      <c r="FH20" s="5">
        <f t="shared" si="155"/>
        <v>144874.52088876214</v>
      </c>
      <c r="FI20" s="155">
        <f t="shared" si="126"/>
        <v>0.14568558155766123</v>
      </c>
      <c r="FJ20" s="117">
        <f t="shared" si="127"/>
        <v>14.568558155766123</v>
      </c>
      <c r="FK20" s="61">
        <f t="shared" si="50"/>
        <v>8478.6499306941369</v>
      </c>
      <c r="FL20" s="61">
        <f t="shared" si="142"/>
        <v>38.254021608171591</v>
      </c>
      <c r="FM20" s="92">
        <f t="shared" si="128"/>
        <v>5.5730593849058172</v>
      </c>
      <c r="FN20" s="72">
        <f t="shared" si="129"/>
        <v>0.14568558155766123</v>
      </c>
      <c r="FO20" s="179">
        <f t="shared" si="51"/>
        <v>0.18576864616352723</v>
      </c>
      <c r="FP20" s="92">
        <f t="shared" ref="FP20:FP83" si="160">AVERAGE(FM15:FM20)</f>
        <v>7.3397937539093379</v>
      </c>
      <c r="FQ20" s="1">
        <f t="shared" si="143"/>
        <v>-1.6356456997617452E-2</v>
      </c>
      <c r="FR20" s="26">
        <f t="shared" si="130"/>
        <v>1.3458235169662354</v>
      </c>
      <c r="FS20">
        <f t="shared" si="52"/>
        <v>1957</v>
      </c>
      <c r="FT20" s="5" t="e">
        <f t="shared" si="53"/>
        <v>#N/A</v>
      </c>
      <c r="FU20" s="213" t="e">
        <f t="shared" si="54"/>
        <v>#N/A</v>
      </c>
      <c r="FV20" s="213" t="e">
        <f t="shared" si="131"/>
        <v>#N/A</v>
      </c>
      <c r="FW20" s="5" t="e">
        <f t="shared" si="132"/>
        <v>#N/A</v>
      </c>
      <c r="FX20" t="e">
        <f t="shared" si="133"/>
        <v>#N/A</v>
      </c>
      <c r="FY20" t="e">
        <f t="shared" si="55"/>
        <v>#N/A</v>
      </c>
      <c r="FZ20" t="e">
        <f t="shared" si="134"/>
        <v>#N/A</v>
      </c>
      <c r="GA20" t="e">
        <f t="shared" si="56"/>
        <v>#N/A</v>
      </c>
      <c r="GB20" s="61" t="e">
        <f t="shared" si="135"/>
        <v>#N/A</v>
      </c>
      <c r="GC20" s="61" t="e">
        <f t="shared" si="57"/>
        <v>#N/A</v>
      </c>
      <c r="GD20" s="61" t="e">
        <f>NA()</f>
        <v>#N/A</v>
      </c>
      <c r="GE20" s="61" t="e">
        <f t="shared" si="136"/>
        <v>#N/A</v>
      </c>
      <c r="GF20" s="61" t="e">
        <f t="shared" si="137"/>
        <v>#N/A</v>
      </c>
      <c r="GG20" s="61" t="e">
        <f>NA()</f>
        <v>#N/A</v>
      </c>
      <c r="GH20" s="6" t="e">
        <f t="shared" si="138"/>
        <v>#N/A</v>
      </c>
      <c r="GI20" t="e">
        <f t="shared" si="58"/>
        <v>#N/A</v>
      </c>
      <c r="GJ20" s="26" t="e">
        <f t="shared" si="139"/>
        <v>#N/A</v>
      </c>
      <c r="GK20" t="e">
        <f t="shared" si="59"/>
        <v>#N/A</v>
      </c>
      <c r="GL20" s="232">
        <f t="shared" si="140"/>
        <v>1.3458235169662354</v>
      </c>
      <c r="GN20">
        <v>18</v>
      </c>
      <c r="GO20">
        <v>15</v>
      </c>
      <c r="GP20" s="46">
        <v>2</v>
      </c>
      <c r="GS20" s="167">
        <v>40</v>
      </c>
      <c r="GT20" s="46"/>
      <c r="GU20" s="167">
        <v>36</v>
      </c>
      <c r="GV20" s="46">
        <v>8</v>
      </c>
      <c r="GW20" s="6">
        <f>SUM($GV$10:GV20)/$GV$28</f>
        <v>0.89393939393939392</v>
      </c>
      <c r="GY20">
        <v>1957</v>
      </c>
      <c r="GZ20" s="112">
        <f t="shared" si="60"/>
        <v>0.93402454544113156</v>
      </c>
      <c r="HA20" s="26" t="e">
        <f t="shared" si="61"/>
        <v>#N/A</v>
      </c>
      <c r="HB20" s="26" t="e">
        <f t="shared" si="62"/>
        <v>#N/A</v>
      </c>
    </row>
    <row r="21" spans="1:210" x14ac:dyDescent="0.35">
      <c r="A21">
        <v>1958</v>
      </c>
      <c r="D21" s="80">
        <f>'SR + catch data Murdoch_age var'!C10</f>
        <v>89400</v>
      </c>
      <c r="E21" s="80">
        <f>'SR + catch data Murdoch_age var'!E10</f>
        <v>261839.36777785598</v>
      </c>
      <c r="F21" s="231">
        <f t="shared" si="63"/>
        <v>1.0746105334743974</v>
      </c>
      <c r="G21" s="80">
        <f>'SR + catch data Murdoch_age var'!D10</f>
        <v>559829</v>
      </c>
      <c r="H21" s="80">
        <f>'Orig data'!Q12</f>
        <v>559829</v>
      </c>
      <c r="I21" s="80">
        <f t="shared" si="64"/>
        <v>470429</v>
      </c>
      <c r="J21" s="150">
        <f t="shared" si="65"/>
        <v>0.84030837988028484</v>
      </c>
      <c r="K21" s="83">
        <f>'SR + catch data Murdoch_age var'!CM10</f>
        <v>1.0615517610835263</v>
      </c>
      <c r="L21" s="83">
        <f>'SR + catch data Murdoch_age var'!CN10</f>
        <v>1.2083570526090581</v>
      </c>
      <c r="M21" s="84">
        <f>'SR + catch data Murdoch_age var'!CO10</f>
        <v>247251.79471943746</v>
      </c>
      <c r="N21" s="81">
        <f t="shared" si="66"/>
        <v>5.7323986453678068E-2</v>
      </c>
      <c r="O21" s="82">
        <f t="shared" si="67"/>
        <v>1958</v>
      </c>
      <c r="P21" s="81">
        <f t="shared" si="68"/>
        <v>0.10741516534518507</v>
      </c>
      <c r="Q21" s="81">
        <f t="shared" si="12"/>
        <v>0.75930233821489568</v>
      </c>
      <c r="R21" s="81">
        <f t="shared" si="12"/>
        <v>0.13183604264117066</v>
      </c>
      <c r="S21" s="85">
        <f t="shared" si="12"/>
        <v>1.4464537987485602E-3</v>
      </c>
      <c r="T21" s="80">
        <f t="shared" si="144"/>
        <v>60134.124600029609</v>
      </c>
      <c r="U21" s="80">
        <f t="shared" si="145"/>
        <v>425079.46870050684</v>
      </c>
      <c r="V21" s="80">
        <f t="shared" si="146"/>
        <v>73805.639915763924</v>
      </c>
      <c r="W21" s="80">
        <f t="shared" si="147"/>
        <v>809.76678369960769</v>
      </c>
      <c r="X21" s="86">
        <f t="shared" si="73"/>
        <v>1958</v>
      </c>
      <c r="Y21" s="79">
        <f t="shared" si="149"/>
        <v>65178.373496632143</v>
      </c>
      <c r="Z21" s="79">
        <f t="shared" si="152"/>
        <v>413572.80885686778</v>
      </c>
      <c r="AA21" s="79">
        <f t="shared" si="156"/>
        <v>44725.028613080773</v>
      </c>
      <c r="AB21" s="79">
        <f t="shared" ref="AB21:AB82" si="161">$M15*S21*EXP($N15)</f>
        <v>432.08022525637142</v>
      </c>
      <c r="AC21" s="80">
        <f t="shared" si="78"/>
        <v>523908.29119183711</v>
      </c>
      <c r="AD21" s="84">
        <f t="shared" si="79"/>
        <v>35920.70880816289</v>
      </c>
      <c r="AE21" s="80">
        <f t="shared" si="80"/>
        <v>470429</v>
      </c>
      <c r="AF21" s="72">
        <f t="shared" si="81"/>
        <v>0.89792241869244471</v>
      </c>
      <c r="AG21" s="26">
        <f t="shared" si="82"/>
        <v>5.7614038812159873E-2</v>
      </c>
      <c r="AH21" s="61">
        <f t="shared" si="14"/>
        <v>1958</v>
      </c>
      <c r="AI21" s="26">
        <f t="shared" si="15"/>
        <v>0.89792241869244471</v>
      </c>
      <c r="AJ21" s="75">
        <f t="shared" si="150"/>
        <v>84305.973125089688</v>
      </c>
      <c r="AK21" s="75">
        <f t="shared" si="153"/>
        <v>87592.213629817954</v>
      </c>
      <c r="AL21" s="75">
        <f t="shared" si="157"/>
        <v>44725.028613080744</v>
      </c>
      <c r="AM21" s="75">
        <f t="shared" ref="AM21:AM79" si="162">AW15*S21</f>
        <v>432.08022525637142</v>
      </c>
      <c r="AN21" s="79">
        <f t="shared" si="84"/>
        <v>217055.29559324475</v>
      </c>
      <c r="AO21" s="80">
        <f t="shared" si="85"/>
        <v>194898.81600908987</v>
      </c>
      <c r="AP21" s="80">
        <f t="shared" si="86"/>
        <v>22156.479584154877</v>
      </c>
      <c r="AQ21" s="81">
        <v>2.3031264886805868E-2</v>
      </c>
      <c r="AR21" s="81">
        <v>-0.3571702714175955</v>
      </c>
      <c r="AS21" s="81">
        <f>'SR + catch data Murdoch_age var'!N10</f>
        <v>0.81925627674106294</v>
      </c>
      <c r="AT21" s="121">
        <f>'SR + catch data Murdoch_age var'!BR10</f>
        <v>-0.64877421733348783</v>
      </c>
      <c r="AU21" s="122">
        <f t="shared" si="87"/>
        <v>1.0615517610835263</v>
      </c>
      <c r="AV21" s="122">
        <f t="shared" si="88"/>
        <v>1.0172865470207193</v>
      </c>
      <c r="AW21" s="80">
        <f t="shared" si="17"/>
        <v>67090.016585980818</v>
      </c>
      <c r="AX21" s="80"/>
      <c r="AY21" s="141" t="e">
        <f t="shared" si="89"/>
        <v>#N/A</v>
      </c>
      <c r="AZ21" s="141"/>
      <c r="BA21" s="84" t="e">
        <f t="shared" si="90"/>
        <v>#N/A</v>
      </c>
      <c r="BB21" s="101">
        <v>1958</v>
      </c>
      <c r="BC21" s="72">
        <v>3.5750695088044487E-2</v>
      </c>
      <c r="BD21" s="72">
        <v>0.8358758109360519</v>
      </c>
      <c r="BE21" s="72">
        <v>0.11956904541241889</v>
      </c>
      <c r="BF21" s="72">
        <v>8.3410565338276187E-3</v>
      </c>
      <c r="BG21" s="72">
        <v>4.6339202965708991E-4</v>
      </c>
      <c r="BH21" s="78" t="e">
        <f>-NA()</f>
        <v>#N/A</v>
      </c>
      <c r="BI21" s="78" t="e">
        <f>-NA()</f>
        <v>#N/A</v>
      </c>
      <c r="BJ21" s="78" t="e">
        <f>-NA()</f>
        <v>#N/A</v>
      </c>
      <c r="BK21" s="78" t="e">
        <f>-NA()</f>
        <v>#N/A</v>
      </c>
      <c r="BL21" s="78" t="e">
        <f>-NA()</f>
        <v>#N/A</v>
      </c>
      <c r="BM21" s="56" t="e">
        <f>-NA()</f>
        <v>#N/A</v>
      </c>
      <c r="BN21" s="78" t="e">
        <f>NA()</f>
        <v>#N/A</v>
      </c>
      <c r="BO21" s="78" t="e">
        <f t="shared" si="91"/>
        <v>#N/A</v>
      </c>
      <c r="BP21" s="78" t="e">
        <v>#N/A</v>
      </c>
      <c r="BQ21" s="78" t="e">
        <f t="shared" si="18"/>
        <v>#N/A</v>
      </c>
      <c r="BR21" s="199" t="e">
        <f>-NA()</f>
        <v>#N/A</v>
      </c>
      <c r="BS21" s="78" t="e">
        <f t="shared" si="19"/>
        <v>#N/A</v>
      </c>
      <c r="BT21" s="78" t="e">
        <f t="shared" si="20"/>
        <v>#N/A</v>
      </c>
      <c r="BU21" s="78" t="e">
        <f t="shared" si="21"/>
        <v>#N/A</v>
      </c>
      <c r="BV21" s="78" t="e">
        <f t="shared" si="92"/>
        <v>#N/A</v>
      </c>
      <c r="BW21" s="78" t="e">
        <f t="shared" si="22"/>
        <v>#N/A</v>
      </c>
      <c r="BX21" s="78" t="e">
        <f t="shared" si="23"/>
        <v>#N/A</v>
      </c>
      <c r="BY21" s="78" t="e">
        <f t="shared" ref="BY21:CE21" si="163">$BF$10+SUMPRODUCT($BH$10:$BI$10,BW21:BX21)</f>
        <v>#N/A</v>
      </c>
      <c r="BZ21" s="78" t="e">
        <f t="shared" si="163"/>
        <v>#N/A</v>
      </c>
      <c r="CA21" s="78">
        <v>1958</v>
      </c>
      <c r="CB21" s="78" t="e">
        <f t="shared" si="25"/>
        <v>#N/A</v>
      </c>
      <c r="CC21" s="78" t="e">
        <f t="shared" si="26"/>
        <v>#N/A</v>
      </c>
      <c r="CD21" s="78" t="e">
        <f t="shared" si="163"/>
        <v>#N/A</v>
      </c>
      <c r="CE21" s="78" t="e">
        <f t="shared" si="163"/>
        <v>#N/A</v>
      </c>
      <c r="CF21" s="78" t="e">
        <f t="shared" si="27"/>
        <v>#N/A</v>
      </c>
      <c r="CG21" s="78" t="e">
        <f t="shared" si="28"/>
        <v>#N/A</v>
      </c>
      <c r="CH21" s="78" t="e">
        <f t="shared" si="29"/>
        <v>#N/A</v>
      </c>
      <c r="CI21" s="199" t="e">
        <f t="shared" si="30"/>
        <v>#N/A</v>
      </c>
      <c r="CJ21" s="78" t="e">
        <f t="shared" si="31"/>
        <v>#N/A</v>
      </c>
      <c r="CK21" s="78" t="e">
        <f t="shared" si="32"/>
        <v>#N/A</v>
      </c>
      <c r="CL21" s="78" t="e">
        <f t="shared" si="33"/>
        <v>#N/A</v>
      </c>
      <c r="CM21" s="78"/>
      <c r="CN21" s="180" t="e">
        <f t="shared" si="34"/>
        <v>#N/A</v>
      </c>
      <c r="CO21" s="78" t="e">
        <f t="shared" si="35"/>
        <v>#N/A</v>
      </c>
      <c r="CP21" s="78" t="e">
        <f t="shared" si="94"/>
        <v>#N/A</v>
      </c>
      <c r="CQ21" s="96" t="e">
        <f t="shared" si="36"/>
        <v>#N/A</v>
      </c>
      <c r="CR21" s="78" t="e">
        <f t="shared" si="95"/>
        <v>#N/A</v>
      </c>
      <c r="CS21" s="61" t="e">
        <f t="shared" si="96"/>
        <v>#N/A</v>
      </c>
      <c r="CT21" s="61" t="e">
        <f t="shared" si="97"/>
        <v>#N/A</v>
      </c>
      <c r="CU21" s="61" t="e">
        <f>NA()</f>
        <v>#N/A</v>
      </c>
      <c r="CV21" s="104" t="e">
        <f t="shared" si="98"/>
        <v>#N/A</v>
      </c>
      <c r="CW21" s="105">
        <f t="shared" si="99"/>
        <v>2.3031264886805868E-2</v>
      </c>
      <c r="CX21" s="105">
        <f t="shared" si="100"/>
        <v>-0.3571702714175955</v>
      </c>
      <c r="CY21" s="105">
        <f t="shared" si="101"/>
        <v>0.81925627674106294</v>
      </c>
      <c r="CZ21" s="123">
        <f t="shared" si="102"/>
        <v>-0.64877421733348783</v>
      </c>
      <c r="DA21" s="81">
        <f t="shared" si="103"/>
        <v>1.0615517610835263</v>
      </c>
      <c r="DB21" s="9">
        <f t="shared" si="104"/>
        <v>67090.016585980818</v>
      </c>
      <c r="DD21" s="1" t="e">
        <f t="shared" si="105"/>
        <v>#N/A</v>
      </c>
      <c r="DE21" s="126" t="e">
        <f t="shared" si="106"/>
        <v>#N/A</v>
      </c>
      <c r="DF21" s="61">
        <v>1958</v>
      </c>
      <c r="DG21" s="26">
        <v>7.6142131979695434E-3</v>
      </c>
      <c r="DH21" s="26">
        <v>0.29512169725367693</v>
      </c>
      <c r="DI21" s="26">
        <v>0.6060236886632826</v>
      </c>
      <c r="DJ21" s="26">
        <v>8.8702329819081091E-2</v>
      </c>
      <c r="DK21" s="26">
        <v>2.5380710659898475E-3</v>
      </c>
      <c r="DL21" t="e">
        <f>NA()</f>
        <v>#N/A</v>
      </c>
      <c r="DM21" t="e">
        <f>NA()</f>
        <v>#N/A</v>
      </c>
      <c r="DN21" t="e">
        <f>NA()</f>
        <v>#N/A</v>
      </c>
      <c r="DO21" s="61" t="e">
        <f t="shared" si="107"/>
        <v>#N/A</v>
      </c>
      <c r="DP21" s="61" t="e">
        <f t="shared" si="108"/>
        <v>#N/A</v>
      </c>
      <c r="DQ21" s="61" t="e">
        <f t="shared" si="109"/>
        <v>#N/A</v>
      </c>
      <c r="DR21" s="61" t="e">
        <f>NA()</f>
        <v>#N/A</v>
      </c>
      <c r="DS21" s="61" t="e">
        <f>NA()</f>
        <v>#N/A</v>
      </c>
      <c r="DT21" s="113" t="e">
        <f t="shared" si="39"/>
        <v>#N/A</v>
      </c>
      <c r="DU21" s="76" t="e">
        <f t="shared" si="40"/>
        <v>#N/A</v>
      </c>
      <c r="DV21" s="72" t="e">
        <f t="shared" si="110"/>
        <v>#N/A</v>
      </c>
      <c r="DW21" s="201" t="e">
        <f t="shared" si="111"/>
        <v>#N/A</v>
      </c>
      <c r="DX21" s="72" t="e">
        <f t="shared" si="112"/>
        <v>#N/A</v>
      </c>
      <c r="DY21" s="72" t="e">
        <f t="shared" si="113"/>
        <v>#N/A</v>
      </c>
      <c r="DZ21" s="72" t="e">
        <f t="shared" si="114"/>
        <v>#N/A</v>
      </c>
      <c r="EA21" s="72" t="e">
        <f t="shared" si="115"/>
        <v>#N/A</v>
      </c>
      <c r="EB21" s="72" t="e">
        <f t="shared" si="116"/>
        <v>#N/A</v>
      </c>
      <c r="EC21" s="72" t="e">
        <f t="shared" si="117"/>
        <v>#N/A</v>
      </c>
      <c r="ED21" s="72" t="e">
        <f t="shared" si="118"/>
        <v>#N/A</v>
      </c>
      <c r="EE21" s="72"/>
      <c r="EF21">
        <v>1958</v>
      </c>
      <c r="EG21" s="72" t="e">
        <f t="shared" si="119"/>
        <v>#N/A</v>
      </c>
      <c r="EH21" t="e">
        <f>NA()</f>
        <v>#N/A</v>
      </c>
      <c r="EI21" t="e">
        <f>NA()</f>
        <v>#N/A</v>
      </c>
      <c r="EJ21" t="e">
        <f>NA()</f>
        <v>#N/A</v>
      </c>
      <c r="EK21" t="e">
        <f>NA()</f>
        <v>#N/A</v>
      </c>
      <c r="EL21" t="e">
        <f>NA()</f>
        <v>#N/A</v>
      </c>
      <c r="EM21" t="e">
        <f>NA()</f>
        <v>#N/A</v>
      </c>
      <c r="EN21" s="199" t="e">
        <f>NA()</f>
        <v>#N/A</v>
      </c>
      <c r="EO21" t="e">
        <f>NA()</f>
        <v>#N/A</v>
      </c>
      <c r="EP21" t="e">
        <f>NA()</f>
        <v>#N/A</v>
      </c>
      <c r="EQ21" t="e">
        <f>NA()</f>
        <v>#N/A</v>
      </c>
      <c r="ER21" s="180" t="e">
        <f>NA()</f>
        <v>#N/A</v>
      </c>
      <c r="ES21" t="e">
        <f>NA()</f>
        <v>#N/A</v>
      </c>
      <c r="ET21" t="e">
        <f>NA()</f>
        <v>#N/A</v>
      </c>
      <c r="EU21" t="e">
        <f>NA()</f>
        <v>#N/A</v>
      </c>
      <c r="EV21" t="e">
        <f>NA()</f>
        <v>#N/A</v>
      </c>
      <c r="EW21" s="61" t="e">
        <f t="shared" si="120"/>
        <v>#N/A</v>
      </c>
      <c r="EX21" s="9" t="e">
        <f t="shared" si="46"/>
        <v>#N/A</v>
      </c>
      <c r="EY21" s="9" t="e">
        <f t="shared" si="47"/>
        <v>#N/A</v>
      </c>
      <c r="EZ21" s="9" t="e">
        <f t="shared" si="48"/>
        <v>#N/A</v>
      </c>
      <c r="FA21" s="72" t="e">
        <f t="shared" si="49"/>
        <v>#N/A</v>
      </c>
      <c r="FB21">
        <v>1958</v>
      </c>
      <c r="FC21" s="116">
        <f t="shared" si="121"/>
        <v>22156.479584154877</v>
      </c>
      <c r="FD21" s="116">
        <f t="shared" si="122"/>
        <v>73847.895786552937</v>
      </c>
      <c r="FE21" s="116">
        <f t="shared" si="159"/>
        <v>559829</v>
      </c>
      <c r="FF21" s="116">
        <f t="shared" si="124"/>
        <v>63352.303167466845</v>
      </c>
      <c r="FG21" s="5">
        <f t="shared" si="125"/>
        <v>10495.592619086092</v>
      </c>
      <c r="FH21" s="5">
        <f t="shared" si="155"/>
        <v>12861.607659302856</v>
      </c>
      <c r="FI21" s="155">
        <f t="shared" si="126"/>
        <v>0.1421244641746075</v>
      </c>
      <c r="FJ21" s="117">
        <f t="shared" si="127"/>
        <v>14.21244641746075</v>
      </c>
      <c r="FK21" s="61">
        <f t="shared" si="50"/>
        <v>8254.6579306941421</v>
      </c>
      <c r="FL21" s="61">
        <f t="shared" si="142"/>
        <v>8.946209086624501</v>
      </c>
      <c r="FM21" s="92">
        <f t="shared" si="128"/>
        <v>1.271475172830512</v>
      </c>
      <c r="FN21" s="72">
        <f t="shared" si="129"/>
        <v>0.1421244641746075</v>
      </c>
      <c r="FO21" s="179">
        <f t="shared" si="51"/>
        <v>4.238250576101707E-2</v>
      </c>
      <c r="FP21" s="92">
        <f t="shared" si="160"/>
        <v>5.9115883872606974</v>
      </c>
      <c r="FQ21" s="1">
        <f t="shared" si="143"/>
        <v>-2.6418356911883586E-2</v>
      </c>
      <c r="FR21" s="26">
        <f t="shared" si="130"/>
        <v>1.310269070954615</v>
      </c>
      <c r="FS21">
        <f t="shared" si="52"/>
        <v>1958</v>
      </c>
      <c r="FT21" s="5" t="e">
        <f t="shared" si="53"/>
        <v>#N/A</v>
      </c>
      <c r="FU21" s="213" t="e">
        <f t="shared" si="54"/>
        <v>#N/A</v>
      </c>
      <c r="FV21" s="213" t="e">
        <f t="shared" si="131"/>
        <v>#N/A</v>
      </c>
      <c r="FW21" s="5" t="e">
        <f t="shared" si="132"/>
        <v>#N/A</v>
      </c>
      <c r="FX21" t="e">
        <f t="shared" si="133"/>
        <v>#N/A</v>
      </c>
      <c r="FY21" t="e">
        <f t="shared" si="55"/>
        <v>#N/A</v>
      </c>
      <c r="FZ21" t="e">
        <f t="shared" si="134"/>
        <v>#N/A</v>
      </c>
      <c r="GA21" t="e">
        <f t="shared" si="56"/>
        <v>#N/A</v>
      </c>
      <c r="GB21" s="61" t="e">
        <f t="shared" si="135"/>
        <v>#N/A</v>
      </c>
      <c r="GC21" s="61" t="e">
        <f t="shared" si="57"/>
        <v>#N/A</v>
      </c>
      <c r="GD21" s="61" t="e">
        <f>NA()</f>
        <v>#N/A</v>
      </c>
      <c r="GE21" s="61" t="e">
        <f t="shared" si="136"/>
        <v>#N/A</v>
      </c>
      <c r="GF21" s="61" t="e">
        <f t="shared" si="137"/>
        <v>#N/A</v>
      </c>
      <c r="GG21" s="61" t="e">
        <f>NA()</f>
        <v>#N/A</v>
      </c>
      <c r="GH21" s="6" t="e">
        <f t="shared" si="138"/>
        <v>#N/A</v>
      </c>
      <c r="GI21" t="e">
        <f t="shared" si="58"/>
        <v>#N/A</v>
      </c>
      <c r="GJ21" s="26" t="e">
        <f t="shared" si="139"/>
        <v>#N/A</v>
      </c>
      <c r="GK21" t="e">
        <f t="shared" si="59"/>
        <v>#N/A</v>
      </c>
      <c r="GL21" s="232">
        <f t="shared" si="140"/>
        <v>1.310269070954615</v>
      </c>
      <c r="GN21">
        <v>21</v>
      </c>
      <c r="GO21">
        <v>18</v>
      </c>
      <c r="GP21" s="46">
        <v>4</v>
      </c>
      <c r="GS21" s="167">
        <v>44</v>
      </c>
      <c r="GT21" s="46"/>
      <c r="GU21" s="167">
        <v>40</v>
      </c>
      <c r="GV21" s="46">
        <v>1</v>
      </c>
      <c r="GW21" s="6">
        <f>SUM($GV$10:GV21)/$GV$28</f>
        <v>0.90909090909090906</v>
      </c>
      <c r="GY21">
        <v>1958</v>
      </c>
      <c r="GZ21" s="112">
        <f t="shared" si="60"/>
        <v>1.0615517610835263</v>
      </c>
      <c r="HA21" s="26" t="e">
        <f t="shared" si="61"/>
        <v>#N/A</v>
      </c>
      <c r="HB21" s="26" t="e">
        <f t="shared" si="62"/>
        <v>#N/A</v>
      </c>
    </row>
    <row r="22" spans="1:210" x14ac:dyDescent="0.35">
      <c r="A22">
        <v>1959</v>
      </c>
      <c r="D22" s="80">
        <f>'SR + catch data Murdoch_age var'!C11</f>
        <v>152300</v>
      </c>
      <c r="E22" s="80">
        <f>'SR + catch data Murdoch_age var'!E11</f>
        <v>334077.81684886321</v>
      </c>
      <c r="F22" s="231">
        <f t="shared" si="63"/>
        <v>0.78552169051632736</v>
      </c>
      <c r="G22" s="80">
        <f>'SR + catch data Murdoch_age var'!D11</f>
        <v>651622</v>
      </c>
      <c r="H22" s="80">
        <f>'Orig data'!Q13</f>
        <v>651622</v>
      </c>
      <c r="I22" s="80">
        <f t="shared" si="64"/>
        <v>499322</v>
      </c>
      <c r="J22" s="150">
        <f t="shared" si="65"/>
        <v>0.76627554011374688</v>
      </c>
      <c r="K22" s="83">
        <f>'SR + catch data Murdoch_age var'!CM11</f>
        <v>1.1714548832933209</v>
      </c>
      <c r="L22" s="83">
        <f>'SR + catch data Murdoch_age var'!CN11</f>
        <v>1.1995522318349086</v>
      </c>
      <c r="M22" s="84">
        <f>'SR + catch data Murdoch_age var'!CO11</f>
        <v>455728.77257526823</v>
      </c>
      <c r="N22" s="81">
        <f t="shared" si="66"/>
        <v>-0.31052388515098117</v>
      </c>
      <c r="O22" s="82">
        <f t="shared" si="67"/>
        <v>1959</v>
      </c>
      <c r="P22" s="81">
        <f t="shared" si="68"/>
        <v>0.10741516534518507</v>
      </c>
      <c r="Q22" s="81">
        <f t="shared" si="12"/>
        <v>0.75930233821489568</v>
      </c>
      <c r="R22" s="81">
        <f t="shared" si="12"/>
        <v>0.13183604264117066</v>
      </c>
      <c r="S22" s="85">
        <f t="shared" si="12"/>
        <v>1.4464537987485602E-3</v>
      </c>
      <c r="T22" s="80">
        <f t="shared" si="144"/>
        <v>69994.084872560183</v>
      </c>
      <c r="U22" s="80">
        <f t="shared" si="145"/>
        <v>494778.10823226674</v>
      </c>
      <c r="V22" s="80">
        <f t="shared" si="146"/>
        <v>85907.265777924913</v>
      </c>
      <c r="W22" s="80">
        <f t="shared" si="147"/>
        <v>942.54111724813436</v>
      </c>
      <c r="X22" s="86">
        <f t="shared" si="73"/>
        <v>1959</v>
      </c>
      <c r="Y22" s="79">
        <f t="shared" si="149"/>
        <v>43015.914567106876</v>
      </c>
      <c r="Z22" s="79">
        <f t="shared" si="152"/>
        <v>460736.53788082162</v>
      </c>
      <c r="AA22" s="79">
        <f t="shared" si="156"/>
        <v>71807.763152510626</v>
      </c>
      <c r="AB22" s="79">
        <f t="shared" si="161"/>
        <v>490.70562374667378</v>
      </c>
      <c r="AC22" s="80">
        <f t="shared" si="78"/>
        <v>576050.92122418573</v>
      </c>
      <c r="AD22" s="84">
        <f t="shared" si="79"/>
        <v>75571.078775814269</v>
      </c>
      <c r="AE22" s="80">
        <f t="shared" si="80"/>
        <v>499322</v>
      </c>
      <c r="AF22" s="72">
        <f t="shared" si="81"/>
        <v>0.86680184268931215</v>
      </c>
      <c r="AG22" s="26">
        <f t="shared" si="82"/>
        <v>0.10052630257556527</v>
      </c>
      <c r="AH22" s="61">
        <f t="shared" si="14"/>
        <v>1959</v>
      </c>
      <c r="AI22" s="26">
        <f t="shared" si="15"/>
        <v>0.86680184268931215</v>
      </c>
      <c r="AJ22" s="75">
        <f t="shared" si="150"/>
        <v>94956.565246164129</v>
      </c>
      <c r="AK22" s="75">
        <f t="shared" si="153"/>
        <v>595946.78566709673</v>
      </c>
      <c r="AL22" s="75">
        <f t="shared" si="157"/>
        <v>15208.448900979125</v>
      </c>
      <c r="AM22" s="75">
        <f t="shared" si="162"/>
        <v>490.70562374667344</v>
      </c>
      <c r="AN22" s="79">
        <f t="shared" si="84"/>
        <v>706602.50543798658</v>
      </c>
      <c r="AO22" s="80">
        <f t="shared" si="85"/>
        <v>612484.35376253142</v>
      </c>
      <c r="AP22" s="80">
        <f t="shared" si="86"/>
        <v>94118.151675455156</v>
      </c>
      <c r="AQ22" s="81">
        <v>0.15222651509944574</v>
      </c>
      <c r="AR22" s="81">
        <v>0.73006502019319841</v>
      </c>
      <c r="AS22" s="81">
        <f>'SR + catch data Murdoch_age var'!N11</f>
        <v>0.98758496175807819</v>
      </c>
      <c r="AT22" s="121">
        <f>'SR + catch data Murdoch_age var'!BR11</f>
        <v>-0.66732403776025306</v>
      </c>
      <c r="AU22" s="122">
        <f t="shared" si="87"/>
        <v>1.1714548832933209</v>
      </c>
      <c r="AV22" s="122">
        <f t="shared" si="88"/>
        <v>1.0960455756673084</v>
      </c>
      <c r="AW22" s="80">
        <f t="shared" si="17"/>
        <v>212486.9511450745</v>
      </c>
      <c r="AX22" s="80"/>
      <c r="AY22" s="141" t="e">
        <f t="shared" si="89"/>
        <v>#N/A</v>
      </c>
      <c r="AZ22" s="141"/>
      <c r="BA22" s="84" t="e">
        <f t="shared" si="90"/>
        <v>#N/A</v>
      </c>
      <c r="BB22" s="101">
        <v>1959</v>
      </c>
      <c r="BC22" s="72">
        <v>3.5750695088044487E-2</v>
      </c>
      <c r="BD22" s="72">
        <v>0.8358758109360519</v>
      </c>
      <c r="BE22" s="72">
        <v>0.11956904541241889</v>
      </c>
      <c r="BF22" s="72">
        <v>8.3410565338276187E-3</v>
      </c>
      <c r="BG22" s="72">
        <v>4.6339202965708991E-4</v>
      </c>
      <c r="BH22" s="78" t="e">
        <f>-NA()</f>
        <v>#N/A</v>
      </c>
      <c r="BI22" s="78" t="e">
        <f>-NA()</f>
        <v>#N/A</v>
      </c>
      <c r="BJ22" s="78" t="e">
        <f>-NA()</f>
        <v>#N/A</v>
      </c>
      <c r="BK22" s="78" t="e">
        <f>-NA()</f>
        <v>#N/A</v>
      </c>
      <c r="BL22" s="78" t="e">
        <f>-NA()</f>
        <v>#N/A</v>
      </c>
      <c r="BM22" s="56" t="e">
        <f>-NA()</f>
        <v>#N/A</v>
      </c>
      <c r="BN22" s="78" t="e">
        <f>NA()</f>
        <v>#N/A</v>
      </c>
      <c r="BO22" s="78" t="e">
        <f t="shared" si="91"/>
        <v>#N/A</v>
      </c>
      <c r="BP22" s="78" t="e">
        <v>#N/A</v>
      </c>
      <c r="BQ22" s="78" t="e">
        <f t="shared" si="18"/>
        <v>#N/A</v>
      </c>
      <c r="BR22" s="199" t="e">
        <f>-NA()</f>
        <v>#N/A</v>
      </c>
      <c r="BS22" s="78" t="e">
        <f t="shared" si="19"/>
        <v>#N/A</v>
      </c>
      <c r="BT22" s="78" t="e">
        <f t="shared" si="20"/>
        <v>#N/A</v>
      </c>
      <c r="BU22" s="78" t="e">
        <f t="shared" si="21"/>
        <v>#N/A</v>
      </c>
      <c r="BV22" s="78" t="e">
        <f t="shared" si="92"/>
        <v>#N/A</v>
      </c>
      <c r="BW22" s="78" t="e">
        <f t="shared" si="22"/>
        <v>#N/A</v>
      </c>
      <c r="BX22" s="78" t="e">
        <f t="shared" si="23"/>
        <v>#N/A</v>
      </c>
      <c r="BY22" s="78" t="e">
        <f t="shared" ref="BY22:CE22" si="164">$BF$10+SUMPRODUCT($BH$10:$BI$10,BW22:BX22)</f>
        <v>#N/A</v>
      </c>
      <c r="BZ22" s="78" t="e">
        <f t="shared" si="164"/>
        <v>#N/A</v>
      </c>
      <c r="CA22" s="78">
        <v>1959</v>
      </c>
      <c r="CB22" s="78" t="e">
        <f t="shared" si="25"/>
        <v>#N/A</v>
      </c>
      <c r="CC22" s="78" t="e">
        <f t="shared" si="26"/>
        <v>#N/A</v>
      </c>
      <c r="CD22" s="78" t="e">
        <f t="shared" si="164"/>
        <v>#N/A</v>
      </c>
      <c r="CE22" s="78" t="e">
        <f t="shared" si="164"/>
        <v>#N/A</v>
      </c>
      <c r="CF22" s="78" t="e">
        <f t="shared" si="27"/>
        <v>#N/A</v>
      </c>
      <c r="CG22" s="78" t="e">
        <f t="shared" si="28"/>
        <v>#N/A</v>
      </c>
      <c r="CH22" s="78" t="e">
        <f t="shared" si="29"/>
        <v>#N/A</v>
      </c>
      <c r="CI22" s="199" t="e">
        <f t="shared" si="30"/>
        <v>#N/A</v>
      </c>
      <c r="CJ22" s="78" t="e">
        <f t="shared" si="31"/>
        <v>#N/A</v>
      </c>
      <c r="CK22" s="78" t="e">
        <f t="shared" si="32"/>
        <v>#N/A</v>
      </c>
      <c r="CL22" s="78" t="e">
        <f t="shared" si="33"/>
        <v>#N/A</v>
      </c>
      <c r="CM22" s="78"/>
      <c r="CN22" s="180" t="e">
        <f t="shared" si="34"/>
        <v>#N/A</v>
      </c>
      <c r="CO22" s="78" t="e">
        <f t="shared" si="35"/>
        <v>#N/A</v>
      </c>
      <c r="CP22" s="78" t="e">
        <f t="shared" si="94"/>
        <v>#N/A</v>
      </c>
      <c r="CQ22" s="96" t="e">
        <f t="shared" si="36"/>
        <v>#N/A</v>
      </c>
      <c r="CR22" s="78" t="e">
        <f t="shared" si="95"/>
        <v>#N/A</v>
      </c>
      <c r="CS22" s="61" t="e">
        <f t="shared" si="96"/>
        <v>#N/A</v>
      </c>
      <c r="CT22" s="61" t="e">
        <f t="shared" si="97"/>
        <v>#N/A</v>
      </c>
      <c r="CU22" s="61" t="e">
        <f>NA()</f>
        <v>#N/A</v>
      </c>
      <c r="CV22" s="104" t="e">
        <f t="shared" si="98"/>
        <v>#N/A</v>
      </c>
      <c r="CW22" s="105">
        <f t="shared" si="99"/>
        <v>0.15222651509944574</v>
      </c>
      <c r="CX22" s="105">
        <f t="shared" si="100"/>
        <v>0.73006502019319841</v>
      </c>
      <c r="CY22" s="105">
        <f t="shared" si="101"/>
        <v>0.98758496175807819</v>
      </c>
      <c r="CZ22" s="123">
        <f t="shared" si="102"/>
        <v>-0.66732403776025306</v>
      </c>
      <c r="DA22" s="81">
        <f t="shared" si="103"/>
        <v>1.1714548832933209</v>
      </c>
      <c r="DB22" s="9">
        <f t="shared" si="104"/>
        <v>212486.9511450745</v>
      </c>
      <c r="DD22" s="1" t="e">
        <f t="shared" si="105"/>
        <v>#N/A</v>
      </c>
      <c r="DE22" s="126" t="e">
        <f t="shared" si="106"/>
        <v>#N/A</v>
      </c>
      <c r="DF22" s="61">
        <v>1959</v>
      </c>
      <c r="DG22" s="26">
        <v>7.6142131979695434E-3</v>
      </c>
      <c r="DH22" s="26">
        <v>0.29512169725367693</v>
      </c>
      <c r="DI22" s="26">
        <v>0.6060236886632826</v>
      </c>
      <c r="DJ22" s="26">
        <v>8.8702329819081091E-2</v>
      </c>
      <c r="DK22" s="26">
        <v>2.5380710659898475E-3</v>
      </c>
      <c r="DL22" t="e">
        <f>NA()</f>
        <v>#N/A</v>
      </c>
      <c r="DM22" t="e">
        <f>NA()</f>
        <v>#N/A</v>
      </c>
      <c r="DN22" t="e">
        <f>NA()</f>
        <v>#N/A</v>
      </c>
      <c r="DO22" s="61" t="e">
        <f t="shared" si="107"/>
        <v>#N/A</v>
      </c>
      <c r="DP22" s="61" t="e">
        <f t="shared" si="108"/>
        <v>#N/A</v>
      </c>
      <c r="DQ22" s="61" t="e">
        <f t="shared" si="109"/>
        <v>#N/A</v>
      </c>
      <c r="DR22" s="61" t="e">
        <f>NA()</f>
        <v>#N/A</v>
      </c>
      <c r="DS22" s="61" t="e">
        <f>NA()</f>
        <v>#N/A</v>
      </c>
      <c r="DT22" s="113" t="e">
        <f t="shared" si="39"/>
        <v>#N/A</v>
      </c>
      <c r="DU22" s="76" t="e">
        <f t="shared" si="40"/>
        <v>#N/A</v>
      </c>
      <c r="DV22" s="72" t="e">
        <f t="shared" si="110"/>
        <v>#N/A</v>
      </c>
      <c r="DW22" s="201" t="e">
        <f t="shared" si="111"/>
        <v>#N/A</v>
      </c>
      <c r="DX22" s="72" t="e">
        <f t="shared" si="112"/>
        <v>#N/A</v>
      </c>
      <c r="DY22" s="72" t="e">
        <f t="shared" si="113"/>
        <v>#N/A</v>
      </c>
      <c r="DZ22" s="72" t="e">
        <f t="shared" si="114"/>
        <v>#N/A</v>
      </c>
      <c r="EA22" s="72" t="e">
        <f t="shared" si="115"/>
        <v>#N/A</v>
      </c>
      <c r="EB22" s="72" t="e">
        <f t="shared" si="116"/>
        <v>#N/A</v>
      </c>
      <c r="EC22" s="72" t="e">
        <f t="shared" si="117"/>
        <v>#N/A</v>
      </c>
      <c r="ED22" s="72" t="e">
        <f t="shared" si="118"/>
        <v>#N/A</v>
      </c>
      <c r="EE22" s="72"/>
      <c r="EF22">
        <v>1959</v>
      </c>
      <c r="EG22" s="72" t="e">
        <f t="shared" si="119"/>
        <v>#N/A</v>
      </c>
      <c r="EH22" t="e">
        <f>NA()</f>
        <v>#N/A</v>
      </c>
      <c r="EI22" t="e">
        <f>NA()</f>
        <v>#N/A</v>
      </c>
      <c r="EJ22" t="e">
        <f>NA()</f>
        <v>#N/A</v>
      </c>
      <c r="EK22" t="e">
        <f>NA()</f>
        <v>#N/A</v>
      </c>
      <c r="EL22" t="e">
        <f>NA()</f>
        <v>#N/A</v>
      </c>
      <c r="EM22" t="e">
        <f>NA()</f>
        <v>#N/A</v>
      </c>
      <c r="EN22" s="199" t="e">
        <f>NA()</f>
        <v>#N/A</v>
      </c>
      <c r="EO22" t="e">
        <f>NA()</f>
        <v>#N/A</v>
      </c>
      <c r="EP22" t="e">
        <f>NA()</f>
        <v>#N/A</v>
      </c>
      <c r="EQ22" t="e">
        <f>NA()</f>
        <v>#N/A</v>
      </c>
      <c r="ER22" s="180" t="e">
        <f>NA()</f>
        <v>#N/A</v>
      </c>
      <c r="ES22" t="e">
        <f>NA()</f>
        <v>#N/A</v>
      </c>
      <c r="ET22" t="e">
        <f>NA()</f>
        <v>#N/A</v>
      </c>
      <c r="EU22" t="e">
        <f>NA()</f>
        <v>#N/A</v>
      </c>
      <c r="EV22" t="e">
        <f>NA()</f>
        <v>#N/A</v>
      </c>
      <c r="EW22" s="61" t="e">
        <f t="shared" si="120"/>
        <v>#N/A</v>
      </c>
      <c r="EX22" s="9" t="e">
        <f t="shared" si="46"/>
        <v>#N/A</v>
      </c>
      <c r="EY22" s="9" t="e">
        <f t="shared" si="47"/>
        <v>#N/A</v>
      </c>
      <c r="EZ22" s="9" t="e">
        <f t="shared" si="48"/>
        <v>#N/A</v>
      </c>
      <c r="FA22" s="72" t="e">
        <f t="shared" si="49"/>
        <v>#N/A</v>
      </c>
      <c r="FB22">
        <v>1959</v>
      </c>
      <c r="FC22" s="116">
        <f t="shared" si="121"/>
        <v>94118.151675455156</v>
      </c>
      <c r="FD22" s="116">
        <f t="shared" si="122"/>
        <v>336480.7665495628</v>
      </c>
      <c r="FE22" s="116">
        <f t="shared" si="159"/>
        <v>714191.79541674536</v>
      </c>
      <c r="FF22" s="116">
        <f t="shared" si="124"/>
        <v>289861.86017078336</v>
      </c>
      <c r="FG22" s="5">
        <f t="shared" si="125"/>
        <v>46618.906378779444</v>
      </c>
      <c r="FH22" s="5">
        <f t="shared" si="155"/>
        <v>103744.75851330184</v>
      </c>
      <c r="FI22" s="155">
        <f t="shared" si="126"/>
        <v>0.13854850265836099</v>
      </c>
      <c r="FJ22" s="117">
        <f t="shared" si="127"/>
        <v>13.854850265836099</v>
      </c>
      <c r="FK22" s="61">
        <f t="shared" si="50"/>
        <v>8030.6659306941383</v>
      </c>
      <c r="FL22" s="61">
        <f t="shared" si="142"/>
        <v>41.899484980877389</v>
      </c>
      <c r="FM22" s="92">
        <f t="shared" si="128"/>
        <v>5.8051109062570472</v>
      </c>
      <c r="FN22" s="72">
        <f t="shared" si="129"/>
        <v>0.13854850265836099</v>
      </c>
      <c r="FO22" s="179">
        <f t="shared" si="51"/>
        <v>0.19350369687523492</v>
      </c>
      <c r="FP22" s="92">
        <f t="shared" si="160"/>
        <v>5.1791472997667256</v>
      </c>
      <c r="FQ22" s="1">
        <f t="shared" si="143"/>
        <v>-2.7135224970027089E-2</v>
      </c>
      <c r="FR22" s="26">
        <f t="shared" si="130"/>
        <v>1.274714624942993</v>
      </c>
      <c r="FS22">
        <f t="shared" si="52"/>
        <v>1959</v>
      </c>
      <c r="FT22" s="5" t="e">
        <f t="shared" si="53"/>
        <v>#N/A</v>
      </c>
      <c r="FU22" s="213" t="e">
        <f t="shared" si="54"/>
        <v>#N/A</v>
      </c>
      <c r="FV22" s="213" t="e">
        <f t="shared" si="131"/>
        <v>#N/A</v>
      </c>
      <c r="FW22" s="5" t="e">
        <f t="shared" si="132"/>
        <v>#N/A</v>
      </c>
      <c r="FX22" t="e">
        <f t="shared" si="133"/>
        <v>#N/A</v>
      </c>
      <c r="FY22" t="e">
        <f t="shared" si="55"/>
        <v>#N/A</v>
      </c>
      <c r="FZ22" t="e">
        <f t="shared" si="134"/>
        <v>#N/A</v>
      </c>
      <c r="GA22" t="e">
        <f t="shared" si="56"/>
        <v>#N/A</v>
      </c>
      <c r="GB22" s="61" t="e">
        <f t="shared" si="135"/>
        <v>#N/A</v>
      </c>
      <c r="GC22" s="61" t="e">
        <f t="shared" si="57"/>
        <v>#N/A</v>
      </c>
      <c r="GD22" s="61" t="e">
        <f>NA()</f>
        <v>#N/A</v>
      </c>
      <c r="GE22" s="61" t="e">
        <f t="shared" si="136"/>
        <v>#N/A</v>
      </c>
      <c r="GF22" s="61" t="e">
        <f t="shared" si="137"/>
        <v>#N/A</v>
      </c>
      <c r="GG22" s="61" t="e">
        <f>NA()</f>
        <v>#N/A</v>
      </c>
      <c r="GH22" s="6" t="e">
        <f t="shared" si="138"/>
        <v>#N/A</v>
      </c>
      <c r="GI22" t="e">
        <f t="shared" si="58"/>
        <v>#N/A</v>
      </c>
      <c r="GJ22" s="26" t="e">
        <f t="shared" si="139"/>
        <v>#N/A</v>
      </c>
      <c r="GK22" t="e">
        <f t="shared" si="59"/>
        <v>#N/A</v>
      </c>
      <c r="GL22" s="232">
        <f t="shared" si="140"/>
        <v>1.274714624942993</v>
      </c>
      <c r="GN22">
        <v>24</v>
      </c>
      <c r="GO22">
        <v>21</v>
      </c>
      <c r="GP22" s="46">
        <v>3</v>
      </c>
      <c r="GS22" s="167">
        <v>48</v>
      </c>
      <c r="GT22" s="46"/>
      <c r="GU22" s="167">
        <v>44</v>
      </c>
      <c r="GV22" s="46">
        <v>0</v>
      </c>
      <c r="GW22" s="6">
        <f>SUM($GV$10:GV22)/$GV$28</f>
        <v>0.90909090909090906</v>
      </c>
      <c r="GY22">
        <v>1959</v>
      </c>
      <c r="GZ22" s="112">
        <f t="shared" si="60"/>
        <v>1.1714548832933209</v>
      </c>
      <c r="HA22" s="26" t="e">
        <f t="shared" si="61"/>
        <v>#N/A</v>
      </c>
      <c r="HB22" s="26" t="e">
        <f t="shared" si="62"/>
        <v>#N/A</v>
      </c>
    </row>
    <row r="23" spans="1:210" x14ac:dyDescent="0.35">
      <c r="A23">
        <v>1960</v>
      </c>
      <c r="D23" s="80">
        <f>'SR + catch data Murdoch_age var'!C12</f>
        <v>144782</v>
      </c>
      <c r="E23" s="80">
        <f>'SR + catch data Murdoch_age var'!E12</f>
        <v>341713.55149719119</v>
      </c>
      <c r="F23" s="231">
        <f t="shared" si="63"/>
        <v>0.85874365455198176</v>
      </c>
      <c r="G23" s="80">
        <f>'SR + catch data Murdoch_age var'!D12</f>
        <v>390714</v>
      </c>
      <c r="H23" s="80">
        <f>'Orig data'!Q14</f>
        <v>390714</v>
      </c>
      <c r="I23" s="80">
        <f t="shared" si="64"/>
        <v>245932</v>
      </c>
      <c r="J23" s="150">
        <f t="shared" si="65"/>
        <v>0.62944250781901856</v>
      </c>
      <c r="K23" s="83">
        <f>'SR + catch data Murdoch_age var'!CM12</f>
        <v>1.2189068975424648</v>
      </c>
      <c r="L23" s="83">
        <f>'SR + catch data Murdoch_age var'!CN12</f>
        <v>1.1904007003975914</v>
      </c>
      <c r="M23" s="84">
        <f>'SR + catch data Murdoch_age var'!CO12</f>
        <v>455980.10987945419</v>
      </c>
      <c r="N23" s="81">
        <f t="shared" si="66"/>
        <v>-0.28847637249337643</v>
      </c>
      <c r="O23" s="82">
        <f t="shared" si="67"/>
        <v>1960</v>
      </c>
      <c r="P23" s="81">
        <f t="shared" si="68"/>
        <v>0.10741516534518507</v>
      </c>
      <c r="Q23" s="81">
        <f t="shared" si="12"/>
        <v>0.75930233821489568</v>
      </c>
      <c r="R23" s="81">
        <f t="shared" si="12"/>
        <v>0.13183604264117066</v>
      </c>
      <c r="S23" s="85">
        <f t="shared" si="12"/>
        <v>1.4464537987485602E-3</v>
      </c>
      <c r="T23" s="80">
        <f t="shared" si="144"/>
        <v>41968.608912678639</v>
      </c>
      <c r="U23" s="80">
        <f t="shared" si="145"/>
        <v>296670.05377329473</v>
      </c>
      <c r="V23" s="80">
        <f t="shared" si="146"/>
        <v>51510.187564502354</v>
      </c>
      <c r="W23" s="80">
        <f t="shared" si="147"/>
        <v>565.14974952424495</v>
      </c>
      <c r="X23" s="86">
        <f t="shared" si="73"/>
        <v>1960</v>
      </c>
      <c r="Y23" s="79">
        <f t="shared" si="149"/>
        <v>28777.747449340539</v>
      </c>
      <c r="Z23" s="79">
        <f t="shared" si="152"/>
        <v>304073.30665362638</v>
      </c>
      <c r="AA23" s="79">
        <f t="shared" si="156"/>
        <v>79996.7006518165</v>
      </c>
      <c r="AB23" s="79">
        <f t="shared" si="161"/>
        <v>787.84685667703502</v>
      </c>
      <c r="AC23" s="80">
        <f t="shared" si="78"/>
        <v>413635.60161146044</v>
      </c>
      <c r="AD23" s="84">
        <f t="shared" si="79"/>
        <v>-22921.601611460443</v>
      </c>
      <c r="AE23" s="80">
        <f t="shared" si="80"/>
        <v>245932</v>
      </c>
      <c r="AF23" s="72">
        <f t="shared" si="81"/>
        <v>0.59456197445743764</v>
      </c>
      <c r="AG23" s="26">
        <f t="shared" si="82"/>
        <v>-3.4880533361580923E-2</v>
      </c>
      <c r="AH23" s="61">
        <f t="shared" si="14"/>
        <v>1960</v>
      </c>
      <c r="AI23" s="26">
        <f t="shared" si="15"/>
        <v>0.59456197445743764</v>
      </c>
      <c r="AJ23" s="75">
        <f t="shared" si="150"/>
        <v>38600.045160983347</v>
      </c>
      <c r="AK23" s="75">
        <f t="shared" si="153"/>
        <v>671234.28790122585</v>
      </c>
      <c r="AL23" s="75">
        <f t="shared" si="157"/>
        <v>103472.96708157912</v>
      </c>
      <c r="AM23" s="75">
        <f t="shared" si="162"/>
        <v>166.86118792088831</v>
      </c>
      <c r="AN23" s="79">
        <f t="shared" si="84"/>
        <v>813474.16133170924</v>
      </c>
      <c r="AO23" s="80">
        <f t="shared" si="85"/>
        <v>483660.80353148922</v>
      </c>
      <c r="AP23" s="80">
        <f t="shared" si="86"/>
        <v>329813.35780022002</v>
      </c>
      <c r="AQ23" s="81">
        <v>-0.30670833768597178</v>
      </c>
      <c r="AR23" s="81">
        <v>1.2736826659985954</v>
      </c>
      <c r="AS23" s="81">
        <f>'SR + catch data Murdoch_age var'!N12</f>
        <v>0.70288088956880534</v>
      </c>
      <c r="AT23" s="121">
        <f>'SR + catch data Murdoch_age var'!BR12</f>
        <v>-0.68587385818701796</v>
      </c>
      <c r="AU23" s="122">
        <f t="shared" si="87"/>
        <v>1.2189068975424646</v>
      </c>
      <c r="AV23" s="122">
        <f t="shared" si="88"/>
        <v>1.1472200270453579</v>
      </c>
      <c r="AW23" s="80">
        <f t="shared" si="17"/>
        <v>710276.80837466917</v>
      </c>
      <c r="AX23" s="80"/>
      <c r="AY23" s="141" t="e">
        <f t="shared" si="89"/>
        <v>#N/A</v>
      </c>
      <c r="AZ23" s="141"/>
      <c r="BA23" s="84" t="e">
        <f t="shared" si="90"/>
        <v>#N/A</v>
      </c>
      <c r="BB23" s="101">
        <v>1960</v>
      </c>
      <c r="BC23" s="72">
        <v>3.5750695088044487E-2</v>
      </c>
      <c r="BD23" s="72">
        <v>0.8358758109360519</v>
      </c>
      <c r="BE23" s="72">
        <v>0.11956904541241889</v>
      </c>
      <c r="BF23" s="72">
        <v>8.3410565338276187E-3</v>
      </c>
      <c r="BG23" s="72">
        <v>4.6339202965708991E-4</v>
      </c>
      <c r="BH23" s="78" t="e">
        <f>-NA()</f>
        <v>#N/A</v>
      </c>
      <c r="BI23" s="78" t="e">
        <f>-NA()</f>
        <v>#N/A</v>
      </c>
      <c r="BJ23" s="78" t="e">
        <f>-NA()</f>
        <v>#N/A</v>
      </c>
      <c r="BK23" s="78" t="e">
        <f>-NA()</f>
        <v>#N/A</v>
      </c>
      <c r="BL23" s="78" t="e">
        <f>-NA()</f>
        <v>#N/A</v>
      </c>
      <c r="BM23" s="56" t="e">
        <f>-NA()</f>
        <v>#N/A</v>
      </c>
      <c r="BN23" s="78" t="e">
        <f>NA()</f>
        <v>#N/A</v>
      </c>
      <c r="BO23" s="78" t="e">
        <f t="shared" si="91"/>
        <v>#N/A</v>
      </c>
      <c r="BP23" s="78" t="e">
        <v>#N/A</v>
      </c>
      <c r="BQ23" s="78" t="e">
        <f t="shared" si="18"/>
        <v>#N/A</v>
      </c>
      <c r="BR23" s="199" t="e">
        <f>-NA()</f>
        <v>#N/A</v>
      </c>
      <c r="BS23" s="78" t="e">
        <f t="shared" si="19"/>
        <v>#N/A</v>
      </c>
      <c r="BT23" s="78" t="e">
        <f t="shared" si="20"/>
        <v>#N/A</v>
      </c>
      <c r="BU23" s="78" t="e">
        <f t="shared" si="21"/>
        <v>#N/A</v>
      </c>
      <c r="BV23" s="78" t="e">
        <f t="shared" si="92"/>
        <v>#N/A</v>
      </c>
      <c r="BW23" s="78" t="e">
        <f t="shared" si="22"/>
        <v>#N/A</v>
      </c>
      <c r="BX23" s="78" t="e">
        <f t="shared" si="23"/>
        <v>#N/A</v>
      </c>
      <c r="BY23" s="78" t="e">
        <f t="shared" ref="BY23:CE23" si="165">$BF$10+SUMPRODUCT($BH$10:$BI$10,BW23:BX23)</f>
        <v>#N/A</v>
      </c>
      <c r="BZ23" s="78" t="e">
        <f t="shared" si="165"/>
        <v>#N/A</v>
      </c>
      <c r="CA23" s="78">
        <v>1960</v>
      </c>
      <c r="CB23" s="78" t="e">
        <f t="shared" si="25"/>
        <v>#N/A</v>
      </c>
      <c r="CC23" s="78" t="e">
        <f t="shared" si="26"/>
        <v>#N/A</v>
      </c>
      <c r="CD23" s="78" t="e">
        <f t="shared" si="165"/>
        <v>#N/A</v>
      </c>
      <c r="CE23" s="78" t="e">
        <f t="shared" si="165"/>
        <v>#N/A</v>
      </c>
      <c r="CF23" s="78" t="e">
        <f t="shared" si="27"/>
        <v>#N/A</v>
      </c>
      <c r="CG23" s="78" t="e">
        <f t="shared" si="28"/>
        <v>#N/A</v>
      </c>
      <c r="CH23" s="78" t="e">
        <f t="shared" si="29"/>
        <v>#N/A</v>
      </c>
      <c r="CI23" s="199" t="e">
        <f t="shared" si="30"/>
        <v>#N/A</v>
      </c>
      <c r="CJ23" s="78" t="e">
        <f t="shared" si="31"/>
        <v>#N/A</v>
      </c>
      <c r="CK23" s="78" t="e">
        <f t="shared" si="32"/>
        <v>#N/A</v>
      </c>
      <c r="CL23" s="78" t="e">
        <f t="shared" si="33"/>
        <v>#N/A</v>
      </c>
      <c r="CM23" s="78"/>
      <c r="CN23" s="180" t="e">
        <f t="shared" si="34"/>
        <v>#N/A</v>
      </c>
      <c r="CO23" s="78" t="e">
        <f t="shared" si="35"/>
        <v>#N/A</v>
      </c>
      <c r="CP23" s="78" t="e">
        <f t="shared" si="94"/>
        <v>#N/A</v>
      </c>
      <c r="CQ23" s="96" t="e">
        <f t="shared" si="36"/>
        <v>#N/A</v>
      </c>
      <c r="CR23" s="78" t="e">
        <f t="shared" si="95"/>
        <v>#N/A</v>
      </c>
      <c r="CS23" s="61" t="e">
        <f t="shared" si="96"/>
        <v>#N/A</v>
      </c>
      <c r="CT23" s="61" t="e">
        <f t="shared" si="97"/>
        <v>#N/A</v>
      </c>
      <c r="CU23" s="61" t="e">
        <f>NA()</f>
        <v>#N/A</v>
      </c>
      <c r="CV23" s="104" t="e">
        <f t="shared" si="98"/>
        <v>#N/A</v>
      </c>
      <c r="CW23" s="105">
        <f t="shared" si="99"/>
        <v>-0.30670833768597178</v>
      </c>
      <c r="CX23" s="105">
        <f t="shared" si="100"/>
        <v>1.2736826659985954</v>
      </c>
      <c r="CY23" s="105">
        <f t="shared" si="101"/>
        <v>0.70288088956880534</v>
      </c>
      <c r="CZ23" s="123">
        <f t="shared" si="102"/>
        <v>-0.68587385818701796</v>
      </c>
      <c r="DA23" s="81">
        <f t="shared" si="103"/>
        <v>1.2189068975424646</v>
      </c>
      <c r="DB23" s="9">
        <f t="shared" si="104"/>
        <v>710276.80837466917</v>
      </c>
      <c r="DD23" s="1" t="e">
        <f t="shared" si="105"/>
        <v>#N/A</v>
      </c>
      <c r="DE23" s="126" t="e">
        <f t="shared" si="106"/>
        <v>#N/A</v>
      </c>
      <c r="DF23" s="61">
        <v>1960</v>
      </c>
      <c r="DG23" s="26">
        <v>7.6142131979695434E-3</v>
      </c>
      <c r="DH23" s="26">
        <v>0.29512169725367693</v>
      </c>
      <c r="DI23" s="26">
        <v>0.6060236886632826</v>
      </c>
      <c r="DJ23" s="26">
        <v>8.8702329819081091E-2</v>
      </c>
      <c r="DK23" s="26">
        <v>2.5380710659898475E-3</v>
      </c>
      <c r="DL23" t="e">
        <f>NA()</f>
        <v>#N/A</v>
      </c>
      <c r="DM23" t="e">
        <f>NA()</f>
        <v>#N/A</v>
      </c>
      <c r="DN23" t="e">
        <f>NA()</f>
        <v>#N/A</v>
      </c>
      <c r="DO23" s="61" t="e">
        <f t="shared" si="107"/>
        <v>#N/A</v>
      </c>
      <c r="DP23" s="61" t="e">
        <f t="shared" si="108"/>
        <v>#N/A</v>
      </c>
      <c r="DQ23" s="61" t="e">
        <f t="shared" si="109"/>
        <v>#N/A</v>
      </c>
      <c r="DR23" s="61" t="e">
        <f>NA()</f>
        <v>#N/A</v>
      </c>
      <c r="DS23" s="61" t="e">
        <f>NA()</f>
        <v>#N/A</v>
      </c>
      <c r="DT23" s="113" t="e">
        <f t="shared" si="39"/>
        <v>#N/A</v>
      </c>
      <c r="DU23" s="76" t="e">
        <f t="shared" si="40"/>
        <v>#N/A</v>
      </c>
      <c r="DV23" s="72" t="e">
        <f t="shared" si="110"/>
        <v>#N/A</v>
      </c>
      <c r="DW23" s="201" t="e">
        <f t="shared" si="111"/>
        <v>#N/A</v>
      </c>
      <c r="DX23" s="72" t="e">
        <f t="shared" si="112"/>
        <v>#N/A</v>
      </c>
      <c r="DY23" s="72" t="e">
        <f t="shared" si="113"/>
        <v>#N/A</v>
      </c>
      <c r="DZ23" s="72" t="e">
        <f t="shared" si="114"/>
        <v>#N/A</v>
      </c>
      <c r="EA23" s="72" t="e">
        <f t="shared" si="115"/>
        <v>#N/A</v>
      </c>
      <c r="EB23" s="72" t="e">
        <f t="shared" si="116"/>
        <v>#N/A</v>
      </c>
      <c r="EC23" s="72" t="e">
        <f t="shared" si="117"/>
        <v>#N/A</v>
      </c>
      <c r="ED23" s="72" t="e">
        <f t="shared" si="118"/>
        <v>#N/A</v>
      </c>
      <c r="EE23" s="72"/>
      <c r="EF23">
        <v>1960</v>
      </c>
      <c r="EG23" s="72" t="e">
        <f t="shared" si="119"/>
        <v>#N/A</v>
      </c>
      <c r="EH23" t="e">
        <f>NA()</f>
        <v>#N/A</v>
      </c>
      <c r="EI23" t="e">
        <f>NA()</f>
        <v>#N/A</v>
      </c>
      <c r="EJ23" t="e">
        <f>NA()</f>
        <v>#N/A</v>
      </c>
      <c r="EK23" t="e">
        <f>NA()</f>
        <v>#N/A</v>
      </c>
      <c r="EL23" t="e">
        <f>NA()</f>
        <v>#N/A</v>
      </c>
      <c r="EM23" t="e">
        <f>NA()</f>
        <v>#N/A</v>
      </c>
      <c r="EN23" s="199" t="e">
        <f>NA()</f>
        <v>#N/A</v>
      </c>
      <c r="EO23" t="e">
        <f>NA()</f>
        <v>#N/A</v>
      </c>
      <c r="EP23" t="e">
        <f>NA()</f>
        <v>#N/A</v>
      </c>
      <c r="EQ23" t="e">
        <f>NA()</f>
        <v>#N/A</v>
      </c>
      <c r="ER23" s="180" t="e">
        <f>NA()</f>
        <v>#N/A</v>
      </c>
      <c r="ES23" t="e">
        <f>NA()</f>
        <v>#N/A</v>
      </c>
      <c r="ET23" t="e">
        <f>NA()</f>
        <v>#N/A</v>
      </c>
      <c r="EU23" t="e">
        <f>NA()</f>
        <v>#N/A</v>
      </c>
      <c r="EV23" t="e">
        <f>NA()</f>
        <v>#N/A</v>
      </c>
      <c r="EW23" s="61" t="e">
        <f t="shared" si="120"/>
        <v>#N/A</v>
      </c>
      <c r="EX23" s="9" t="e">
        <f t="shared" si="46"/>
        <v>#N/A</v>
      </c>
      <c r="EY23" s="9" t="e">
        <f t="shared" si="47"/>
        <v>#N/A</v>
      </c>
      <c r="EZ23" s="9" t="e">
        <f t="shared" si="48"/>
        <v>#N/A</v>
      </c>
      <c r="FA23" s="72" t="e">
        <f t="shared" si="49"/>
        <v>#N/A</v>
      </c>
      <c r="FB23">
        <v>1960</v>
      </c>
      <c r="FC23" s="116">
        <f t="shared" si="121"/>
        <v>329813.35780022002</v>
      </c>
      <c r="FD23" s="116">
        <f t="shared" si="122"/>
        <v>1095655.3255096907</v>
      </c>
      <c r="FE23" s="116">
        <f t="shared" si="159"/>
        <v>813474.16133170924</v>
      </c>
      <c r="FF23" s="116">
        <f t="shared" si="124"/>
        <v>947788.27385829296</v>
      </c>
      <c r="FG23" s="5">
        <f t="shared" si="125"/>
        <v>147867.05165139772</v>
      </c>
      <c r="FH23" s="5">
        <f t="shared" si="155"/>
        <v>42322.097751836845</v>
      </c>
      <c r="FI23" s="155">
        <f t="shared" si="126"/>
        <v>0.13495763513275588</v>
      </c>
      <c r="FJ23" s="117">
        <f t="shared" si="127"/>
        <v>13.495763513275588</v>
      </c>
      <c r="FK23" s="61">
        <f t="shared" si="50"/>
        <v>7806.6739306941399</v>
      </c>
      <c r="FL23" s="61">
        <f t="shared" si="142"/>
        <v>140.34854474987264</v>
      </c>
      <c r="FM23" s="92">
        <f t="shared" si="128"/>
        <v>18.941107693766575</v>
      </c>
      <c r="FN23" s="72">
        <f t="shared" si="129"/>
        <v>0.13495763513275588</v>
      </c>
      <c r="FO23" s="179">
        <f t="shared" si="51"/>
        <v>0.63137025645888589</v>
      </c>
      <c r="FP23" s="92">
        <f t="shared" si="160"/>
        <v>8.1292299908935188</v>
      </c>
      <c r="FQ23" s="1">
        <f t="shared" si="143"/>
        <v>-2.7892082914802236E-2</v>
      </c>
      <c r="FR23" s="26">
        <f t="shared" si="130"/>
        <v>1.239160178931372</v>
      </c>
      <c r="FS23">
        <f t="shared" si="52"/>
        <v>1960</v>
      </c>
      <c r="FT23" s="5" t="e">
        <f t="shared" si="53"/>
        <v>#N/A</v>
      </c>
      <c r="FU23" s="213" t="e">
        <f t="shared" si="54"/>
        <v>#N/A</v>
      </c>
      <c r="FV23" s="213" t="e">
        <f t="shared" si="131"/>
        <v>#N/A</v>
      </c>
      <c r="FW23" s="5" t="e">
        <f t="shared" si="132"/>
        <v>#N/A</v>
      </c>
      <c r="FX23" t="e">
        <f t="shared" si="133"/>
        <v>#N/A</v>
      </c>
      <c r="FY23" t="e">
        <f t="shared" si="55"/>
        <v>#N/A</v>
      </c>
      <c r="FZ23" t="e">
        <f t="shared" si="134"/>
        <v>#N/A</v>
      </c>
      <c r="GA23" t="e">
        <f t="shared" si="56"/>
        <v>#N/A</v>
      </c>
      <c r="GB23" s="61" t="e">
        <f t="shared" si="135"/>
        <v>#N/A</v>
      </c>
      <c r="GC23" s="61" t="e">
        <f t="shared" si="57"/>
        <v>#N/A</v>
      </c>
      <c r="GD23" s="61" t="e">
        <f>NA()</f>
        <v>#N/A</v>
      </c>
      <c r="GE23" s="61" t="e">
        <f t="shared" si="136"/>
        <v>#N/A</v>
      </c>
      <c r="GF23" s="61" t="e">
        <f t="shared" si="137"/>
        <v>#N/A</v>
      </c>
      <c r="GG23" s="61" t="e">
        <f>NA()</f>
        <v>#N/A</v>
      </c>
      <c r="GH23" s="6" t="e">
        <f t="shared" si="138"/>
        <v>#N/A</v>
      </c>
      <c r="GI23" t="e">
        <f t="shared" si="58"/>
        <v>#N/A</v>
      </c>
      <c r="GJ23" s="26" t="e">
        <f t="shared" si="139"/>
        <v>#N/A</v>
      </c>
      <c r="GK23" t="e">
        <f t="shared" si="59"/>
        <v>#N/A</v>
      </c>
      <c r="GL23" s="232">
        <f t="shared" si="140"/>
        <v>1.239160178931372</v>
      </c>
      <c r="GN23">
        <v>27</v>
      </c>
      <c r="GO23">
        <v>24</v>
      </c>
      <c r="GP23" s="46">
        <v>5</v>
      </c>
      <c r="GS23" s="167">
        <v>52</v>
      </c>
      <c r="GT23" s="46"/>
      <c r="GU23" s="167">
        <v>48</v>
      </c>
      <c r="GV23" s="46">
        <v>2</v>
      </c>
      <c r="GW23" s="6">
        <f>SUM($GV$10:GV23)/$GV$28</f>
        <v>0.93939393939393945</v>
      </c>
      <c r="GY23">
        <v>1960</v>
      </c>
      <c r="GZ23" s="112">
        <f t="shared" si="60"/>
        <v>1.2189068975424646</v>
      </c>
      <c r="HA23" s="26" t="e">
        <f t="shared" si="61"/>
        <v>#N/A</v>
      </c>
      <c r="HB23" s="26" t="e">
        <f t="shared" si="62"/>
        <v>#N/A</v>
      </c>
    </row>
    <row r="24" spans="1:210" x14ac:dyDescent="0.35">
      <c r="A24">
        <v>1961</v>
      </c>
      <c r="D24" s="80">
        <f>'SR + catch data Murdoch_age var'!C13</f>
        <v>103920</v>
      </c>
      <c r="E24" s="80">
        <f>'SR + catch data Murdoch_age var'!E13</f>
        <v>225157.1117145376</v>
      </c>
      <c r="F24" s="231">
        <f t="shared" si="63"/>
        <v>0.77317706044885048</v>
      </c>
      <c r="G24" s="80">
        <f>'SR + catch data Murdoch_age var'!D13</f>
        <v>253644</v>
      </c>
      <c r="H24" s="80">
        <f>'Orig data'!Q15</f>
        <v>253644</v>
      </c>
      <c r="I24" s="80">
        <f t="shared" si="64"/>
        <v>149724</v>
      </c>
      <c r="J24" s="150">
        <f t="shared" si="65"/>
        <v>0.59029190518995123</v>
      </c>
      <c r="K24" s="83">
        <f>'SR + catch data Murdoch_age var'!CM13</f>
        <v>1.2857872487766422</v>
      </c>
      <c r="L24" s="83">
        <f>'SR + catch data Murdoch_age var'!CN13</f>
        <v>1.1614086213588162</v>
      </c>
      <c r="M24" s="84">
        <f>'SR + catch data Murdoch_age var'!CO13</f>
        <v>357077.92073081399</v>
      </c>
      <c r="N24" s="81">
        <f t="shared" si="66"/>
        <v>-0.46115559050444821</v>
      </c>
      <c r="O24" s="82">
        <f t="shared" si="67"/>
        <v>1961</v>
      </c>
      <c r="P24" s="81">
        <f t="shared" si="68"/>
        <v>0.10741516534518507</v>
      </c>
      <c r="Q24" s="81">
        <f t="shared" si="12"/>
        <v>0.75930233821489568</v>
      </c>
      <c r="R24" s="81">
        <f t="shared" si="12"/>
        <v>0.13183604264117066</v>
      </c>
      <c r="S24" s="85">
        <f t="shared" si="12"/>
        <v>1.4464537987485602E-3</v>
      </c>
      <c r="T24" s="80">
        <f t="shared" si="144"/>
        <v>27245.212198814123</v>
      </c>
      <c r="U24" s="80">
        <f t="shared" si="145"/>
        <v>192592.482274179</v>
      </c>
      <c r="V24" s="80">
        <f t="shared" si="146"/>
        <v>33439.42119967709</v>
      </c>
      <c r="W24" s="80">
        <f t="shared" si="147"/>
        <v>366.88432732977981</v>
      </c>
      <c r="X24" s="86">
        <f t="shared" si="73"/>
        <v>1961</v>
      </c>
      <c r="Y24" s="79">
        <f t="shared" si="149"/>
        <v>28125.518983737122</v>
      </c>
      <c r="Z24" s="79">
        <f t="shared" si="152"/>
        <v>203425.75330608571</v>
      </c>
      <c r="AA24" s="79">
        <f t="shared" si="156"/>
        <v>52795.598544151595</v>
      </c>
      <c r="AB24" s="79">
        <f t="shared" si="161"/>
        <v>877.69269485821326</v>
      </c>
      <c r="AC24" s="80">
        <f t="shared" si="78"/>
        <v>285224.56352883269</v>
      </c>
      <c r="AD24" s="84">
        <f t="shared" si="79"/>
        <v>-31580.563528832688</v>
      </c>
      <c r="AE24" s="80">
        <f t="shared" si="80"/>
        <v>149724</v>
      </c>
      <c r="AF24" s="72">
        <f t="shared" si="81"/>
        <v>0.52493375096308892</v>
      </c>
      <c r="AG24" s="26">
        <f t="shared" si="82"/>
        <v>-6.5358154226862308E-2</v>
      </c>
      <c r="AH24" s="61">
        <f t="shared" si="14"/>
        <v>1961</v>
      </c>
      <c r="AI24" s="26">
        <f t="shared" si="15"/>
        <v>0.52493375096308892</v>
      </c>
      <c r="AJ24" s="75">
        <f t="shared" si="150"/>
        <v>7206.4852245943384</v>
      </c>
      <c r="AK24" s="75">
        <f t="shared" si="153"/>
        <v>272858.16161757667</v>
      </c>
      <c r="AL24" s="75">
        <f t="shared" si="157"/>
        <v>116544.97523345808</v>
      </c>
      <c r="AM24" s="75">
        <f t="shared" si="162"/>
        <v>1135.2651619732039</v>
      </c>
      <c r="AN24" s="79">
        <f t="shared" si="84"/>
        <v>397744.88723760232</v>
      </c>
      <c r="AO24" s="80">
        <f t="shared" si="85"/>
        <v>208789.71558402543</v>
      </c>
      <c r="AP24" s="80">
        <f t="shared" si="86"/>
        <v>188955.17165357689</v>
      </c>
      <c r="AQ24" s="81">
        <v>-0.10122219620501262</v>
      </c>
      <c r="AR24" s="81">
        <v>-6.0651555523742504E-2</v>
      </c>
      <c r="AS24" s="81">
        <f>'SR + catch data Murdoch_age var'!N13</f>
        <v>-1.0011872797392511</v>
      </c>
      <c r="AT24" s="121">
        <f>'SR + catch data Murdoch_age var'!BR13</f>
        <v>-0.70442367861378297</v>
      </c>
      <c r="AU24" s="122">
        <f t="shared" si="87"/>
        <v>1.285787248776642</v>
      </c>
      <c r="AV24" s="122">
        <f t="shared" si="88"/>
        <v>1.2343326509532984</v>
      </c>
      <c r="AW24" s="80">
        <f t="shared" si="17"/>
        <v>392518.17137988604</v>
      </c>
      <c r="AX24" s="80"/>
      <c r="AY24" s="141" t="e">
        <f t="shared" si="89"/>
        <v>#N/A</v>
      </c>
      <c r="AZ24" s="141"/>
      <c r="BA24" s="84" t="e">
        <f t="shared" si="90"/>
        <v>#N/A</v>
      </c>
      <c r="BB24" s="101">
        <v>1961</v>
      </c>
      <c r="BC24" s="72">
        <v>3.5750695088044487E-2</v>
      </c>
      <c r="BD24" s="72">
        <v>0.8358758109360519</v>
      </c>
      <c r="BE24" s="72">
        <v>0.11956904541241889</v>
      </c>
      <c r="BF24" s="72">
        <v>8.3410565338276187E-3</v>
      </c>
      <c r="BG24" s="72">
        <v>4.6339202965708991E-4</v>
      </c>
      <c r="BH24" s="78" t="e">
        <f>-NA()</f>
        <v>#N/A</v>
      </c>
      <c r="BI24" s="78" t="e">
        <f>-NA()</f>
        <v>#N/A</v>
      </c>
      <c r="BJ24" s="78" t="e">
        <f>-NA()</f>
        <v>#N/A</v>
      </c>
      <c r="BK24" s="78" t="e">
        <f>-NA()</f>
        <v>#N/A</v>
      </c>
      <c r="BL24" s="78" t="e">
        <f>-NA()</f>
        <v>#N/A</v>
      </c>
      <c r="BM24" s="56" t="e">
        <f>-NA()</f>
        <v>#N/A</v>
      </c>
      <c r="BN24" s="78" t="e">
        <f>NA()</f>
        <v>#N/A</v>
      </c>
      <c r="BO24" s="78" t="e">
        <f t="shared" si="91"/>
        <v>#N/A</v>
      </c>
      <c r="BP24" s="78" t="e">
        <v>#N/A</v>
      </c>
      <c r="BQ24" s="78" t="e">
        <f t="shared" si="18"/>
        <v>#N/A</v>
      </c>
      <c r="BR24" s="199" t="e">
        <f>-NA()</f>
        <v>#N/A</v>
      </c>
      <c r="BS24" s="78" t="e">
        <f t="shared" si="19"/>
        <v>#N/A</v>
      </c>
      <c r="BT24" s="78" t="e">
        <f t="shared" si="20"/>
        <v>#N/A</v>
      </c>
      <c r="BU24" s="78" t="e">
        <f t="shared" si="21"/>
        <v>#N/A</v>
      </c>
      <c r="BV24" s="78" t="e">
        <f t="shared" si="92"/>
        <v>#N/A</v>
      </c>
      <c r="BW24" s="78" t="e">
        <f t="shared" si="22"/>
        <v>#N/A</v>
      </c>
      <c r="BX24" s="78" t="e">
        <f t="shared" si="23"/>
        <v>#N/A</v>
      </c>
      <c r="BY24" s="78" t="e">
        <f t="shared" ref="BY24:CE24" si="166">$BF$10+SUMPRODUCT($BH$10:$BI$10,BW24:BX24)</f>
        <v>#N/A</v>
      </c>
      <c r="BZ24" s="78" t="e">
        <f t="shared" si="166"/>
        <v>#N/A</v>
      </c>
      <c r="CA24" s="78">
        <v>1961</v>
      </c>
      <c r="CB24" s="78" t="e">
        <f t="shared" si="25"/>
        <v>#N/A</v>
      </c>
      <c r="CC24" s="78" t="e">
        <f t="shared" si="26"/>
        <v>#N/A</v>
      </c>
      <c r="CD24" s="78" t="e">
        <f t="shared" si="166"/>
        <v>#N/A</v>
      </c>
      <c r="CE24" s="78" t="e">
        <f t="shared" si="166"/>
        <v>#N/A</v>
      </c>
      <c r="CF24" s="78" t="e">
        <f t="shared" si="27"/>
        <v>#N/A</v>
      </c>
      <c r="CG24" s="78" t="e">
        <f t="shared" si="28"/>
        <v>#N/A</v>
      </c>
      <c r="CH24" s="78" t="e">
        <f t="shared" si="29"/>
        <v>#N/A</v>
      </c>
      <c r="CI24" s="199" t="e">
        <f t="shared" si="30"/>
        <v>#N/A</v>
      </c>
      <c r="CJ24" s="78" t="e">
        <f t="shared" si="31"/>
        <v>#N/A</v>
      </c>
      <c r="CK24" s="78" t="e">
        <f t="shared" si="32"/>
        <v>#N/A</v>
      </c>
      <c r="CL24" s="78" t="e">
        <f t="shared" si="33"/>
        <v>#N/A</v>
      </c>
      <c r="CM24" s="78"/>
      <c r="CN24" s="180" t="e">
        <f t="shared" si="34"/>
        <v>#N/A</v>
      </c>
      <c r="CO24" s="78" t="e">
        <f t="shared" si="35"/>
        <v>#N/A</v>
      </c>
      <c r="CP24" s="78" t="e">
        <f t="shared" si="94"/>
        <v>#N/A</v>
      </c>
      <c r="CQ24" s="96" t="e">
        <f t="shared" si="36"/>
        <v>#N/A</v>
      </c>
      <c r="CR24" s="78" t="e">
        <f t="shared" si="95"/>
        <v>#N/A</v>
      </c>
      <c r="CS24" s="61" t="e">
        <f t="shared" si="96"/>
        <v>#N/A</v>
      </c>
      <c r="CT24" s="61" t="e">
        <f t="shared" si="97"/>
        <v>#N/A</v>
      </c>
      <c r="CU24" s="61" t="e">
        <f>NA()</f>
        <v>#N/A</v>
      </c>
      <c r="CV24" s="104" t="e">
        <f t="shared" si="98"/>
        <v>#N/A</v>
      </c>
      <c r="CW24" s="105">
        <f t="shared" si="99"/>
        <v>-0.10122219620501262</v>
      </c>
      <c r="CX24" s="105">
        <f t="shared" si="100"/>
        <v>-6.0651555523742504E-2</v>
      </c>
      <c r="CY24" s="105">
        <f t="shared" si="101"/>
        <v>-1.0011872797392511</v>
      </c>
      <c r="CZ24" s="123">
        <f t="shared" si="102"/>
        <v>-0.70442367861378297</v>
      </c>
      <c r="DA24" s="81">
        <f t="shared" si="103"/>
        <v>1.285787248776642</v>
      </c>
      <c r="DB24" s="9">
        <f t="shared" si="104"/>
        <v>392518.17137988604</v>
      </c>
      <c r="DD24" s="1" t="e">
        <f t="shared" si="105"/>
        <v>#N/A</v>
      </c>
      <c r="DE24" s="126" t="e">
        <f t="shared" si="106"/>
        <v>#N/A</v>
      </c>
      <c r="DF24" s="61">
        <v>1961</v>
      </c>
      <c r="DG24" s="26">
        <v>7.6142131979695434E-3</v>
      </c>
      <c r="DH24" s="26">
        <v>0.29512169725367693</v>
      </c>
      <c r="DI24" s="26">
        <v>0.6060236886632826</v>
      </c>
      <c r="DJ24" s="26">
        <v>8.8702329819081091E-2</v>
      </c>
      <c r="DK24" s="26">
        <v>2.5380710659898475E-3</v>
      </c>
      <c r="DL24" t="e">
        <f>NA()</f>
        <v>#N/A</v>
      </c>
      <c r="DM24" t="e">
        <f>NA()</f>
        <v>#N/A</v>
      </c>
      <c r="DN24" t="e">
        <f>NA()</f>
        <v>#N/A</v>
      </c>
      <c r="DO24" s="61" t="e">
        <f t="shared" si="107"/>
        <v>#N/A</v>
      </c>
      <c r="DP24" s="61" t="e">
        <f t="shared" si="108"/>
        <v>#N/A</v>
      </c>
      <c r="DQ24" s="61" t="e">
        <f t="shared" si="109"/>
        <v>#N/A</v>
      </c>
      <c r="DR24" s="61" t="e">
        <f>NA()</f>
        <v>#N/A</v>
      </c>
      <c r="DS24" s="61" t="e">
        <f>NA()</f>
        <v>#N/A</v>
      </c>
      <c r="DT24" s="113" t="e">
        <f t="shared" si="39"/>
        <v>#N/A</v>
      </c>
      <c r="DU24" s="76" t="e">
        <f t="shared" si="40"/>
        <v>#N/A</v>
      </c>
      <c r="DV24" s="72" t="e">
        <f t="shared" si="110"/>
        <v>#N/A</v>
      </c>
      <c r="DW24" s="201" t="e">
        <f t="shared" si="111"/>
        <v>#N/A</v>
      </c>
      <c r="DX24" s="72" t="e">
        <f t="shared" si="112"/>
        <v>#N/A</v>
      </c>
      <c r="DY24" s="72" t="e">
        <f t="shared" si="113"/>
        <v>#N/A</v>
      </c>
      <c r="DZ24" s="72" t="e">
        <f t="shared" si="114"/>
        <v>#N/A</v>
      </c>
      <c r="EA24" s="72" t="e">
        <f t="shared" si="115"/>
        <v>#N/A</v>
      </c>
      <c r="EB24" s="72" t="e">
        <f t="shared" si="116"/>
        <v>#N/A</v>
      </c>
      <c r="EC24" s="72" t="e">
        <f t="shared" si="117"/>
        <v>#N/A</v>
      </c>
      <c r="ED24" s="72" t="e">
        <f t="shared" si="118"/>
        <v>#N/A</v>
      </c>
      <c r="EE24" s="72"/>
      <c r="EF24">
        <v>1961</v>
      </c>
      <c r="EG24" s="72" t="e">
        <f t="shared" si="119"/>
        <v>#N/A</v>
      </c>
      <c r="EH24" t="e">
        <f>NA()</f>
        <v>#N/A</v>
      </c>
      <c r="EI24" t="e">
        <f>NA()</f>
        <v>#N/A</v>
      </c>
      <c r="EJ24" t="e">
        <f>NA()</f>
        <v>#N/A</v>
      </c>
      <c r="EK24" t="e">
        <f>NA()</f>
        <v>#N/A</v>
      </c>
      <c r="EL24" t="e">
        <f>NA()</f>
        <v>#N/A</v>
      </c>
      <c r="EM24" t="e">
        <f>NA()</f>
        <v>#N/A</v>
      </c>
      <c r="EN24" s="199" t="e">
        <f>NA()</f>
        <v>#N/A</v>
      </c>
      <c r="EO24" t="e">
        <f>NA()</f>
        <v>#N/A</v>
      </c>
      <c r="EP24" t="e">
        <f>NA()</f>
        <v>#N/A</v>
      </c>
      <c r="EQ24" t="e">
        <f>NA()</f>
        <v>#N/A</v>
      </c>
      <c r="ER24" s="180" t="e">
        <f>NA()</f>
        <v>#N/A</v>
      </c>
      <c r="ES24" t="e">
        <f>NA()</f>
        <v>#N/A</v>
      </c>
      <c r="ET24" t="e">
        <f>NA()</f>
        <v>#N/A</v>
      </c>
      <c r="EU24" t="e">
        <f>NA()</f>
        <v>#N/A</v>
      </c>
      <c r="EV24" t="e">
        <f>NA()</f>
        <v>#N/A</v>
      </c>
      <c r="EW24" s="61" t="e">
        <f t="shared" si="120"/>
        <v>#N/A</v>
      </c>
      <c r="EX24" s="9" t="e">
        <f t="shared" si="46"/>
        <v>#N/A</v>
      </c>
      <c r="EY24" s="9" t="e">
        <f t="shared" si="47"/>
        <v>#N/A</v>
      </c>
      <c r="EZ24" s="9" t="e">
        <f t="shared" si="48"/>
        <v>#N/A</v>
      </c>
      <c r="FA24" s="72" t="e">
        <f t="shared" si="49"/>
        <v>#N/A</v>
      </c>
      <c r="FB24">
        <v>1961</v>
      </c>
      <c r="FC24" s="116">
        <f t="shared" si="121"/>
        <v>188955.17165357689</v>
      </c>
      <c r="FD24" s="116">
        <f t="shared" si="122"/>
        <v>716627.00665595336</v>
      </c>
      <c r="FE24" s="116">
        <f t="shared" si="159"/>
        <v>397744.88723760232</v>
      </c>
      <c r="FF24" s="116">
        <f t="shared" si="124"/>
        <v>622496.75978740782</v>
      </c>
      <c r="FG24" s="5">
        <f t="shared" si="125"/>
        <v>94130.246868545539</v>
      </c>
      <c r="FH24" s="5">
        <f t="shared" si="155"/>
        <v>47252.019567586016</v>
      </c>
      <c r="FI24" s="155">
        <f t="shared" si="126"/>
        <v>0.1313517994637016</v>
      </c>
      <c r="FJ24" s="117">
        <f t="shared" si="127"/>
        <v>13.13517994637016</v>
      </c>
      <c r="FK24" s="61">
        <f t="shared" si="50"/>
        <v>7582.6819306941397</v>
      </c>
      <c r="FL24" s="61">
        <f t="shared" si="142"/>
        <v>94.508382813091487</v>
      </c>
      <c r="FM24" s="92">
        <f t="shared" si="128"/>
        <v>12.413846146903936</v>
      </c>
      <c r="FN24" s="72">
        <f t="shared" si="129"/>
        <v>0.1313517994637016</v>
      </c>
      <c r="FO24" s="179">
        <f t="shared" si="51"/>
        <v>0.41379487156346451</v>
      </c>
      <c r="FP24" s="92">
        <f t="shared" si="160"/>
        <v>8.152427065131981</v>
      </c>
      <c r="FQ24" s="1">
        <f t="shared" si="143"/>
        <v>-2.8692372960437411E-2</v>
      </c>
      <c r="FR24" s="26">
        <f t="shared" si="130"/>
        <v>1.2036057329197507</v>
      </c>
      <c r="FS24">
        <f t="shared" si="52"/>
        <v>1961</v>
      </c>
      <c r="FT24" s="5" t="e">
        <f t="shared" si="53"/>
        <v>#N/A</v>
      </c>
      <c r="FU24" s="213" t="e">
        <f t="shared" si="54"/>
        <v>#N/A</v>
      </c>
      <c r="FV24" s="213" t="e">
        <f t="shared" si="131"/>
        <v>#N/A</v>
      </c>
      <c r="FW24" s="5" t="e">
        <f t="shared" si="132"/>
        <v>#N/A</v>
      </c>
      <c r="FX24" t="e">
        <f t="shared" si="133"/>
        <v>#N/A</v>
      </c>
      <c r="FY24" t="e">
        <f t="shared" si="55"/>
        <v>#N/A</v>
      </c>
      <c r="FZ24" t="e">
        <f t="shared" si="134"/>
        <v>#N/A</v>
      </c>
      <c r="GA24" t="e">
        <f t="shared" si="56"/>
        <v>#N/A</v>
      </c>
      <c r="GB24" s="61" t="e">
        <f t="shared" si="135"/>
        <v>#N/A</v>
      </c>
      <c r="GC24" s="61" t="e">
        <f t="shared" si="57"/>
        <v>#N/A</v>
      </c>
      <c r="GD24" s="61" t="e">
        <f>NA()</f>
        <v>#N/A</v>
      </c>
      <c r="GE24" s="61" t="e">
        <f t="shared" si="136"/>
        <v>#N/A</v>
      </c>
      <c r="GF24" s="61" t="e">
        <f t="shared" si="137"/>
        <v>#N/A</v>
      </c>
      <c r="GG24" s="61" t="e">
        <f>NA()</f>
        <v>#N/A</v>
      </c>
      <c r="GH24" s="6" t="e">
        <f t="shared" si="138"/>
        <v>#N/A</v>
      </c>
      <c r="GI24" t="e">
        <f t="shared" si="58"/>
        <v>#N/A</v>
      </c>
      <c r="GJ24" s="26" t="e">
        <f t="shared" si="139"/>
        <v>#N/A</v>
      </c>
      <c r="GK24" t="e">
        <f t="shared" si="59"/>
        <v>#N/A</v>
      </c>
      <c r="GL24" s="232">
        <f t="shared" si="140"/>
        <v>1.2036057329197507</v>
      </c>
      <c r="GN24">
        <v>30</v>
      </c>
      <c r="GO24">
        <v>27</v>
      </c>
      <c r="GP24" s="46">
        <v>3</v>
      </c>
      <c r="GS24" s="167">
        <v>56</v>
      </c>
      <c r="GT24" s="46"/>
      <c r="GU24" s="167">
        <v>52</v>
      </c>
      <c r="GV24" s="46">
        <v>2</v>
      </c>
      <c r="GW24" s="6">
        <f>SUM($GV$10:GV24)/$GV$28</f>
        <v>0.96969696969696972</v>
      </c>
      <c r="GY24">
        <v>1961</v>
      </c>
      <c r="GZ24" s="112">
        <f t="shared" si="60"/>
        <v>1.285787248776642</v>
      </c>
      <c r="HA24" s="26" t="e">
        <f t="shared" si="61"/>
        <v>#N/A</v>
      </c>
      <c r="HB24" s="26" t="e">
        <f t="shared" si="62"/>
        <v>#N/A</v>
      </c>
    </row>
    <row r="25" spans="1:210" x14ac:dyDescent="0.35">
      <c r="A25">
        <v>1962</v>
      </c>
      <c r="D25" s="80">
        <f>'SR + catch data Murdoch_age var'!C14</f>
        <v>130357</v>
      </c>
      <c r="E25" s="80">
        <f>'SR + catch data Murdoch_age var'!E14</f>
        <v>381286.83850328019</v>
      </c>
      <c r="F25" s="231">
        <f t="shared" si="63"/>
        <v>1.0732751083257228</v>
      </c>
      <c r="G25" s="80">
        <f>'SR + catch data Murdoch_age var'!D14</f>
        <v>249239</v>
      </c>
      <c r="H25" s="80">
        <f>'Orig data'!Q16</f>
        <v>249239</v>
      </c>
      <c r="I25" s="80">
        <f t="shared" si="64"/>
        <v>118882</v>
      </c>
      <c r="J25" s="150">
        <f t="shared" si="65"/>
        <v>0.47697992689747593</v>
      </c>
      <c r="K25" s="83">
        <f>'SR + catch data Murdoch_age var'!CM14</f>
        <v>1.1219670489636093</v>
      </c>
      <c r="L25" s="83">
        <f>'SR + catch data Murdoch_age var'!CN14</f>
        <v>1.1455631551056922</v>
      </c>
      <c r="M25" s="84">
        <f>'SR + catch data Murdoch_age var'!CO14</f>
        <v>375290.11420925206</v>
      </c>
      <c r="N25" s="81">
        <f t="shared" si="66"/>
        <v>1.5852584077833243E-2</v>
      </c>
      <c r="O25" s="82">
        <f t="shared" si="67"/>
        <v>1962</v>
      </c>
      <c r="P25" s="81">
        <f t="shared" si="68"/>
        <v>0.10741516534518507</v>
      </c>
      <c r="Q25" s="81">
        <f t="shared" si="12"/>
        <v>0.75930233821489568</v>
      </c>
      <c r="R25" s="81">
        <f t="shared" si="12"/>
        <v>0.13183604264117066</v>
      </c>
      <c r="S25" s="85">
        <f t="shared" si="12"/>
        <v>1.4464537987485602E-3</v>
      </c>
      <c r="T25" s="80">
        <f t="shared" si="144"/>
        <v>26772.048395468581</v>
      </c>
      <c r="U25" s="80">
        <f t="shared" si="145"/>
        <v>189247.75547434238</v>
      </c>
      <c r="V25" s="80">
        <f t="shared" si="146"/>
        <v>32858.683431842735</v>
      </c>
      <c r="W25" s="80">
        <f t="shared" si="147"/>
        <v>360.51269834629238</v>
      </c>
      <c r="X25" s="86">
        <f t="shared" si="73"/>
        <v>1962</v>
      </c>
      <c r="Y25" s="79">
        <f t="shared" si="149"/>
        <v>35885.023934979101</v>
      </c>
      <c r="Z25" s="79">
        <f t="shared" si="152"/>
        <v>198815.24419043606</v>
      </c>
      <c r="AA25" s="79">
        <f t="shared" si="156"/>
        <v>35320.378902327546</v>
      </c>
      <c r="AB25" s="79">
        <f t="shared" si="161"/>
        <v>579.25277899341165</v>
      </c>
      <c r="AC25" s="80">
        <f t="shared" si="78"/>
        <v>270599.8998067361</v>
      </c>
      <c r="AD25" s="84">
        <f t="shared" si="79"/>
        <v>-21360.899806736095</v>
      </c>
      <c r="AE25" s="80">
        <f t="shared" si="80"/>
        <v>118882</v>
      </c>
      <c r="AF25" s="72">
        <f t="shared" si="81"/>
        <v>0.43932758321383769</v>
      </c>
      <c r="AG25" s="26">
        <f t="shared" si="82"/>
        <v>-3.7652343683638234E-2</v>
      </c>
      <c r="AH25" s="61">
        <f t="shared" si="14"/>
        <v>1962</v>
      </c>
      <c r="AI25" s="26">
        <f t="shared" si="15"/>
        <v>0.43932758321383769</v>
      </c>
      <c r="AJ25" s="75">
        <f t="shared" si="150"/>
        <v>22824.32099094244</v>
      </c>
      <c r="AK25" s="75">
        <f t="shared" si="153"/>
        <v>50941.606464611366</v>
      </c>
      <c r="AL25" s="75">
        <f t="shared" si="157"/>
        <v>47375.779606549062</v>
      </c>
      <c r="AM25" s="75">
        <f t="shared" si="162"/>
        <v>1278.686152695909</v>
      </c>
      <c r="AN25" s="79">
        <f t="shared" si="84"/>
        <v>122420.39321479879</v>
      </c>
      <c r="AO25" s="80">
        <f t="shared" si="85"/>
        <v>53782.655487145246</v>
      </c>
      <c r="AP25" s="80">
        <f t="shared" si="86"/>
        <v>68637.737727653555</v>
      </c>
      <c r="AQ25" s="81">
        <v>-0.17622041618659259</v>
      </c>
      <c r="AR25" s="81">
        <v>-0.45600984338221306</v>
      </c>
      <c r="AS25" s="81">
        <f>'SR + catch data Murdoch_age var'!N14</f>
        <v>0.13555087710404992</v>
      </c>
      <c r="AT25" s="121">
        <f>'SR + catch data Murdoch_age var'!BR14</f>
        <v>-0.72297349904054808</v>
      </c>
      <c r="AU25" s="122">
        <f t="shared" si="87"/>
        <v>1.1219670489636091</v>
      </c>
      <c r="AV25" s="122">
        <f t="shared" si="88"/>
        <v>1.0574225242478894</v>
      </c>
      <c r="AW25" s="80">
        <f t="shared" si="17"/>
        <v>206991.36377920167</v>
      </c>
      <c r="AX25" s="80"/>
      <c r="AY25" s="141" t="e">
        <f t="shared" si="89"/>
        <v>#N/A</v>
      </c>
      <c r="AZ25" s="141"/>
      <c r="BA25" s="84" t="e">
        <f t="shared" si="90"/>
        <v>#N/A</v>
      </c>
      <c r="BB25" s="101">
        <v>1962</v>
      </c>
      <c r="BC25" s="72">
        <v>3.5750695088044487E-2</v>
      </c>
      <c r="BD25" s="72">
        <v>0.8358758109360519</v>
      </c>
      <c r="BE25" s="72">
        <v>0.11956904541241889</v>
      </c>
      <c r="BF25" s="72">
        <v>8.3410565338276187E-3</v>
      </c>
      <c r="BG25" s="72">
        <v>4.6339202965708991E-4</v>
      </c>
      <c r="BH25" s="78" t="e">
        <f>-NA()</f>
        <v>#N/A</v>
      </c>
      <c r="BI25" s="78" t="e">
        <f>-NA()</f>
        <v>#N/A</v>
      </c>
      <c r="BJ25" s="78" t="e">
        <f>-NA()</f>
        <v>#N/A</v>
      </c>
      <c r="BK25" s="78" t="e">
        <f>-NA()</f>
        <v>#N/A</v>
      </c>
      <c r="BL25" s="78" t="e">
        <f>-NA()</f>
        <v>#N/A</v>
      </c>
      <c r="BM25" s="56" t="e">
        <f>-NA()</f>
        <v>#N/A</v>
      </c>
      <c r="BN25" s="78" t="e">
        <f>NA()</f>
        <v>#N/A</v>
      </c>
      <c r="BO25" s="78" t="e">
        <f t="shared" si="91"/>
        <v>#N/A</v>
      </c>
      <c r="BP25" s="78" t="e">
        <v>#N/A</v>
      </c>
      <c r="BQ25" s="78" t="e">
        <f t="shared" si="18"/>
        <v>#N/A</v>
      </c>
      <c r="BR25" s="199" t="e">
        <f>-NA()</f>
        <v>#N/A</v>
      </c>
      <c r="BS25" s="78" t="e">
        <f t="shared" si="19"/>
        <v>#N/A</v>
      </c>
      <c r="BT25" s="78" t="e">
        <f t="shared" si="20"/>
        <v>#N/A</v>
      </c>
      <c r="BU25" s="78" t="e">
        <f t="shared" si="21"/>
        <v>#N/A</v>
      </c>
      <c r="BV25" s="78" t="e">
        <f t="shared" si="92"/>
        <v>#N/A</v>
      </c>
      <c r="BW25" s="78" t="e">
        <f t="shared" si="22"/>
        <v>#N/A</v>
      </c>
      <c r="BX25" s="78" t="e">
        <f t="shared" si="23"/>
        <v>#N/A</v>
      </c>
      <c r="BY25" s="78" t="e">
        <f t="shared" ref="BY25:CE25" si="167">$BF$10+SUMPRODUCT($BH$10:$BI$10,BW25:BX25)</f>
        <v>#N/A</v>
      </c>
      <c r="BZ25" s="78" t="e">
        <f t="shared" si="167"/>
        <v>#N/A</v>
      </c>
      <c r="CA25" s="78">
        <v>1962</v>
      </c>
      <c r="CB25" s="78" t="e">
        <f t="shared" si="25"/>
        <v>#N/A</v>
      </c>
      <c r="CC25" s="78" t="e">
        <f t="shared" si="26"/>
        <v>#N/A</v>
      </c>
      <c r="CD25" s="78" t="e">
        <f t="shared" si="167"/>
        <v>#N/A</v>
      </c>
      <c r="CE25" s="78" t="e">
        <f t="shared" si="167"/>
        <v>#N/A</v>
      </c>
      <c r="CF25" s="78" t="e">
        <f t="shared" si="27"/>
        <v>#N/A</v>
      </c>
      <c r="CG25" s="78" t="e">
        <f t="shared" si="28"/>
        <v>#N/A</v>
      </c>
      <c r="CH25" s="78" t="e">
        <f t="shared" si="29"/>
        <v>#N/A</v>
      </c>
      <c r="CI25" s="199" t="e">
        <f t="shared" si="30"/>
        <v>#N/A</v>
      </c>
      <c r="CJ25" s="78" t="e">
        <f t="shared" si="31"/>
        <v>#N/A</v>
      </c>
      <c r="CK25" s="78" t="e">
        <f t="shared" si="32"/>
        <v>#N/A</v>
      </c>
      <c r="CL25" s="78" t="e">
        <f t="shared" si="33"/>
        <v>#N/A</v>
      </c>
      <c r="CM25" s="78"/>
      <c r="CN25" s="180" t="e">
        <f t="shared" si="34"/>
        <v>#N/A</v>
      </c>
      <c r="CO25" s="78" t="e">
        <f t="shared" si="35"/>
        <v>#N/A</v>
      </c>
      <c r="CP25" s="78" t="e">
        <f t="shared" si="94"/>
        <v>#N/A</v>
      </c>
      <c r="CQ25" s="96" t="e">
        <f t="shared" si="36"/>
        <v>#N/A</v>
      </c>
      <c r="CR25" s="78" t="e">
        <f t="shared" si="95"/>
        <v>#N/A</v>
      </c>
      <c r="CS25" s="61" t="e">
        <f t="shared" si="96"/>
        <v>#N/A</v>
      </c>
      <c r="CT25" s="61" t="e">
        <f t="shared" si="97"/>
        <v>#N/A</v>
      </c>
      <c r="CU25" s="61" t="e">
        <f>NA()</f>
        <v>#N/A</v>
      </c>
      <c r="CV25" s="104" t="e">
        <f t="shared" si="98"/>
        <v>#N/A</v>
      </c>
      <c r="CW25" s="105">
        <f t="shared" si="99"/>
        <v>-0.17622041618659259</v>
      </c>
      <c r="CX25" s="105">
        <f t="shared" si="100"/>
        <v>-0.45600984338221306</v>
      </c>
      <c r="CY25" s="105">
        <f t="shared" si="101"/>
        <v>0.13555087710404992</v>
      </c>
      <c r="CZ25" s="123">
        <f t="shared" si="102"/>
        <v>-0.72297349904054808</v>
      </c>
      <c r="DA25" s="81">
        <f t="shared" si="103"/>
        <v>1.1219670489636091</v>
      </c>
      <c r="DB25" s="9">
        <f t="shared" si="104"/>
        <v>206991.36377920167</v>
      </c>
      <c r="DD25" s="1" t="e">
        <f t="shared" si="105"/>
        <v>#N/A</v>
      </c>
      <c r="DE25" s="126" t="e">
        <f t="shared" si="106"/>
        <v>#N/A</v>
      </c>
      <c r="DF25" s="61">
        <v>1962</v>
      </c>
      <c r="DG25" s="26">
        <v>7.6142131979695434E-3</v>
      </c>
      <c r="DH25" s="26">
        <v>0.29512169725367693</v>
      </c>
      <c r="DI25" s="26">
        <v>0.6060236886632826</v>
      </c>
      <c r="DJ25" s="26">
        <v>8.8702329819081091E-2</v>
      </c>
      <c r="DK25" s="26">
        <v>2.5380710659898475E-3</v>
      </c>
      <c r="DL25" t="e">
        <f>NA()</f>
        <v>#N/A</v>
      </c>
      <c r="DM25" t="e">
        <f>NA()</f>
        <v>#N/A</v>
      </c>
      <c r="DN25" t="e">
        <f>NA()</f>
        <v>#N/A</v>
      </c>
      <c r="DO25" s="61" t="e">
        <f t="shared" si="107"/>
        <v>#N/A</v>
      </c>
      <c r="DP25" s="61" t="e">
        <f t="shared" si="108"/>
        <v>#N/A</v>
      </c>
      <c r="DQ25" s="61" t="e">
        <f t="shared" si="109"/>
        <v>#N/A</v>
      </c>
      <c r="DR25" s="61" t="e">
        <f>NA()</f>
        <v>#N/A</v>
      </c>
      <c r="DS25" s="61" t="e">
        <f>NA()</f>
        <v>#N/A</v>
      </c>
      <c r="DT25" s="113" t="e">
        <f t="shared" si="39"/>
        <v>#N/A</v>
      </c>
      <c r="DU25" s="76" t="e">
        <f t="shared" si="40"/>
        <v>#N/A</v>
      </c>
      <c r="DV25" s="72" t="e">
        <f t="shared" si="110"/>
        <v>#N/A</v>
      </c>
      <c r="DW25" s="201" t="e">
        <f t="shared" si="111"/>
        <v>#N/A</v>
      </c>
      <c r="DX25" s="72" t="e">
        <f t="shared" si="112"/>
        <v>#N/A</v>
      </c>
      <c r="DY25" s="72" t="e">
        <f t="shared" si="113"/>
        <v>#N/A</v>
      </c>
      <c r="DZ25" s="72" t="e">
        <f t="shared" si="114"/>
        <v>#N/A</v>
      </c>
      <c r="EA25" s="72" t="e">
        <f t="shared" si="115"/>
        <v>#N/A</v>
      </c>
      <c r="EB25" s="72" t="e">
        <f t="shared" si="116"/>
        <v>#N/A</v>
      </c>
      <c r="EC25" s="72" t="e">
        <f t="shared" si="117"/>
        <v>#N/A</v>
      </c>
      <c r="ED25" s="72" t="e">
        <f t="shared" si="118"/>
        <v>#N/A</v>
      </c>
      <c r="EE25" s="72"/>
      <c r="EF25">
        <v>1962</v>
      </c>
      <c r="EG25" s="72" t="e">
        <f t="shared" si="119"/>
        <v>#N/A</v>
      </c>
      <c r="EH25" t="e">
        <f>NA()</f>
        <v>#N/A</v>
      </c>
      <c r="EI25" t="e">
        <f>NA()</f>
        <v>#N/A</v>
      </c>
      <c r="EJ25" t="e">
        <f>NA()</f>
        <v>#N/A</v>
      </c>
      <c r="EK25" t="e">
        <f>NA()</f>
        <v>#N/A</v>
      </c>
      <c r="EL25" t="e">
        <f>NA()</f>
        <v>#N/A</v>
      </c>
      <c r="EM25" t="e">
        <f>NA()</f>
        <v>#N/A</v>
      </c>
      <c r="EN25" s="199" t="e">
        <f>NA()</f>
        <v>#N/A</v>
      </c>
      <c r="EO25" t="e">
        <f>NA()</f>
        <v>#N/A</v>
      </c>
      <c r="EP25" t="e">
        <f>NA()</f>
        <v>#N/A</v>
      </c>
      <c r="EQ25" t="e">
        <f>NA()</f>
        <v>#N/A</v>
      </c>
      <c r="ER25" s="180" t="e">
        <f>NA()</f>
        <v>#N/A</v>
      </c>
      <c r="ES25" t="e">
        <f>NA()</f>
        <v>#N/A</v>
      </c>
      <c r="ET25" t="e">
        <f>NA()</f>
        <v>#N/A</v>
      </c>
      <c r="EU25" t="e">
        <f>NA()</f>
        <v>#N/A</v>
      </c>
      <c r="EV25" t="e">
        <f>NA()</f>
        <v>#N/A</v>
      </c>
      <c r="EW25" s="61" t="e">
        <f t="shared" si="120"/>
        <v>#N/A</v>
      </c>
      <c r="EX25" s="9" t="e">
        <f t="shared" si="46"/>
        <v>#N/A</v>
      </c>
      <c r="EY25" s="9" t="e">
        <f t="shared" si="47"/>
        <v>#N/A</v>
      </c>
      <c r="EZ25" s="9" t="e">
        <f t="shared" si="48"/>
        <v>#N/A</v>
      </c>
      <c r="FA25" s="72" t="e">
        <f t="shared" si="49"/>
        <v>#N/A</v>
      </c>
      <c r="FB25">
        <v>1962</v>
      </c>
      <c r="FC25" s="116">
        <f t="shared" si="121"/>
        <v>68637.737727653555</v>
      </c>
      <c r="FD25" s="116">
        <f t="shared" si="122"/>
        <v>233570.00216889649</v>
      </c>
      <c r="FE25" s="116">
        <f t="shared" si="159"/>
        <v>249239</v>
      </c>
      <c r="FF25" s="116">
        <f t="shared" si="124"/>
        <v>203735.88781076472</v>
      </c>
      <c r="FG25" s="5">
        <f t="shared" si="125"/>
        <v>29834.114358131774</v>
      </c>
      <c r="FH25" s="5">
        <f t="shared" si="155"/>
        <v>10495.592619086092</v>
      </c>
      <c r="FI25" s="155">
        <f t="shared" si="126"/>
        <v>0.12773093325810936</v>
      </c>
      <c r="FJ25" s="117">
        <f t="shared" si="127"/>
        <v>12.773093325810937</v>
      </c>
      <c r="FK25" s="61">
        <f t="shared" si="50"/>
        <v>7358.6899306941395</v>
      </c>
      <c r="FL25" s="61">
        <f t="shared" si="142"/>
        <v>31.740704441784249</v>
      </c>
      <c r="FM25" s="92">
        <f t="shared" si="128"/>
        <v>4.0542698006189184</v>
      </c>
      <c r="FN25" s="72">
        <f t="shared" si="129"/>
        <v>0.12773093325810936</v>
      </c>
      <c r="FO25" s="179">
        <f t="shared" si="51"/>
        <v>0.13514232668729728</v>
      </c>
      <c r="FP25" s="92">
        <f t="shared" si="160"/>
        <v>8.0098115175471332</v>
      </c>
      <c r="FQ25" s="1">
        <f t="shared" si="143"/>
        <v>-2.95399440524199E-2</v>
      </c>
      <c r="FR25" s="26">
        <f t="shared" si="130"/>
        <v>1.1680512869081294</v>
      </c>
      <c r="FS25">
        <f t="shared" si="52"/>
        <v>1962</v>
      </c>
      <c r="FT25" s="5" t="e">
        <f t="shared" si="53"/>
        <v>#N/A</v>
      </c>
      <c r="FU25" s="213" t="e">
        <f t="shared" si="54"/>
        <v>#N/A</v>
      </c>
      <c r="FV25" s="213" t="e">
        <f t="shared" si="131"/>
        <v>#N/A</v>
      </c>
      <c r="FW25" s="5" t="e">
        <f t="shared" si="132"/>
        <v>#N/A</v>
      </c>
      <c r="FX25" t="e">
        <f t="shared" si="133"/>
        <v>#N/A</v>
      </c>
      <c r="FY25" t="e">
        <f t="shared" si="55"/>
        <v>#N/A</v>
      </c>
      <c r="FZ25" t="e">
        <f t="shared" si="134"/>
        <v>#N/A</v>
      </c>
      <c r="GA25" t="e">
        <f t="shared" si="56"/>
        <v>#N/A</v>
      </c>
      <c r="GB25" s="61" t="e">
        <f t="shared" si="135"/>
        <v>#N/A</v>
      </c>
      <c r="GC25" s="61" t="e">
        <f t="shared" si="57"/>
        <v>#N/A</v>
      </c>
      <c r="GD25" s="61" t="e">
        <f>NA()</f>
        <v>#N/A</v>
      </c>
      <c r="GE25" s="61" t="e">
        <f t="shared" si="136"/>
        <v>#N/A</v>
      </c>
      <c r="GF25" s="61" t="e">
        <f t="shared" si="137"/>
        <v>#N/A</v>
      </c>
      <c r="GG25" s="61" t="e">
        <f>NA()</f>
        <v>#N/A</v>
      </c>
      <c r="GH25" s="6" t="e">
        <f t="shared" si="138"/>
        <v>#N/A</v>
      </c>
      <c r="GI25" t="e">
        <f t="shared" si="58"/>
        <v>#N/A</v>
      </c>
      <c r="GJ25" s="26" t="e">
        <f t="shared" si="139"/>
        <v>#N/A</v>
      </c>
      <c r="GK25" t="e">
        <f t="shared" si="59"/>
        <v>#N/A</v>
      </c>
      <c r="GL25" s="232">
        <f t="shared" si="140"/>
        <v>1.1680512869081294</v>
      </c>
      <c r="GN25">
        <v>33</v>
      </c>
      <c r="GO25">
        <v>30</v>
      </c>
      <c r="GP25" s="46">
        <v>6</v>
      </c>
      <c r="GS25" s="167">
        <v>60</v>
      </c>
      <c r="GT25" s="46"/>
      <c r="GU25" s="167">
        <v>56</v>
      </c>
      <c r="GV25" s="46">
        <v>1</v>
      </c>
      <c r="GW25" s="6">
        <f>SUM($GV$10:GV25)/$GV$28</f>
        <v>0.98484848484848486</v>
      </c>
      <c r="GY25">
        <v>1962</v>
      </c>
      <c r="GZ25" s="112">
        <f t="shared" si="60"/>
        <v>1.1219670489636091</v>
      </c>
      <c r="HA25" s="26" t="e">
        <f t="shared" si="61"/>
        <v>#N/A</v>
      </c>
      <c r="HB25" s="26" t="e">
        <f t="shared" si="62"/>
        <v>#N/A</v>
      </c>
    </row>
    <row r="26" spans="1:210" x14ac:dyDescent="0.35">
      <c r="A26">
        <v>1963</v>
      </c>
      <c r="D26" s="80">
        <f>'SR + catch data Murdoch_age var'!C15</f>
        <v>192245</v>
      </c>
      <c r="E26" s="80">
        <f>'SR + catch data Murdoch_age var'!E15</f>
        <v>443223.01796618348</v>
      </c>
      <c r="F26" s="231">
        <f t="shared" si="63"/>
        <v>0.83530246968352773</v>
      </c>
      <c r="G26" s="80">
        <f>'SR + catch data Murdoch_age var'!D15</f>
        <v>339884</v>
      </c>
      <c r="H26" s="80">
        <f>'Orig data'!Q17</f>
        <v>339884</v>
      </c>
      <c r="I26" s="80">
        <f t="shared" si="64"/>
        <v>147639</v>
      </c>
      <c r="J26" s="150">
        <f t="shared" si="65"/>
        <v>0.43438055336526582</v>
      </c>
      <c r="K26" s="83">
        <f>'SR + catch data Murdoch_age var'!CM15</f>
        <v>1.2293016980248599</v>
      </c>
      <c r="L26" s="83">
        <f>'SR + catch data Murdoch_age var'!CN15</f>
        <v>1.1532512588382569</v>
      </c>
      <c r="M26" s="84">
        <f>'SR + catch data Murdoch_age var'!CO15</f>
        <v>597577.96356843982</v>
      </c>
      <c r="N26" s="81">
        <f t="shared" si="66"/>
        <v>-0.29881168832450516</v>
      </c>
      <c r="O26" s="82">
        <f t="shared" si="67"/>
        <v>1963</v>
      </c>
      <c r="P26" s="81">
        <f t="shared" si="68"/>
        <v>0.10741516534518507</v>
      </c>
      <c r="Q26" s="81">
        <f t="shared" si="12"/>
        <v>0.75930233821489568</v>
      </c>
      <c r="R26" s="81">
        <f t="shared" si="12"/>
        <v>0.13183604264117066</v>
      </c>
      <c r="S26" s="85">
        <f t="shared" si="12"/>
        <v>1.4464537987485602E-3</v>
      </c>
      <c r="T26" s="80">
        <f t="shared" si="144"/>
        <v>36508.696058182883</v>
      </c>
      <c r="U26" s="80">
        <f t="shared" si="145"/>
        <v>258074.71592183161</v>
      </c>
      <c r="V26" s="80">
        <f t="shared" si="146"/>
        <v>44808.961517051648</v>
      </c>
      <c r="W26" s="80">
        <f t="shared" si="147"/>
        <v>491.62650293385565</v>
      </c>
      <c r="X26" s="86">
        <f t="shared" si="73"/>
        <v>1963</v>
      </c>
      <c r="Y26" s="79">
        <f t="shared" si="149"/>
        <v>36705.217634761204</v>
      </c>
      <c r="Z26" s="79">
        <f t="shared" si="152"/>
        <v>253666.06747906952</v>
      </c>
      <c r="AA26" s="79">
        <f t="shared" si="156"/>
        <v>34519.866055498591</v>
      </c>
      <c r="AB26" s="79">
        <f t="shared" si="161"/>
        <v>387.52146388043712</v>
      </c>
      <c r="AC26" s="80">
        <f t="shared" si="78"/>
        <v>325278.67263320973</v>
      </c>
      <c r="AD26" s="84">
        <f t="shared" si="79"/>
        <v>14605.327366790269</v>
      </c>
      <c r="AE26" s="80">
        <f t="shared" si="80"/>
        <v>147639</v>
      </c>
      <c r="AF26" s="72">
        <f t="shared" si="81"/>
        <v>0.4538846608196796</v>
      </c>
      <c r="AG26" s="26">
        <f t="shared" si="82"/>
        <v>1.9504107454413777E-2</v>
      </c>
      <c r="AH26" s="61">
        <f t="shared" si="14"/>
        <v>1963</v>
      </c>
      <c r="AI26" s="26">
        <f t="shared" si="15"/>
        <v>0.4538846608196796</v>
      </c>
      <c r="AJ26" s="75">
        <f t="shared" si="150"/>
        <v>76294.500812415412</v>
      </c>
      <c r="AK26" s="75">
        <f t="shared" si="153"/>
        <v>161341.83884460939</v>
      </c>
      <c r="AL26" s="75">
        <f t="shared" si="157"/>
        <v>8844.8822874262132</v>
      </c>
      <c r="AM26" s="75">
        <f t="shared" si="162"/>
        <v>519.78863296953534</v>
      </c>
      <c r="AN26" s="79">
        <f t="shared" si="84"/>
        <v>247001.01057742056</v>
      </c>
      <c r="AO26" s="80">
        <f t="shared" si="85"/>
        <v>112109.96990805063</v>
      </c>
      <c r="AP26" s="80">
        <f t="shared" si="86"/>
        <v>134891.04066936992</v>
      </c>
      <c r="AQ26" s="81">
        <v>-6.0290395923992553E-2</v>
      </c>
      <c r="AR26" s="81">
        <v>0.53238587626396305</v>
      </c>
      <c r="AS26" s="81">
        <f>'SR + catch data Murdoch_age var'!N15</f>
        <v>0.22075428556945287</v>
      </c>
      <c r="AT26" s="121">
        <f>'SR + catch data Murdoch_age var'!BR15</f>
        <v>-0.7415233194673132</v>
      </c>
      <c r="AU26" s="122">
        <f t="shared" si="87"/>
        <v>1.2293016980248597</v>
      </c>
      <c r="AV26" s="122">
        <f t="shared" si="88"/>
        <v>1.1341141580080325</v>
      </c>
      <c r="AW26" s="80">
        <f t="shared" si="17"/>
        <v>319951.00087407127</v>
      </c>
      <c r="AX26" s="80"/>
      <c r="AY26" s="141" t="e">
        <f t="shared" si="89"/>
        <v>#N/A</v>
      </c>
      <c r="AZ26" s="141"/>
      <c r="BA26" s="84" t="e">
        <f t="shared" si="90"/>
        <v>#N/A</v>
      </c>
      <c r="BB26" s="101">
        <v>1963</v>
      </c>
      <c r="BC26" s="72">
        <v>3.5750695088044487E-2</v>
      </c>
      <c r="BD26" s="72">
        <v>0.8358758109360519</v>
      </c>
      <c r="BE26" s="72">
        <v>0.11956904541241889</v>
      </c>
      <c r="BF26" s="72">
        <v>8.3410565338276187E-3</v>
      </c>
      <c r="BG26" s="72">
        <v>4.6339202965708991E-4</v>
      </c>
      <c r="BH26" s="78" t="e">
        <f>-NA()</f>
        <v>#N/A</v>
      </c>
      <c r="BI26" s="78" t="e">
        <f>-NA()</f>
        <v>#N/A</v>
      </c>
      <c r="BJ26" s="78" t="e">
        <f>-NA()</f>
        <v>#N/A</v>
      </c>
      <c r="BK26" s="78" t="e">
        <f>-NA()</f>
        <v>#N/A</v>
      </c>
      <c r="BL26" s="78" t="e">
        <f>-NA()</f>
        <v>#N/A</v>
      </c>
      <c r="BM26" s="56" t="e">
        <f>-NA()</f>
        <v>#N/A</v>
      </c>
      <c r="BN26" s="78" t="e">
        <f>NA()</f>
        <v>#N/A</v>
      </c>
      <c r="BO26" s="78" t="e">
        <f t="shared" si="91"/>
        <v>#N/A</v>
      </c>
      <c r="BP26" s="78" t="e">
        <v>#N/A</v>
      </c>
      <c r="BQ26" s="78" t="e">
        <f t="shared" si="18"/>
        <v>#N/A</v>
      </c>
      <c r="BR26" s="199" t="e">
        <f>-NA()</f>
        <v>#N/A</v>
      </c>
      <c r="BS26" s="78" t="e">
        <f t="shared" si="19"/>
        <v>#N/A</v>
      </c>
      <c r="BT26" s="78" t="e">
        <f t="shared" si="20"/>
        <v>#N/A</v>
      </c>
      <c r="BU26" s="78" t="e">
        <f t="shared" si="21"/>
        <v>#N/A</v>
      </c>
      <c r="BV26" s="78" t="e">
        <f t="shared" si="92"/>
        <v>#N/A</v>
      </c>
      <c r="BW26" s="78" t="e">
        <f t="shared" si="22"/>
        <v>#N/A</v>
      </c>
      <c r="BX26" s="78" t="e">
        <f t="shared" si="23"/>
        <v>#N/A</v>
      </c>
      <c r="BY26" s="78" t="e">
        <f t="shared" ref="BY26:CE26" si="168">$BF$10+SUMPRODUCT($BH$10:$BI$10,BW26:BX26)</f>
        <v>#N/A</v>
      </c>
      <c r="BZ26" s="78" t="e">
        <f t="shared" si="168"/>
        <v>#N/A</v>
      </c>
      <c r="CA26" s="78">
        <v>1963</v>
      </c>
      <c r="CB26" s="78" t="e">
        <f t="shared" si="25"/>
        <v>#N/A</v>
      </c>
      <c r="CC26" s="78" t="e">
        <f t="shared" si="26"/>
        <v>#N/A</v>
      </c>
      <c r="CD26" s="78" t="e">
        <f t="shared" si="168"/>
        <v>#N/A</v>
      </c>
      <c r="CE26" s="78" t="e">
        <f t="shared" si="168"/>
        <v>#N/A</v>
      </c>
      <c r="CF26" s="78" t="e">
        <f t="shared" si="27"/>
        <v>#N/A</v>
      </c>
      <c r="CG26" s="78" t="e">
        <f t="shared" si="28"/>
        <v>#N/A</v>
      </c>
      <c r="CH26" s="78" t="e">
        <f t="shared" si="29"/>
        <v>#N/A</v>
      </c>
      <c r="CI26" s="199" t="e">
        <f t="shared" si="30"/>
        <v>#N/A</v>
      </c>
      <c r="CJ26" s="78" t="e">
        <f t="shared" si="31"/>
        <v>#N/A</v>
      </c>
      <c r="CK26" s="78" t="e">
        <f t="shared" si="32"/>
        <v>#N/A</v>
      </c>
      <c r="CL26" s="78" t="e">
        <f t="shared" si="33"/>
        <v>#N/A</v>
      </c>
      <c r="CM26" s="78"/>
      <c r="CN26" s="180" t="e">
        <f t="shared" si="34"/>
        <v>#N/A</v>
      </c>
      <c r="CO26" s="78" t="e">
        <f t="shared" si="35"/>
        <v>#N/A</v>
      </c>
      <c r="CP26" s="78" t="e">
        <f t="shared" si="94"/>
        <v>#N/A</v>
      </c>
      <c r="CQ26" s="96" t="e">
        <f t="shared" si="36"/>
        <v>#N/A</v>
      </c>
      <c r="CR26" s="78" t="e">
        <f t="shared" si="95"/>
        <v>#N/A</v>
      </c>
      <c r="CS26" s="61" t="e">
        <f t="shared" si="96"/>
        <v>#N/A</v>
      </c>
      <c r="CT26" s="61" t="e">
        <f t="shared" si="97"/>
        <v>#N/A</v>
      </c>
      <c r="CU26" s="61" t="e">
        <f>NA()</f>
        <v>#N/A</v>
      </c>
      <c r="CV26" s="104" t="e">
        <f t="shared" si="98"/>
        <v>#N/A</v>
      </c>
      <c r="CW26" s="105">
        <f t="shared" si="99"/>
        <v>-6.0290395923992553E-2</v>
      </c>
      <c r="CX26" s="105">
        <f t="shared" si="100"/>
        <v>0.53238587626396305</v>
      </c>
      <c r="CY26" s="105">
        <f t="shared" si="101"/>
        <v>0.22075428556945287</v>
      </c>
      <c r="CZ26" s="123">
        <f t="shared" si="102"/>
        <v>-0.7415233194673132</v>
      </c>
      <c r="DA26" s="81">
        <f t="shared" si="103"/>
        <v>1.2293016980248597</v>
      </c>
      <c r="DB26" s="9">
        <f t="shared" si="104"/>
        <v>319951.00087407127</v>
      </c>
      <c r="DD26" s="1" t="e">
        <f t="shared" si="105"/>
        <v>#N/A</v>
      </c>
      <c r="DE26" s="126" t="e">
        <f t="shared" si="106"/>
        <v>#N/A</v>
      </c>
      <c r="DF26" s="61">
        <v>1963</v>
      </c>
      <c r="DG26" s="26">
        <v>7.6142131979695434E-3</v>
      </c>
      <c r="DH26" s="26">
        <v>0.29512169725367693</v>
      </c>
      <c r="DI26" s="26">
        <v>0.6060236886632826</v>
      </c>
      <c r="DJ26" s="26">
        <v>8.8702329819081091E-2</v>
      </c>
      <c r="DK26" s="26">
        <v>2.5380710659898475E-3</v>
      </c>
      <c r="DL26" t="e">
        <f>NA()</f>
        <v>#N/A</v>
      </c>
      <c r="DM26" t="e">
        <f>NA()</f>
        <v>#N/A</v>
      </c>
      <c r="DN26" t="e">
        <f>NA()</f>
        <v>#N/A</v>
      </c>
      <c r="DO26" s="61" t="e">
        <f t="shared" si="107"/>
        <v>#N/A</v>
      </c>
      <c r="DP26" s="61" t="e">
        <f t="shared" si="108"/>
        <v>#N/A</v>
      </c>
      <c r="DQ26" s="61" t="e">
        <f t="shared" si="109"/>
        <v>#N/A</v>
      </c>
      <c r="DR26" s="61" t="e">
        <f>NA()</f>
        <v>#N/A</v>
      </c>
      <c r="DS26" s="61" t="e">
        <f>NA()</f>
        <v>#N/A</v>
      </c>
      <c r="DT26" s="113" t="e">
        <f t="shared" si="39"/>
        <v>#N/A</v>
      </c>
      <c r="DU26" s="76" t="e">
        <f t="shared" si="40"/>
        <v>#N/A</v>
      </c>
      <c r="DV26" s="72" t="e">
        <f t="shared" si="110"/>
        <v>#N/A</v>
      </c>
      <c r="DW26" s="201" t="e">
        <f t="shared" si="111"/>
        <v>#N/A</v>
      </c>
      <c r="DX26" s="72" t="e">
        <f t="shared" si="112"/>
        <v>#N/A</v>
      </c>
      <c r="DY26" s="72" t="e">
        <f t="shared" si="113"/>
        <v>#N/A</v>
      </c>
      <c r="DZ26" s="72" t="e">
        <f t="shared" si="114"/>
        <v>#N/A</v>
      </c>
      <c r="EA26" s="72" t="e">
        <f t="shared" si="115"/>
        <v>#N/A</v>
      </c>
      <c r="EB26" s="72" t="e">
        <f t="shared" si="116"/>
        <v>#N/A</v>
      </c>
      <c r="EC26" s="72" t="e">
        <f t="shared" si="117"/>
        <v>#N/A</v>
      </c>
      <c r="ED26" s="72" t="e">
        <f t="shared" si="118"/>
        <v>#N/A</v>
      </c>
      <c r="EE26" s="72"/>
      <c r="EF26">
        <v>1963</v>
      </c>
      <c r="EG26" s="72" t="e">
        <f t="shared" si="119"/>
        <v>#N/A</v>
      </c>
      <c r="EH26" t="e">
        <f>NA()</f>
        <v>#N/A</v>
      </c>
      <c r="EI26" t="e">
        <f>NA()</f>
        <v>#N/A</v>
      </c>
      <c r="EJ26" t="e">
        <f>NA()</f>
        <v>#N/A</v>
      </c>
      <c r="EK26" t="e">
        <f>NA()</f>
        <v>#N/A</v>
      </c>
      <c r="EL26" t="e">
        <f>NA()</f>
        <v>#N/A</v>
      </c>
      <c r="EM26" t="e">
        <f>NA()</f>
        <v>#N/A</v>
      </c>
      <c r="EN26" s="199" t="e">
        <f>NA()</f>
        <v>#N/A</v>
      </c>
      <c r="EO26" t="e">
        <f>NA()</f>
        <v>#N/A</v>
      </c>
      <c r="EP26" t="e">
        <f>NA()</f>
        <v>#N/A</v>
      </c>
      <c r="EQ26" t="e">
        <f>NA()</f>
        <v>#N/A</v>
      </c>
      <c r="ER26" s="180" t="e">
        <f>NA()</f>
        <v>#N/A</v>
      </c>
      <c r="ES26" t="e">
        <f>NA()</f>
        <v>#N/A</v>
      </c>
      <c r="ET26" t="e">
        <f>NA()</f>
        <v>#N/A</v>
      </c>
      <c r="EU26" t="e">
        <f>NA()</f>
        <v>#N/A</v>
      </c>
      <c r="EV26" t="e">
        <f>NA()</f>
        <v>#N/A</v>
      </c>
      <c r="EW26" s="61" t="e">
        <f t="shared" si="120"/>
        <v>#N/A</v>
      </c>
      <c r="EX26" s="9" t="e">
        <f t="shared" si="46"/>
        <v>#N/A</v>
      </c>
      <c r="EY26" s="9" t="e">
        <f t="shared" si="47"/>
        <v>#N/A</v>
      </c>
      <c r="EZ26" s="9" t="e">
        <f t="shared" si="48"/>
        <v>#N/A</v>
      </c>
      <c r="FA26" s="72" t="e">
        <f t="shared" si="49"/>
        <v>#N/A</v>
      </c>
      <c r="FB26">
        <v>1963</v>
      </c>
      <c r="FC26" s="116">
        <f t="shared" si="121"/>
        <v>134891.04066936992</v>
      </c>
      <c r="FD26" s="116">
        <f t="shared" si="122"/>
        <v>492491.48035961424</v>
      </c>
      <c r="FE26" s="116">
        <f t="shared" si="159"/>
        <v>339884</v>
      </c>
      <c r="FF26" s="116">
        <f t="shared" si="124"/>
        <v>431375.76297673082</v>
      </c>
      <c r="FG26" s="5">
        <f t="shared" si="125"/>
        <v>61115.71738288342</v>
      </c>
      <c r="FH26" s="5">
        <f t="shared" si="155"/>
        <v>46618.906378779444</v>
      </c>
      <c r="FI26" s="155">
        <f t="shared" si="126"/>
        <v>0.12409497386281099</v>
      </c>
      <c r="FJ26" s="117">
        <f t="shared" si="127"/>
        <v>12.4094973862811</v>
      </c>
      <c r="FK26" s="61">
        <f t="shared" si="50"/>
        <v>7134.6979306941375</v>
      </c>
      <c r="FL26" s="61">
        <f t="shared" si="142"/>
        <v>69.027656831954985</v>
      </c>
      <c r="FM26" s="92">
        <f t="shared" si="128"/>
        <v>8.5659852703725399</v>
      </c>
      <c r="FN26" s="72">
        <f t="shared" si="129"/>
        <v>0.12409497386281099</v>
      </c>
      <c r="FO26" s="179">
        <f t="shared" si="51"/>
        <v>0.28553284234575133</v>
      </c>
      <c r="FP26" s="92">
        <f t="shared" si="160"/>
        <v>8.5086324984582546</v>
      </c>
      <c r="FQ26" s="1">
        <f t="shared" si="143"/>
        <v>-3.0439113770197004E-2</v>
      </c>
      <c r="FR26" s="26">
        <f t="shared" si="130"/>
        <v>1.1324968408965079</v>
      </c>
      <c r="FS26">
        <f t="shared" si="52"/>
        <v>1963</v>
      </c>
      <c r="FT26" s="5" t="e">
        <f t="shared" si="53"/>
        <v>#N/A</v>
      </c>
      <c r="FU26" s="213" t="e">
        <f t="shared" si="54"/>
        <v>#N/A</v>
      </c>
      <c r="FV26" s="213" t="e">
        <f t="shared" si="131"/>
        <v>#N/A</v>
      </c>
      <c r="FW26" s="5" t="e">
        <f t="shared" si="132"/>
        <v>#N/A</v>
      </c>
      <c r="FX26" t="e">
        <f t="shared" si="133"/>
        <v>#N/A</v>
      </c>
      <c r="FY26" t="e">
        <f t="shared" si="55"/>
        <v>#N/A</v>
      </c>
      <c r="FZ26" t="e">
        <f t="shared" si="134"/>
        <v>#N/A</v>
      </c>
      <c r="GA26" t="e">
        <f t="shared" si="56"/>
        <v>#N/A</v>
      </c>
      <c r="GB26" s="61" t="e">
        <f t="shared" si="135"/>
        <v>#N/A</v>
      </c>
      <c r="GC26" s="61" t="e">
        <f t="shared" si="57"/>
        <v>#N/A</v>
      </c>
      <c r="GD26" s="61" t="e">
        <f>NA()</f>
        <v>#N/A</v>
      </c>
      <c r="GE26" s="61" t="e">
        <f t="shared" si="136"/>
        <v>#N/A</v>
      </c>
      <c r="GF26" s="61" t="e">
        <f t="shared" si="137"/>
        <v>#N/A</v>
      </c>
      <c r="GG26" s="61" t="e">
        <f>NA()</f>
        <v>#N/A</v>
      </c>
      <c r="GH26" s="6" t="e">
        <f t="shared" si="138"/>
        <v>#N/A</v>
      </c>
      <c r="GI26" t="e">
        <f t="shared" si="58"/>
        <v>#N/A</v>
      </c>
      <c r="GJ26" s="26" t="e">
        <f t="shared" si="139"/>
        <v>#N/A</v>
      </c>
      <c r="GK26" t="e">
        <f t="shared" si="59"/>
        <v>#N/A</v>
      </c>
      <c r="GL26" s="232">
        <f t="shared" si="140"/>
        <v>1.1324968408965079</v>
      </c>
      <c r="GN26">
        <v>36</v>
      </c>
      <c r="GO26">
        <v>33</v>
      </c>
      <c r="GP26" s="46">
        <v>9</v>
      </c>
      <c r="GS26" s="167">
        <v>64</v>
      </c>
      <c r="GT26" s="46"/>
      <c r="GU26" s="167">
        <v>60</v>
      </c>
      <c r="GV26" s="46">
        <v>1</v>
      </c>
      <c r="GW26" s="6">
        <f>SUM($GV$10:GV26)/$GV$28</f>
        <v>1</v>
      </c>
      <c r="GY26">
        <v>1963</v>
      </c>
      <c r="GZ26" s="112">
        <f t="shared" si="60"/>
        <v>1.2293016980248597</v>
      </c>
      <c r="HA26" s="26" t="e">
        <f t="shared" si="61"/>
        <v>#N/A</v>
      </c>
      <c r="HB26" s="26" t="e">
        <f t="shared" si="62"/>
        <v>#N/A</v>
      </c>
    </row>
    <row r="27" spans="1:210" ht="15" thickBot="1" x14ac:dyDescent="0.4">
      <c r="A27">
        <v>1964</v>
      </c>
      <c r="D27" s="80">
        <f>'SR + catch data Murdoch_age var'!C16</f>
        <v>246741</v>
      </c>
      <c r="E27" s="80">
        <f>'SR + catch data Murdoch_age var'!E16</f>
        <v>987701.82797867933</v>
      </c>
      <c r="F27" s="231">
        <f t="shared" si="63"/>
        <v>1.3870416551709261</v>
      </c>
      <c r="G27" s="80">
        <f>'SR + catch data Murdoch_age var'!D16</f>
        <v>371556</v>
      </c>
      <c r="H27" s="80">
        <f>'Orig data'!Q18</f>
        <v>371556</v>
      </c>
      <c r="I27" s="80">
        <f t="shared" si="64"/>
        <v>124815</v>
      </c>
      <c r="J27" s="150">
        <f t="shared" si="65"/>
        <v>0.33592513645318606</v>
      </c>
      <c r="K27" s="83">
        <f>'SR + catch data Murdoch_age var'!CM16</f>
        <v>1.1486527888524127</v>
      </c>
      <c r="L27" s="83">
        <f>'SR + catch data Murdoch_age var'!CN16</f>
        <v>1.15641323775975</v>
      </c>
      <c r="M27" s="84">
        <f>'SR + catch data Murdoch_age var'!CO16</f>
        <v>688710.82946739777</v>
      </c>
      <c r="N27" s="81">
        <f t="shared" si="66"/>
        <v>0.36055937172199337</v>
      </c>
      <c r="O27" s="82">
        <f t="shared" si="67"/>
        <v>1964</v>
      </c>
      <c r="P27" s="81">
        <f t="shared" si="68"/>
        <v>0.10741516534518507</v>
      </c>
      <c r="Q27" s="81">
        <f t="shared" si="12"/>
        <v>0.75930233821489568</v>
      </c>
      <c r="R27" s="81">
        <f t="shared" si="12"/>
        <v>0.13183604264117066</v>
      </c>
      <c r="S27" s="85">
        <f t="shared" si="12"/>
        <v>1.4464537987485602E-3</v>
      </c>
      <c r="T27" s="80">
        <f t="shared" si="144"/>
        <v>39910.749174995581</v>
      </c>
      <c r="U27" s="80">
        <f t="shared" si="145"/>
        <v>282123.33957777376</v>
      </c>
      <c r="V27" s="80">
        <f t="shared" si="146"/>
        <v>48984.472659582803</v>
      </c>
      <c r="W27" s="80">
        <f t="shared" si="147"/>
        <v>537.4385876478201</v>
      </c>
      <c r="X27" s="86">
        <f t="shared" si="73"/>
        <v>1964</v>
      </c>
      <c r="Y27" s="79">
        <f t="shared" si="149"/>
        <v>24185.28838346136</v>
      </c>
      <c r="Z27" s="79">
        <f t="shared" si="152"/>
        <v>259463.89865153344</v>
      </c>
      <c r="AA27" s="79">
        <f t="shared" si="156"/>
        <v>44043.497307555932</v>
      </c>
      <c r="AB27" s="79">
        <f t="shared" si="161"/>
        <v>378.73854818420114</v>
      </c>
      <c r="AC27" s="80">
        <f t="shared" si="78"/>
        <v>328071.42289073498</v>
      </c>
      <c r="AD27" s="84">
        <f t="shared" si="79"/>
        <v>43484.577109265025</v>
      </c>
      <c r="AE27" s="80">
        <f t="shared" si="80"/>
        <v>124815</v>
      </c>
      <c r="AF27" s="72">
        <f t="shared" si="81"/>
        <v>0.38045069241391977</v>
      </c>
      <c r="AG27" s="26">
        <f t="shared" si="82"/>
        <v>4.4525555960733709E-2</v>
      </c>
      <c r="AH27" s="61">
        <f t="shared" si="14"/>
        <v>1964</v>
      </c>
      <c r="AI27" s="26">
        <f t="shared" si="15"/>
        <v>0.38045069241391977</v>
      </c>
      <c r="AJ27" s="75">
        <f t="shared" si="150"/>
        <v>42162.404279760151</v>
      </c>
      <c r="AK27" s="75">
        <f t="shared" si="153"/>
        <v>539314.84137869964</v>
      </c>
      <c r="AL27" s="75">
        <f t="shared" si="157"/>
        <v>28013.438751854388</v>
      </c>
      <c r="AM27" s="75">
        <f t="shared" si="162"/>
        <v>97.042609348895866</v>
      </c>
      <c r="AN27" s="79">
        <f t="shared" si="84"/>
        <v>609587.72701966309</v>
      </c>
      <c r="AO27" s="80">
        <f t="shared" si="85"/>
        <v>231918.07283165833</v>
      </c>
      <c r="AP27" s="80">
        <f t="shared" si="86"/>
        <v>377669.65418800479</v>
      </c>
      <c r="AQ27" s="81">
        <v>-0.19486840546877593</v>
      </c>
      <c r="AR27" s="81">
        <v>-0.77723845226722044</v>
      </c>
      <c r="AS27" s="81">
        <f>'SR + catch data Murdoch_age var'!N16</f>
        <v>-0.36527891411941549</v>
      </c>
      <c r="AT27" s="121">
        <f>'SR + catch data Murdoch_age var'!BR16</f>
        <v>-0.7600731398940781</v>
      </c>
      <c r="AU27" s="122">
        <f t="shared" si="87"/>
        <v>1.148652788852413</v>
      </c>
      <c r="AV27" s="122">
        <f t="shared" si="88"/>
        <v>1.0264822834489331</v>
      </c>
      <c r="AW27" s="80">
        <f t="shared" si="17"/>
        <v>1416910.344486027</v>
      </c>
      <c r="AX27" s="80"/>
      <c r="AY27" s="141" t="e">
        <f t="shared" si="89"/>
        <v>#N/A</v>
      </c>
      <c r="AZ27" s="141"/>
      <c r="BA27" s="84" t="e">
        <f t="shared" si="90"/>
        <v>#N/A</v>
      </c>
      <c r="BB27" s="101">
        <v>1964</v>
      </c>
      <c r="BC27" s="72">
        <v>3.5750695088044487E-2</v>
      </c>
      <c r="BD27" s="72">
        <v>0.8358758109360519</v>
      </c>
      <c r="BE27" s="72">
        <v>0.11956904541241889</v>
      </c>
      <c r="BF27" s="72">
        <v>8.3410565338276187E-3</v>
      </c>
      <c r="BG27" s="72">
        <v>4.6339202965708991E-4</v>
      </c>
      <c r="BH27" s="78" t="e">
        <f>-NA()</f>
        <v>#N/A</v>
      </c>
      <c r="BI27" s="78" t="e">
        <f>-NA()</f>
        <v>#N/A</v>
      </c>
      <c r="BJ27" s="78" t="e">
        <f>-NA()</f>
        <v>#N/A</v>
      </c>
      <c r="BK27" s="78" t="e">
        <f>-NA()</f>
        <v>#N/A</v>
      </c>
      <c r="BL27" s="78" t="e">
        <f>-NA()</f>
        <v>#N/A</v>
      </c>
      <c r="BM27" s="56" t="e">
        <f>-NA()</f>
        <v>#N/A</v>
      </c>
      <c r="BN27" s="78" t="e">
        <f>NA()</f>
        <v>#N/A</v>
      </c>
      <c r="BO27" s="78" t="e">
        <f t="shared" si="91"/>
        <v>#N/A</v>
      </c>
      <c r="BP27" s="78" t="e">
        <v>#N/A</v>
      </c>
      <c r="BQ27" s="78" t="e">
        <f t="shared" si="18"/>
        <v>#N/A</v>
      </c>
      <c r="BR27" s="199" t="e">
        <f>-NA()</f>
        <v>#N/A</v>
      </c>
      <c r="BS27" s="78" t="e">
        <f t="shared" si="19"/>
        <v>#N/A</v>
      </c>
      <c r="BT27" s="78" t="e">
        <f t="shared" si="20"/>
        <v>#N/A</v>
      </c>
      <c r="BU27" s="78" t="e">
        <f t="shared" si="21"/>
        <v>#N/A</v>
      </c>
      <c r="BV27" s="78" t="e">
        <f t="shared" si="92"/>
        <v>#N/A</v>
      </c>
      <c r="BW27" s="78" t="e">
        <f t="shared" si="22"/>
        <v>#N/A</v>
      </c>
      <c r="BX27" s="78" t="e">
        <f t="shared" si="23"/>
        <v>#N/A</v>
      </c>
      <c r="BY27" s="78" t="e">
        <f t="shared" ref="BY27:CE27" si="169">$BF$10+SUMPRODUCT($BH$10:$BI$10,BW27:BX27)</f>
        <v>#N/A</v>
      </c>
      <c r="BZ27" s="78" t="e">
        <f t="shared" si="169"/>
        <v>#N/A</v>
      </c>
      <c r="CA27" s="78">
        <v>1964</v>
      </c>
      <c r="CB27" s="78" t="e">
        <f t="shared" si="25"/>
        <v>#N/A</v>
      </c>
      <c r="CC27" s="78" t="e">
        <f t="shared" si="26"/>
        <v>#N/A</v>
      </c>
      <c r="CD27" s="78" t="e">
        <f t="shared" si="169"/>
        <v>#N/A</v>
      </c>
      <c r="CE27" s="78" t="e">
        <f t="shared" si="169"/>
        <v>#N/A</v>
      </c>
      <c r="CF27" s="78" t="e">
        <f t="shared" si="27"/>
        <v>#N/A</v>
      </c>
      <c r="CG27" s="78" t="e">
        <f t="shared" si="28"/>
        <v>#N/A</v>
      </c>
      <c r="CH27" s="78" t="e">
        <f t="shared" si="29"/>
        <v>#N/A</v>
      </c>
      <c r="CI27" s="199" t="e">
        <f t="shared" si="30"/>
        <v>#N/A</v>
      </c>
      <c r="CJ27" s="78" t="e">
        <f t="shared" si="31"/>
        <v>#N/A</v>
      </c>
      <c r="CK27" s="78" t="e">
        <f t="shared" si="32"/>
        <v>#N/A</v>
      </c>
      <c r="CL27" s="78" t="e">
        <f t="shared" si="33"/>
        <v>#N/A</v>
      </c>
      <c r="CM27" s="78"/>
      <c r="CN27" s="180" t="e">
        <f t="shared" si="34"/>
        <v>#N/A</v>
      </c>
      <c r="CO27" s="78" t="e">
        <f t="shared" si="35"/>
        <v>#N/A</v>
      </c>
      <c r="CP27" s="78" t="e">
        <f t="shared" si="94"/>
        <v>#N/A</v>
      </c>
      <c r="CQ27" s="96" t="e">
        <f t="shared" si="36"/>
        <v>#N/A</v>
      </c>
      <c r="CR27" s="78" t="e">
        <f t="shared" si="95"/>
        <v>#N/A</v>
      </c>
      <c r="CS27" s="61" t="e">
        <f t="shared" si="96"/>
        <v>#N/A</v>
      </c>
      <c r="CT27" s="61" t="e">
        <f t="shared" si="97"/>
        <v>#N/A</v>
      </c>
      <c r="CU27" s="61" t="e">
        <f>NA()</f>
        <v>#N/A</v>
      </c>
      <c r="CV27" s="104" t="e">
        <f t="shared" si="98"/>
        <v>#N/A</v>
      </c>
      <c r="CW27" s="105">
        <f t="shared" si="99"/>
        <v>-0.19486840546877593</v>
      </c>
      <c r="CX27" s="105">
        <f t="shared" si="100"/>
        <v>-0.77723845226722044</v>
      </c>
      <c r="CY27" s="105">
        <f t="shared" si="101"/>
        <v>-0.36527891411941549</v>
      </c>
      <c r="CZ27" s="123">
        <f t="shared" si="102"/>
        <v>-0.7600731398940781</v>
      </c>
      <c r="DA27" s="81">
        <f t="shared" si="103"/>
        <v>1.148652788852413</v>
      </c>
      <c r="DB27" s="9">
        <f t="shared" si="104"/>
        <v>1416910.344486027</v>
      </c>
      <c r="DD27" s="1" t="e">
        <f t="shared" si="105"/>
        <v>#N/A</v>
      </c>
      <c r="DE27" s="126" t="e">
        <f t="shared" si="106"/>
        <v>#N/A</v>
      </c>
      <c r="DF27" s="61">
        <v>1964</v>
      </c>
      <c r="DG27" s="26">
        <v>7.6142131979695434E-3</v>
      </c>
      <c r="DH27" s="26">
        <v>0.29512169725367693</v>
      </c>
      <c r="DI27" s="26">
        <v>0.6060236886632826</v>
      </c>
      <c r="DJ27" s="26">
        <v>8.8702329819081091E-2</v>
      </c>
      <c r="DK27" s="26">
        <v>2.5380710659898475E-3</v>
      </c>
      <c r="DL27" t="e">
        <f>NA()</f>
        <v>#N/A</v>
      </c>
      <c r="DM27" t="e">
        <f>NA()</f>
        <v>#N/A</v>
      </c>
      <c r="DN27" t="e">
        <f>NA()</f>
        <v>#N/A</v>
      </c>
      <c r="DO27" s="61" t="e">
        <f t="shared" si="107"/>
        <v>#N/A</v>
      </c>
      <c r="DP27" s="61" t="e">
        <f t="shared" si="108"/>
        <v>#N/A</v>
      </c>
      <c r="DQ27" s="61" t="e">
        <f t="shared" si="109"/>
        <v>#N/A</v>
      </c>
      <c r="DR27" s="61" t="e">
        <f>NA()</f>
        <v>#N/A</v>
      </c>
      <c r="DS27" s="61" t="e">
        <f>NA()</f>
        <v>#N/A</v>
      </c>
      <c r="DT27" s="113" t="e">
        <f t="shared" si="39"/>
        <v>#N/A</v>
      </c>
      <c r="DU27" s="76" t="e">
        <f t="shared" si="40"/>
        <v>#N/A</v>
      </c>
      <c r="DV27" s="72" t="e">
        <f t="shared" si="110"/>
        <v>#N/A</v>
      </c>
      <c r="DW27" s="201" t="e">
        <f t="shared" si="111"/>
        <v>#N/A</v>
      </c>
      <c r="DX27" s="72" t="e">
        <f t="shared" si="112"/>
        <v>#N/A</v>
      </c>
      <c r="DY27" s="72" t="e">
        <f t="shared" si="113"/>
        <v>#N/A</v>
      </c>
      <c r="DZ27" s="72" t="e">
        <f t="shared" si="114"/>
        <v>#N/A</v>
      </c>
      <c r="EA27" s="72" t="e">
        <f t="shared" si="115"/>
        <v>#N/A</v>
      </c>
      <c r="EB27" s="72" t="e">
        <f t="shared" si="116"/>
        <v>#N/A</v>
      </c>
      <c r="EC27" s="72" t="e">
        <f t="shared" si="117"/>
        <v>#N/A</v>
      </c>
      <c r="ED27" s="72" t="e">
        <f t="shared" si="118"/>
        <v>#N/A</v>
      </c>
      <c r="EE27" s="72"/>
      <c r="EF27">
        <v>1964</v>
      </c>
      <c r="EG27" s="72" t="e">
        <f t="shared" si="119"/>
        <v>#N/A</v>
      </c>
      <c r="EH27" t="e">
        <f>NA()</f>
        <v>#N/A</v>
      </c>
      <c r="EI27" t="e">
        <f>NA()</f>
        <v>#N/A</v>
      </c>
      <c r="EJ27" t="e">
        <f>NA()</f>
        <v>#N/A</v>
      </c>
      <c r="EK27" t="e">
        <f>NA()</f>
        <v>#N/A</v>
      </c>
      <c r="EL27" t="e">
        <f>NA()</f>
        <v>#N/A</v>
      </c>
      <c r="EM27" t="e">
        <f>NA()</f>
        <v>#N/A</v>
      </c>
      <c r="EN27" s="199" t="e">
        <f>NA()</f>
        <v>#N/A</v>
      </c>
      <c r="EO27" t="e">
        <f>NA()</f>
        <v>#N/A</v>
      </c>
      <c r="EP27" t="e">
        <f>NA()</f>
        <v>#N/A</v>
      </c>
      <c r="EQ27" t="e">
        <f>NA()</f>
        <v>#N/A</v>
      </c>
      <c r="ER27" s="180" t="e">
        <f>NA()</f>
        <v>#N/A</v>
      </c>
      <c r="ES27" t="e">
        <f>NA()</f>
        <v>#N/A</v>
      </c>
      <c r="ET27" t="e">
        <f>NA()</f>
        <v>#N/A</v>
      </c>
      <c r="EU27" t="e">
        <f>NA()</f>
        <v>#N/A</v>
      </c>
      <c r="EV27" t="e">
        <f>NA()</f>
        <v>#N/A</v>
      </c>
      <c r="EW27" s="61" t="e">
        <f t="shared" si="120"/>
        <v>#N/A</v>
      </c>
      <c r="EX27" s="9" t="e">
        <f t="shared" si="46"/>
        <v>#N/A</v>
      </c>
      <c r="EY27" s="9" t="e">
        <f t="shared" si="47"/>
        <v>#N/A</v>
      </c>
      <c r="EZ27" s="9" t="e">
        <f t="shared" si="48"/>
        <v>#N/A</v>
      </c>
      <c r="FA27" s="72" t="e">
        <f t="shared" si="49"/>
        <v>#N/A</v>
      </c>
      <c r="FB27">
        <v>1964</v>
      </c>
      <c r="FC27" s="116">
        <f t="shared" si="121"/>
        <v>377669.65418800479</v>
      </c>
      <c r="FD27" s="116">
        <f t="shared" si="122"/>
        <v>1123284.7425670177</v>
      </c>
      <c r="FE27" s="116">
        <f t="shared" si="159"/>
        <v>1095655.3255096907</v>
      </c>
      <c r="FF27" s="116">
        <f t="shared" si="124"/>
        <v>987991.99413142388</v>
      </c>
      <c r="FG27" s="5">
        <f t="shared" si="125"/>
        <v>135292.74843559379</v>
      </c>
      <c r="FH27" s="5">
        <f t="shared" si="155"/>
        <v>147867.05165139772</v>
      </c>
      <c r="FI27" s="155">
        <f t="shared" si="126"/>
        <v>0.1204438583634745</v>
      </c>
      <c r="FJ27" s="117">
        <f t="shared" si="127"/>
        <v>12.04438583634745</v>
      </c>
      <c r="FK27" s="61">
        <f t="shared" si="50"/>
        <v>6910.7059306941392</v>
      </c>
      <c r="FL27" s="61">
        <f t="shared" si="142"/>
        <v>162.54269156178526</v>
      </c>
      <c r="FM27" s="92">
        <f t="shared" si="128"/>
        <v>19.577268920485587</v>
      </c>
      <c r="FN27" s="72">
        <f t="shared" si="129"/>
        <v>0.1204438583634745</v>
      </c>
      <c r="FO27" s="179">
        <f t="shared" si="51"/>
        <v>0.65257563068285285</v>
      </c>
      <c r="FP27" s="92">
        <f t="shared" si="160"/>
        <v>11.559598123067437</v>
      </c>
      <c r="FQ27" s="1">
        <f t="shared" si="143"/>
        <v>-3.1394741890383875E-2</v>
      </c>
      <c r="FR27" s="26">
        <f t="shared" si="130"/>
        <v>1.0969423948848869</v>
      </c>
      <c r="FS27">
        <f t="shared" si="52"/>
        <v>1964</v>
      </c>
      <c r="FT27" s="5" t="e">
        <f t="shared" si="53"/>
        <v>#N/A</v>
      </c>
      <c r="FU27" s="213" t="e">
        <f t="shared" si="54"/>
        <v>#N/A</v>
      </c>
      <c r="FV27" s="213" t="e">
        <f t="shared" si="131"/>
        <v>#N/A</v>
      </c>
      <c r="FW27" s="5" t="e">
        <f t="shared" si="132"/>
        <v>#N/A</v>
      </c>
      <c r="FX27" t="e">
        <f t="shared" si="133"/>
        <v>#N/A</v>
      </c>
      <c r="FY27" t="e">
        <f t="shared" si="55"/>
        <v>#N/A</v>
      </c>
      <c r="FZ27" t="e">
        <f t="shared" si="134"/>
        <v>#N/A</v>
      </c>
      <c r="GA27" t="e">
        <f t="shared" si="56"/>
        <v>#N/A</v>
      </c>
      <c r="GB27" s="61" t="e">
        <f t="shared" si="135"/>
        <v>#N/A</v>
      </c>
      <c r="GC27" s="61" t="e">
        <f t="shared" si="57"/>
        <v>#N/A</v>
      </c>
      <c r="GD27" s="61" t="e">
        <f>NA()</f>
        <v>#N/A</v>
      </c>
      <c r="GE27" s="61" t="e">
        <f t="shared" si="136"/>
        <v>#N/A</v>
      </c>
      <c r="GF27" s="61" t="e">
        <f t="shared" si="137"/>
        <v>#N/A</v>
      </c>
      <c r="GG27" s="61" t="e">
        <f>NA()</f>
        <v>#N/A</v>
      </c>
      <c r="GH27" s="6" t="e">
        <f t="shared" si="138"/>
        <v>#N/A</v>
      </c>
      <c r="GI27" t="e">
        <f t="shared" si="58"/>
        <v>#N/A</v>
      </c>
      <c r="GJ27" s="26" t="e">
        <f t="shared" si="139"/>
        <v>#N/A</v>
      </c>
      <c r="GK27" t="e">
        <f t="shared" si="59"/>
        <v>#N/A</v>
      </c>
      <c r="GL27" s="232">
        <f t="shared" si="140"/>
        <v>1.0969423948848869</v>
      </c>
      <c r="GN27">
        <v>39</v>
      </c>
      <c r="GO27">
        <v>36</v>
      </c>
      <c r="GP27" s="46">
        <v>6</v>
      </c>
      <c r="GS27" s="167"/>
      <c r="GT27" s="46"/>
      <c r="GU27" s="167">
        <v>64</v>
      </c>
      <c r="GV27" s="47">
        <v>0</v>
      </c>
      <c r="GW27" s="6">
        <f>SUM($GV$10:GV27)/$GV$28</f>
        <v>1</v>
      </c>
      <c r="GY27">
        <v>1964</v>
      </c>
      <c r="GZ27" s="112">
        <f t="shared" si="60"/>
        <v>1.148652788852413</v>
      </c>
      <c r="HA27" s="26" t="e">
        <f t="shared" si="61"/>
        <v>#N/A</v>
      </c>
      <c r="HB27" s="26" t="e">
        <f t="shared" si="62"/>
        <v>#N/A</v>
      </c>
    </row>
    <row r="28" spans="1:210" x14ac:dyDescent="0.35">
      <c r="A28">
        <v>1965</v>
      </c>
      <c r="D28" s="80">
        <f>'SR + catch data Murdoch_age var'!C17</f>
        <v>129459</v>
      </c>
      <c r="E28" s="80">
        <f>'SR + catch data Murdoch_age var'!E17</f>
        <v>661146.40932591667</v>
      </c>
      <c r="F28" s="231">
        <f t="shared" si="63"/>
        <v>1.6306110833419334</v>
      </c>
      <c r="G28" s="80">
        <f>'SR + catch data Murdoch_age var'!D17</f>
        <v>170472</v>
      </c>
      <c r="H28" s="80">
        <f>'Orig data'!Q19</f>
        <v>170472</v>
      </c>
      <c r="I28" s="80">
        <f t="shared" si="64"/>
        <v>41013</v>
      </c>
      <c r="J28" s="150">
        <f t="shared" si="65"/>
        <v>0.2405849640996762</v>
      </c>
      <c r="K28" s="83">
        <f>'SR + catch data Murdoch_age var'!CM17</f>
        <v>1.2166428226019144</v>
      </c>
      <c r="L28" s="83">
        <f>'SR + catch data Murdoch_age var'!CN17</f>
        <v>1.1394370730390513</v>
      </c>
      <c r="M28" s="84">
        <f>'SR + catch data Murdoch_age var'!CO17</f>
        <v>409897.51263470727</v>
      </c>
      <c r="N28" s="81">
        <f t="shared" si="66"/>
        <v>0.47806815276862036</v>
      </c>
      <c r="O28" s="82">
        <f t="shared" si="67"/>
        <v>1965</v>
      </c>
      <c r="P28" s="81">
        <f t="shared" si="68"/>
        <v>0.10741516534518507</v>
      </c>
      <c r="Q28" s="81">
        <f t="shared" si="12"/>
        <v>0.75930233821489568</v>
      </c>
      <c r="R28" s="81">
        <f t="shared" si="12"/>
        <v>0.13183604264117066</v>
      </c>
      <c r="S28" s="85">
        <f t="shared" si="12"/>
        <v>1.4464537987485602E-3</v>
      </c>
      <c r="T28" s="80">
        <f t="shared" si="144"/>
        <v>18311.27806672439</v>
      </c>
      <c r="U28" s="80">
        <f t="shared" si="145"/>
        <v>129439.7882001697</v>
      </c>
      <c r="V28" s="80">
        <f t="shared" si="146"/>
        <v>22474.353861125644</v>
      </c>
      <c r="W28" s="80">
        <f t="shared" si="147"/>
        <v>246.57987198026456</v>
      </c>
      <c r="X28" s="86">
        <f t="shared" si="73"/>
        <v>1965</v>
      </c>
      <c r="Y28" s="79">
        <f t="shared" si="149"/>
        <v>40955.988801772721</v>
      </c>
      <c r="Z28" s="79">
        <f t="shared" si="152"/>
        <v>170962.32139056086</v>
      </c>
      <c r="AA28" s="79">
        <f t="shared" si="156"/>
        <v>45050.162346249563</v>
      </c>
      <c r="AB28" s="79">
        <f t="shared" si="161"/>
        <v>483.22812725866402</v>
      </c>
      <c r="AC28" s="80">
        <f t="shared" si="78"/>
        <v>257451.70066584181</v>
      </c>
      <c r="AD28" s="84">
        <f t="shared" si="79"/>
        <v>-86979.70066584181</v>
      </c>
      <c r="AE28" s="80">
        <f t="shared" si="80"/>
        <v>41013</v>
      </c>
      <c r="AF28" s="72">
        <f t="shared" si="81"/>
        <v>0.1593036670331909</v>
      </c>
      <c r="AG28" s="26">
        <f t="shared" si="82"/>
        <v>-8.1281297066485292E-2</v>
      </c>
      <c r="AH28" s="61">
        <f t="shared" si="14"/>
        <v>1965</v>
      </c>
      <c r="AI28" s="26">
        <f t="shared" si="15"/>
        <v>0.1593036670331909</v>
      </c>
      <c r="AJ28" s="75">
        <f t="shared" si="150"/>
        <v>22234.011565368299</v>
      </c>
      <c r="AK28" s="75">
        <f t="shared" si="153"/>
        <v>298039.96532058262</v>
      </c>
      <c r="AL28" s="75">
        <f t="shared" si="157"/>
        <v>93640.083595917487</v>
      </c>
      <c r="AM28" s="75">
        <f t="shared" si="162"/>
        <v>307.35255766829277</v>
      </c>
      <c r="AN28" s="79">
        <f t="shared" si="84"/>
        <v>414221.41303953668</v>
      </c>
      <c r="AO28" s="80">
        <f t="shared" si="85"/>
        <v>65986.990060868193</v>
      </c>
      <c r="AP28" s="80">
        <f t="shared" si="86"/>
        <v>348234.42297866847</v>
      </c>
      <c r="AQ28" s="81">
        <v>0.9373485616547218</v>
      </c>
      <c r="AR28" s="81">
        <v>-0.82665823824952933</v>
      </c>
      <c r="AS28" s="81">
        <f>'SR + catch data Murdoch_age var'!N17</f>
        <v>-2.2387148344013872E-2</v>
      </c>
      <c r="AT28" s="121">
        <f>'SR + catch data Murdoch_age var'!BR17</f>
        <v>-0.77859612886262075</v>
      </c>
      <c r="AU28" s="122">
        <f t="shared" si="87"/>
        <v>1.2166428226019144</v>
      </c>
      <c r="AV28" s="122">
        <f t="shared" si="88"/>
        <v>1.1525429305733133</v>
      </c>
      <c r="AW28" s="80">
        <f t="shared" si="17"/>
        <v>1595852.3186142107</v>
      </c>
      <c r="AX28" s="80"/>
      <c r="AY28" s="141" t="e">
        <f t="shared" si="89"/>
        <v>#N/A</v>
      </c>
      <c r="AZ28" s="141"/>
      <c r="BA28" s="84" t="e">
        <f t="shared" si="90"/>
        <v>#N/A</v>
      </c>
      <c r="BB28" s="101">
        <v>1965</v>
      </c>
      <c r="BC28" s="72">
        <v>3.5750695088044487E-2</v>
      </c>
      <c r="BD28" s="72">
        <v>0.8358758109360519</v>
      </c>
      <c r="BE28" s="72">
        <v>0.11956904541241889</v>
      </c>
      <c r="BF28" s="72">
        <v>8.3410565338276187E-3</v>
      </c>
      <c r="BG28" s="72">
        <v>4.6339202965708991E-4</v>
      </c>
      <c r="BH28" s="78" t="e">
        <f>-NA()</f>
        <v>#N/A</v>
      </c>
      <c r="BI28" s="78" t="e">
        <f>-NA()</f>
        <v>#N/A</v>
      </c>
      <c r="BJ28" s="78" t="e">
        <f>-NA()</f>
        <v>#N/A</v>
      </c>
      <c r="BK28" s="78" t="e">
        <f>-NA()</f>
        <v>#N/A</v>
      </c>
      <c r="BL28" s="78" t="e">
        <f>-NA()</f>
        <v>#N/A</v>
      </c>
      <c r="BM28" s="56" t="e">
        <f>-NA()</f>
        <v>#N/A</v>
      </c>
      <c r="BN28" s="78" t="e">
        <f>NA()</f>
        <v>#N/A</v>
      </c>
      <c r="BO28" s="78" t="e">
        <f t="shared" si="91"/>
        <v>#N/A</v>
      </c>
      <c r="BP28" s="78" t="e">
        <v>#N/A</v>
      </c>
      <c r="BQ28" s="78" t="e">
        <f t="shared" si="18"/>
        <v>#N/A</v>
      </c>
      <c r="BR28" s="199" t="e">
        <f>-NA()</f>
        <v>#N/A</v>
      </c>
      <c r="BS28" s="78" t="e">
        <f t="shared" si="19"/>
        <v>#N/A</v>
      </c>
      <c r="BT28" s="78" t="e">
        <f t="shared" si="20"/>
        <v>#N/A</v>
      </c>
      <c r="BU28" s="78" t="e">
        <f t="shared" si="21"/>
        <v>#N/A</v>
      </c>
      <c r="BV28" s="78" t="e">
        <f t="shared" si="92"/>
        <v>#N/A</v>
      </c>
      <c r="BW28" s="78" t="e">
        <f t="shared" si="22"/>
        <v>#N/A</v>
      </c>
      <c r="BX28" s="78" t="e">
        <f t="shared" si="23"/>
        <v>#N/A</v>
      </c>
      <c r="BY28" s="78" t="e">
        <f t="shared" ref="BY28:CE28" si="170">$BF$10+SUMPRODUCT($BH$10:$BI$10,BW28:BX28)</f>
        <v>#N/A</v>
      </c>
      <c r="BZ28" s="78" t="e">
        <f t="shared" si="170"/>
        <v>#N/A</v>
      </c>
      <c r="CA28" s="78">
        <v>1965</v>
      </c>
      <c r="CB28" s="78" t="e">
        <f t="shared" si="25"/>
        <v>#N/A</v>
      </c>
      <c r="CC28" s="78" t="e">
        <f t="shared" si="26"/>
        <v>#N/A</v>
      </c>
      <c r="CD28" s="78" t="e">
        <f t="shared" si="170"/>
        <v>#N/A</v>
      </c>
      <c r="CE28" s="78" t="e">
        <f t="shared" si="170"/>
        <v>#N/A</v>
      </c>
      <c r="CF28" s="78" t="e">
        <f t="shared" si="27"/>
        <v>#N/A</v>
      </c>
      <c r="CG28" s="78" t="e">
        <f t="shared" si="28"/>
        <v>#N/A</v>
      </c>
      <c r="CH28" s="78" t="e">
        <f t="shared" si="29"/>
        <v>#N/A</v>
      </c>
      <c r="CI28" s="199" t="e">
        <f t="shared" si="30"/>
        <v>#N/A</v>
      </c>
      <c r="CJ28" s="78" t="e">
        <f t="shared" si="31"/>
        <v>#N/A</v>
      </c>
      <c r="CK28" s="78" t="e">
        <f t="shared" si="32"/>
        <v>#N/A</v>
      </c>
      <c r="CL28" s="78" t="e">
        <f t="shared" si="33"/>
        <v>#N/A</v>
      </c>
      <c r="CM28" s="78"/>
      <c r="CN28" s="180" t="e">
        <f t="shared" si="34"/>
        <v>#N/A</v>
      </c>
      <c r="CO28" s="78" t="e">
        <f t="shared" si="35"/>
        <v>#N/A</v>
      </c>
      <c r="CP28" s="78" t="e">
        <f t="shared" si="94"/>
        <v>#N/A</v>
      </c>
      <c r="CQ28" s="96" t="e">
        <f t="shared" si="36"/>
        <v>#N/A</v>
      </c>
      <c r="CR28" s="78" t="e">
        <f t="shared" si="95"/>
        <v>#N/A</v>
      </c>
      <c r="CS28" s="61" t="e">
        <f t="shared" si="96"/>
        <v>#N/A</v>
      </c>
      <c r="CT28" s="61" t="e">
        <f t="shared" si="97"/>
        <v>#N/A</v>
      </c>
      <c r="CU28" s="61" t="e">
        <f>NA()</f>
        <v>#N/A</v>
      </c>
      <c r="CV28" s="104" t="e">
        <f>$BF$10+SUMPRODUCT($BH$10:$BI$10,CS28:CT28)</f>
        <v>#N/A</v>
      </c>
      <c r="CW28" s="105">
        <f t="shared" si="99"/>
        <v>0.9373485616547218</v>
      </c>
      <c r="CX28" s="105">
        <f t="shared" si="100"/>
        <v>-0.82665823824952933</v>
      </c>
      <c r="CY28" s="105">
        <f t="shared" si="101"/>
        <v>-2.2387148344013872E-2</v>
      </c>
      <c r="CZ28" s="123">
        <f t="shared" si="102"/>
        <v>-0.77859612886262075</v>
      </c>
      <c r="DA28" s="81">
        <f t="shared" si="103"/>
        <v>1.2166428226019144</v>
      </c>
      <c r="DB28" s="9">
        <f t="shared" si="104"/>
        <v>1595852.3186142107</v>
      </c>
      <c r="DD28" s="1" t="e">
        <f t="shared" si="105"/>
        <v>#N/A</v>
      </c>
      <c r="DE28" s="126" t="e">
        <f t="shared" si="106"/>
        <v>#N/A</v>
      </c>
      <c r="DF28" s="61">
        <v>1965</v>
      </c>
      <c r="DG28" s="26">
        <v>7.6142131979695434E-3</v>
      </c>
      <c r="DH28" s="26">
        <v>0.29512169725367693</v>
      </c>
      <c r="DI28" s="26">
        <v>0.6060236886632826</v>
      </c>
      <c r="DJ28" s="26">
        <v>8.8702329819081091E-2</v>
      </c>
      <c r="DK28" s="26">
        <v>2.5380710659898475E-3</v>
      </c>
      <c r="DL28" t="e">
        <f>NA()</f>
        <v>#N/A</v>
      </c>
      <c r="DM28" t="e">
        <f>NA()</f>
        <v>#N/A</v>
      </c>
      <c r="DN28" t="e">
        <f>NA()</f>
        <v>#N/A</v>
      </c>
      <c r="DO28" s="61" t="e">
        <f t="shared" si="107"/>
        <v>#N/A</v>
      </c>
      <c r="DP28" s="61" t="e">
        <f t="shared" si="108"/>
        <v>#N/A</v>
      </c>
      <c r="DQ28" s="61" t="e">
        <f t="shared" si="109"/>
        <v>#N/A</v>
      </c>
      <c r="DR28" s="61" t="e">
        <f>NA()</f>
        <v>#N/A</v>
      </c>
      <c r="DS28" s="61" t="e">
        <f>NA()</f>
        <v>#N/A</v>
      </c>
      <c r="DT28" s="113" t="e">
        <f t="shared" si="39"/>
        <v>#N/A</v>
      </c>
      <c r="DU28" s="76" t="e">
        <f t="shared" si="40"/>
        <v>#N/A</v>
      </c>
      <c r="DV28" s="72" t="e">
        <f t="shared" si="110"/>
        <v>#N/A</v>
      </c>
      <c r="DW28" s="201" t="e">
        <f t="shared" si="111"/>
        <v>#N/A</v>
      </c>
      <c r="DX28" s="72" t="e">
        <f t="shared" si="112"/>
        <v>#N/A</v>
      </c>
      <c r="DY28" s="72" t="e">
        <f t="shared" si="113"/>
        <v>#N/A</v>
      </c>
      <c r="DZ28" s="72" t="e">
        <f t="shared" si="114"/>
        <v>#N/A</v>
      </c>
      <c r="EA28" s="72" t="e">
        <f t="shared" si="115"/>
        <v>#N/A</v>
      </c>
      <c r="EB28" s="72" t="e">
        <f t="shared" si="116"/>
        <v>#N/A</v>
      </c>
      <c r="EC28" s="72" t="e">
        <f t="shared" si="117"/>
        <v>#N/A</v>
      </c>
      <c r="ED28" s="72" t="e">
        <f t="shared" si="118"/>
        <v>#N/A</v>
      </c>
      <c r="EE28" s="72"/>
      <c r="EF28">
        <v>1965</v>
      </c>
      <c r="EG28" s="72" t="e">
        <f t="shared" si="119"/>
        <v>#N/A</v>
      </c>
      <c r="EH28" t="e">
        <f>NA()</f>
        <v>#N/A</v>
      </c>
      <c r="EI28" t="e">
        <f>NA()</f>
        <v>#N/A</v>
      </c>
      <c r="EJ28" t="e">
        <f>NA()</f>
        <v>#N/A</v>
      </c>
      <c r="EK28" t="e">
        <f>NA()</f>
        <v>#N/A</v>
      </c>
      <c r="EL28" t="e">
        <f>NA()</f>
        <v>#N/A</v>
      </c>
      <c r="EM28" t="e">
        <f>NA()</f>
        <v>#N/A</v>
      </c>
      <c r="EN28" s="199" t="e">
        <f>NA()</f>
        <v>#N/A</v>
      </c>
      <c r="EO28" t="e">
        <f>NA()</f>
        <v>#N/A</v>
      </c>
      <c r="EP28" t="e">
        <f>NA()</f>
        <v>#N/A</v>
      </c>
      <c r="EQ28" t="e">
        <f>NA()</f>
        <v>#N/A</v>
      </c>
      <c r="ER28" s="180" t="e">
        <f>NA()</f>
        <v>#N/A</v>
      </c>
      <c r="ES28" t="e">
        <f>NA()</f>
        <v>#N/A</v>
      </c>
      <c r="ET28" t="e">
        <f>NA()</f>
        <v>#N/A</v>
      </c>
      <c r="EU28" t="e">
        <f>NA()</f>
        <v>#N/A</v>
      </c>
      <c r="EV28" t="e">
        <f>NA()</f>
        <v>#N/A</v>
      </c>
      <c r="EW28" s="61" t="e">
        <f t="shared" si="120"/>
        <v>#N/A</v>
      </c>
      <c r="EX28" s="9" t="e">
        <f t="shared" si="46"/>
        <v>#N/A</v>
      </c>
      <c r="EY28" s="9" t="e">
        <f t="shared" si="47"/>
        <v>#N/A</v>
      </c>
      <c r="EZ28" s="9" t="e">
        <f t="shared" si="48"/>
        <v>#N/A</v>
      </c>
      <c r="FA28" s="72" t="e">
        <f t="shared" si="49"/>
        <v>#N/A</v>
      </c>
      <c r="FB28">
        <v>1965</v>
      </c>
      <c r="FC28" s="116">
        <f t="shared" si="121"/>
        <v>348234.42297866847</v>
      </c>
      <c r="FD28" s="116">
        <f t="shared" si="122"/>
        <v>1120218.7531834841</v>
      </c>
      <c r="FE28" s="116">
        <f t="shared" si="159"/>
        <v>716627.00665595336</v>
      </c>
      <c r="FF28" s="116">
        <f t="shared" si="124"/>
        <v>989396.42824231775</v>
      </c>
      <c r="FG28" s="5">
        <f t="shared" si="125"/>
        <v>130822.32494116633</v>
      </c>
      <c r="FH28" s="5">
        <f t="shared" si="155"/>
        <v>94130.246868545539</v>
      </c>
      <c r="FI28" s="155">
        <f t="shared" si="126"/>
        <v>0.11678283778894973</v>
      </c>
      <c r="FJ28" s="117">
        <f t="shared" si="127"/>
        <v>11.678283778894972</v>
      </c>
      <c r="FK28" s="61">
        <f t="shared" si="50"/>
        <v>6687.037924773429</v>
      </c>
      <c r="FL28" s="61">
        <f t="shared" si="142"/>
        <v>167.52092118894922</v>
      </c>
      <c r="FM28" s="92">
        <f t="shared" si="128"/>
        <v>19.563568565464486</v>
      </c>
      <c r="FN28" s="72">
        <f t="shared" si="129"/>
        <v>0.11678283778894973</v>
      </c>
      <c r="FO28" s="179">
        <f t="shared" si="51"/>
        <v>0.65211895218214955</v>
      </c>
      <c r="FP28" s="92">
        <f t="shared" si="160"/>
        <v>13.852674399602007</v>
      </c>
      <c r="FQ28" s="1">
        <f t="shared" si="143"/>
        <v>-3.2365435335235573E-2</v>
      </c>
      <c r="FR28" s="26">
        <f t="shared" si="130"/>
        <v>1.0614393767367616</v>
      </c>
      <c r="FS28">
        <f t="shared" si="52"/>
        <v>1965</v>
      </c>
      <c r="FT28" s="5" t="e">
        <f t="shared" si="53"/>
        <v>#N/A</v>
      </c>
      <c r="FU28" s="213" t="e">
        <f t="shared" si="54"/>
        <v>#N/A</v>
      </c>
      <c r="FV28" s="213" t="e">
        <f t="shared" si="131"/>
        <v>#N/A</v>
      </c>
      <c r="FW28" s="5" t="e">
        <f t="shared" si="132"/>
        <v>#N/A</v>
      </c>
      <c r="FX28" t="e">
        <f t="shared" si="133"/>
        <v>#N/A</v>
      </c>
      <c r="FY28" t="e">
        <f t="shared" si="55"/>
        <v>#N/A</v>
      </c>
      <c r="FZ28" t="e">
        <f t="shared" si="134"/>
        <v>#N/A</v>
      </c>
      <c r="GA28" t="e">
        <f t="shared" si="56"/>
        <v>#N/A</v>
      </c>
      <c r="GB28" s="61" t="e">
        <f t="shared" si="135"/>
        <v>#N/A</v>
      </c>
      <c r="GC28" s="61" t="e">
        <f t="shared" si="57"/>
        <v>#N/A</v>
      </c>
      <c r="GD28" s="61" t="e">
        <f>NA()</f>
        <v>#N/A</v>
      </c>
      <c r="GE28" s="61" t="e">
        <f t="shared" si="136"/>
        <v>#N/A</v>
      </c>
      <c r="GF28" s="61" t="e">
        <f t="shared" si="137"/>
        <v>#N/A</v>
      </c>
      <c r="GG28" s="61" t="e">
        <f>NA()</f>
        <v>#N/A</v>
      </c>
      <c r="GH28" s="6" t="e">
        <f t="shared" si="138"/>
        <v>#N/A</v>
      </c>
      <c r="GI28" t="e">
        <f t="shared" si="58"/>
        <v>#N/A</v>
      </c>
      <c r="GJ28" s="26" t="e">
        <f t="shared" si="139"/>
        <v>#N/A</v>
      </c>
      <c r="GK28" t="e">
        <f t="shared" si="59"/>
        <v>#N/A</v>
      </c>
      <c r="GL28" s="232">
        <f t="shared" si="140"/>
        <v>1.0614393767367616</v>
      </c>
      <c r="GN28">
        <v>42</v>
      </c>
      <c r="GO28">
        <v>39</v>
      </c>
      <c r="GP28" s="46">
        <v>2</v>
      </c>
      <c r="GS28" s="167"/>
      <c r="GT28" s="46"/>
      <c r="GV28">
        <f>SUM(GV10:GV27)</f>
        <v>66</v>
      </c>
      <c r="GY28">
        <v>1965</v>
      </c>
      <c r="GZ28" s="112">
        <f t="shared" si="60"/>
        <v>1.2166428226019144</v>
      </c>
      <c r="HA28" s="26" t="e">
        <f t="shared" si="61"/>
        <v>#N/A</v>
      </c>
      <c r="HB28" s="26" t="e">
        <f t="shared" si="62"/>
        <v>#N/A</v>
      </c>
    </row>
    <row r="29" spans="1:210" x14ac:dyDescent="0.35">
      <c r="A29">
        <v>1966</v>
      </c>
      <c r="D29" s="80">
        <f>'SR + catch data Murdoch_age var'!C18</f>
        <v>360810</v>
      </c>
      <c r="E29" s="80">
        <f>'SR + catch data Murdoch_age var'!E18</f>
        <v>675103.6941361347</v>
      </c>
      <c r="F29" s="231">
        <f t="shared" si="63"/>
        <v>0.62651479602582794</v>
      </c>
      <c r="G29" s="80">
        <f>'SR + catch data Murdoch_age var'!D18</f>
        <v>419759</v>
      </c>
      <c r="H29" s="80">
        <f>'Orig data'!Q20</f>
        <v>419759</v>
      </c>
      <c r="I29" s="80">
        <f t="shared" si="64"/>
        <v>58949</v>
      </c>
      <c r="J29" s="150">
        <f t="shared" si="65"/>
        <v>0.14043534504322719</v>
      </c>
      <c r="K29" s="83">
        <f>'SR + catch data Murdoch_age var'!CM18</f>
        <v>1.0673418564770394</v>
      </c>
      <c r="L29" s="83">
        <f>'SR + catch data Murdoch_age var'!CN18</f>
        <v>1.1462630213962723</v>
      </c>
      <c r="M29" s="84">
        <f>'SR + catch data Murdoch_age var'!CO18</f>
        <v>877470.30618128169</v>
      </c>
      <c r="N29" s="81">
        <f t="shared" si="66"/>
        <v>-0.26217681564135176</v>
      </c>
      <c r="O29" s="82">
        <f t="shared" si="67"/>
        <v>1966</v>
      </c>
      <c r="P29" s="81">
        <f t="shared" si="68"/>
        <v>0.10741516534518507</v>
      </c>
      <c r="Q29" s="81">
        <f t="shared" si="12"/>
        <v>0.75930233821489568</v>
      </c>
      <c r="R29" s="81">
        <f t="shared" si="12"/>
        <v>0.13183604264117066</v>
      </c>
      <c r="S29" s="85">
        <f t="shared" si="12"/>
        <v>1.4464537987485602E-3</v>
      </c>
      <c r="T29" s="80">
        <f t="shared" si="144"/>
        <v>45088.482390129539</v>
      </c>
      <c r="U29" s="80">
        <f t="shared" si="145"/>
        <v>318723.99018674641</v>
      </c>
      <c r="V29" s="80">
        <f t="shared" si="146"/>
        <v>55339.365423015151</v>
      </c>
      <c r="W29" s="80">
        <f t="shared" si="147"/>
        <v>607.1620001088969</v>
      </c>
      <c r="X29" s="86">
        <f t="shared" si="73"/>
        <v>1966</v>
      </c>
      <c r="Y29" s="79">
        <f t="shared" si="149"/>
        <v>47608.873759629525</v>
      </c>
      <c r="Z29" s="79">
        <f t="shared" si="152"/>
        <v>289511.98800610594</v>
      </c>
      <c r="AA29" s="79">
        <f t="shared" si="156"/>
        <v>29683.822580960605</v>
      </c>
      <c r="AB29" s="79">
        <f t="shared" si="161"/>
        <v>494.27286464697397</v>
      </c>
      <c r="AC29" s="80">
        <f t="shared" si="78"/>
        <v>367298.95721134299</v>
      </c>
      <c r="AD29" s="84">
        <f t="shared" si="79"/>
        <v>52460.042788657011</v>
      </c>
      <c r="AE29" s="80">
        <f t="shared" si="80"/>
        <v>58949</v>
      </c>
      <c r="AF29" s="72">
        <f t="shared" si="81"/>
        <v>0.16049324083999747</v>
      </c>
      <c r="AG29" s="26">
        <f t="shared" si="82"/>
        <v>2.0057895796770281E-2</v>
      </c>
      <c r="AH29" s="61">
        <f t="shared" si="14"/>
        <v>1966</v>
      </c>
      <c r="AI29" s="26">
        <f t="shared" si="15"/>
        <v>0.16049324083999747</v>
      </c>
      <c r="AJ29" s="75">
        <f t="shared" si="150"/>
        <v>34367.589661245816</v>
      </c>
      <c r="AK29" s="75">
        <f t="shared" si="153"/>
        <v>157169.0265078379</v>
      </c>
      <c r="AL29" s="75">
        <f t="shared" si="157"/>
        <v>51748.042379472987</v>
      </c>
      <c r="AM29" s="75">
        <f t="shared" si="162"/>
        <v>1027.3825876365433</v>
      </c>
      <c r="AN29" s="79">
        <f t="shared" si="84"/>
        <v>244312.04113619323</v>
      </c>
      <c r="AO29" s="80">
        <f t="shared" si="85"/>
        <v>39210.431258182427</v>
      </c>
      <c r="AP29" s="80">
        <f t="shared" si="86"/>
        <v>205101.60987801082</v>
      </c>
      <c r="AQ29" s="81">
        <v>-0.98622252264071231</v>
      </c>
      <c r="AR29" s="81">
        <v>-0.75252855927606599</v>
      </c>
      <c r="AS29" s="81">
        <f>'SR + catch data Murdoch_age var'!N18</f>
        <v>-0.19487209718860982</v>
      </c>
      <c r="AT29" s="121">
        <f>'SR + catch data Murdoch_age var'!BR18</f>
        <v>-0.79469093294657822</v>
      </c>
      <c r="AU29" s="122">
        <f t="shared" si="87"/>
        <v>1.0673418564770394</v>
      </c>
      <c r="AV29" s="122">
        <f t="shared" si="88"/>
        <v>0.88869161166717991</v>
      </c>
      <c r="AW29" s="80">
        <f t="shared" si="17"/>
        <v>414518.3470598291</v>
      </c>
      <c r="AX29" s="80"/>
      <c r="AY29" s="141" t="e">
        <f t="shared" si="89"/>
        <v>#N/A</v>
      </c>
      <c r="AZ29" s="141"/>
      <c r="BA29" s="84" t="e">
        <f t="shared" si="90"/>
        <v>#N/A</v>
      </c>
      <c r="BB29" s="101">
        <v>1966</v>
      </c>
      <c r="BC29" s="72">
        <v>3.5750695088044487E-2</v>
      </c>
      <c r="BD29" s="72">
        <v>0.8358758109360519</v>
      </c>
      <c r="BE29" s="72">
        <v>0.11956904541241889</v>
      </c>
      <c r="BF29" s="72">
        <v>8.3410565338276187E-3</v>
      </c>
      <c r="BG29" s="72">
        <v>4.6339202965708991E-4</v>
      </c>
      <c r="BH29" s="78" t="e">
        <f>-NA()</f>
        <v>#N/A</v>
      </c>
      <c r="BI29" s="78" t="e">
        <f>-NA()</f>
        <v>#N/A</v>
      </c>
      <c r="BJ29" s="78" t="e">
        <f>-NA()</f>
        <v>#N/A</v>
      </c>
      <c r="BK29" s="78" t="e">
        <f>-NA()</f>
        <v>#N/A</v>
      </c>
      <c r="BL29" s="78" t="e">
        <f>-NA()</f>
        <v>#N/A</v>
      </c>
      <c r="BM29" s="56" t="e">
        <f>-NA()</f>
        <v>#N/A</v>
      </c>
      <c r="BN29" s="78" t="e">
        <f>NA()</f>
        <v>#N/A</v>
      </c>
      <c r="BO29" s="78" t="e">
        <f t="shared" si="91"/>
        <v>#N/A</v>
      </c>
      <c r="BP29" s="78" t="e">
        <v>#N/A</v>
      </c>
      <c r="BQ29" s="78" t="e">
        <f t="shared" si="18"/>
        <v>#N/A</v>
      </c>
      <c r="BR29" s="199" t="e">
        <f>-NA()</f>
        <v>#N/A</v>
      </c>
      <c r="BS29" s="78" t="e">
        <f t="shared" si="19"/>
        <v>#N/A</v>
      </c>
      <c r="BT29" s="78" t="e">
        <f t="shared" si="20"/>
        <v>#N/A</v>
      </c>
      <c r="BU29" s="78" t="e">
        <f t="shared" si="21"/>
        <v>#N/A</v>
      </c>
      <c r="BV29" s="78" t="e">
        <f t="shared" si="92"/>
        <v>#N/A</v>
      </c>
      <c r="BW29" s="78" t="e">
        <f t="shared" si="22"/>
        <v>#N/A</v>
      </c>
      <c r="BX29" s="78" t="e">
        <f t="shared" si="23"/>
        <v>#N/A</v>
      </c>
      <c r="BY29" s="78" t="e">
        <f t="shared" ref="BY29:CE29" si="171">$BF$10+SUMPRODUCT($BH$10:$BI$10,BW29:BX29)</f>
        <v>#N/A</v>
      </c>
      <c r="BZ29" s="78" t="e">
        <f t="shared" si="171"/>
        <v>#N/A</v>
      </c>
      <c r="CA29" s="78">
        <v>1966</v>
      </c>
      <c r="CB29" s="78" t="e">
        <f t="shared" si="25"/>
        <v>#N/A</v>
      </c>
      <c r="CC29" s="78" t="e">
        <f t="shared" si="26"/>
        <v>#N/A</v>
      </c>
      <c r="CD29" s="78" t="e">
        <f t="shared" si="171"/>
        <v>#N/A</v>
      </c>
      <c r="CE29" s="78" t="e">
        <f t="shared" si="171"/>
        <v>#N/A</v>
      </c>
      <c r="CF29" s="78" t="e">
        <f t="shared" si="27"/>
        <v>#N/A</v>
      </c>
      <c r="CG29" s="78" t="e">
        <f t="shared" si="28"/>
        <v>#N/A</v>
      </c>
      <c r="CH29" s="78" t="e">
        <f t="shared" si="29"/>
        <v>#N/A</v>
      </c>
      <c r="CI29" s="199" t="e">
        <f t="shared" si="30"/>
        <v>#N/A</v>
      </c>
      <c r="CJ29" s="78" t="e">
        <f t="shared" si="31"/>
        <v>#N/A</v>
      </c>
      <c r="CK29" s="78" t="e">
        <f t="shared" si="32"/>
        <v>#N/A</v>
      </c>
      <c r="CL29" s="78" t="e">
        <f t="shared" si="33"/>
        <v>#N/A</v>
      </c>
      <c r="CM29" s="78"/>
      <c r="CN29" s="180" t="e">
        <f t="shared" si="34"/>
        <v>#N/A</v>
      </c>
      <c r="CO29" s="78" t="e">
        <f t="shared" si="35"/>
        <v>#N/A</v>
      </c>
      <c r="CP29" s="78" t="e">
        <f t="shared" si="94"/>
        <v>#N/A</v>
      </c>
      <c r="CQ29" s="96" t="e">
        <f t="shared" si="36"/>
        <v>#N/A</v>
      </c>
      <c r="CR29" s="78" t="e">
        <f t="shared" si="95"/>
        <v>#N/A</v>
      </c>
      <c r="CS29" s="61" t="e">
        <f t="shared" si="96"/>
        <v>#N/A</v>
      </c>
      <c r="CT29" s="61" t="e">
        <f t="shared" si="97"/>
        <v>#N/A</v>
      </c>
      <c r="CU29" s="61" t="e">
        <f>NA()</f>
        <v>#N/A</v>
      </c>
      <c r="CV29" s="104" t="e">
        <f t="shared" si="98"/>
        <v>#N/A</v>
      </c>
      <c r="CW29" s="105">
        <f t="shared" si="99"/>
        <v>-0.98622252264071231</v>
      </c>
      <c r="CX29" s="105">
        <f t="shared" si="100"/>
        <v>-0.75252855927606599</v>
      </c>
      <c r="CY29" s="105">
        <f t="shared" si="101"/>
        <v>-0.19487209718860982</v>
      </c>
      <c r="CZ29" s="123">
        <f t="shared" si="102"/>
        <v>-0.79469093294657822</v>
      </c>
      <c r="DA29" s="81">
        <f t="shared" si="103"/>
        <v>1.0673418564770394</v>
      </c>
      <c r="DB29" s="9">
        <f t="shared" si="104"/>
        <v>414518.3470598291</v>
      </c>
      <c r="DD29" s="1" t="e">
        <f t="shared" si="105"/>
        <v>#N/A</v>
      </c>
      <c r="DE29" s="126" t="e">
        <f t="shared" si="106"/>
        <v>#N/A</v>
      </c>
      <c r="DF29" s="61">
        <v>1966</v>
      </c>
      <c r="DG29" s="26">
        <v>7.6142131979695434E-3</v>
      </c>
      <c r="DH29" s="26">
        <v>0.29512169725367693</v>
      </c>
      <c r="DI29" s="26">
        <v>0.6060236886632826</v>
      </c>
      <c r="DJ29" s="26">
        <v>8.8702329819081091E-2</v>
      </c>
      <c r="DK29" s="26">
        <v>2.5380710659898475E-3</v>
      </c>
      <c r="DL29" t="e">
        <f>NA()</f>
        <v>#N/A</v>
      </c>
      <c r="DM29" t="e">
        <f>NA()</f>
        <v>#N/A</v>
      </c>
      <c r="DN29" t="e">
        <f>NA()</f>
        <v>#N/A</v>
      </c>
      <c r="DO29" s="61" t="e">
        <f t="shared" si="107"/>
        <v>#N/A</v>
      </c>
      <c r="DP29" s="61" t="e">
        <f t="shared" si="108"/>
        <v>#N/A</v>
      </c>
      <c r="DQ29" s="61" t="e">
        <f t="shared" si="109"/>
        <v>#N/A</v>
      </c>
      <c r="DR29" s="61" t="e">
        <f>NA()</f>
        <v>#N/A</v>
      </c>
      <c r="DS29" s="61" t="e">
        <f>NA()</f>
        <v>#N/A</v>
      </c>
      <c r="DT29" s="113" t="e">
        <f t="shared" si="39"/>
        <v>#N/A</v>
      </c>
      <c r="DU29" s="76" t="e">
        <f t="shared" si="40"/>
        <v>#N/A</v>
      </c>
      <c r="DV29" s="72" t="e">
        <f t="shared" si="110"/>
        <v>#N/A</v>
      </c>
      <c r="DW29" s="201" t="e">
        <f t="shared" si="111"/>
        <v>#N/A</v>
      </c>
      <c r="DX29" s="72" t="e">
        <f t="shared" si="112"/>
        <v>#N/A</v>
      </c>
      <c r="DY29" s="72" t="e">
        <f t="shared" si="113"/>
        <v>#N/A</v>
      </c>
      <c r="DZ29" s="72" t="e">
        <f t="shared" si="114"/>
        <v>#N/A</v>
      </c>
      <c r="EA29" s="72" t="e">
        <f t="shared" si="115"/>
        <v>#N/A</v>
      </c>
      <c r="EB29" s="72" t="e">
        <f t="shared" si="116"/>
        <v>#N/A</v>
      </c>
      <c r="EC29" s="72" t="e">
        <f t="shared" si="117"/>
        <v>#N/A</v>
      </c>
      <c r="ED29" s="72" t="e">
        <f t="shared" si="118"/>
        <v>#N/A</v>
      </c>
      <c r="EE29" s="72"/>
      <c r="EF29">
        <v>1966</v>
      </c>
      <c r="EG29" s="72" t="e">
        <f t="shared" si="119"/>
        <v>#N/A</v>
      </c>
      <c r="EH29" t="e">
        <f>NA()</f>
        <v>#N/A</v>
      </c>
      <c r="EI29" t="e">
        <f>NA()</f>
        <v>#N/A</v>
      </c>
      <c r="EJ29" t="e">
        <f>NA()</f>
        <v>#N/A</v>
      </c>
      <c r="EK29" t="e">
        <f>NA()</f>
        <v>#N/A</v>
      </c>
      <c r="EL29" t="e">
        <f>NA()</f>
        <v>#N/A</v>
      </c>
      <c r="EM29" t="e">
        <f>NA()</f>
        <v>#N/A</v>
      </c>
      <c r="EN29" s="199" t="e">
        <f>NA()</f>
        <v>#N/A</v>
      </c>
      <c r="EO29" t="e">
        <f>NA()</f>
        <v>#N/A</v>
      </c>
      <c r="EP29" t="e">
        <f>NA()</f>
        <v>#N/A</v>
      </c>
      <c r="EQ29" t="e">
        <f>NA()</f>
        <v>#N/A</v>
      </c>
      <c r="ER29" s="180" t="e">
        <f>NA()</f>
        <v>#N/A</v>
      </c>
      <c r="ES29" t="e">
        <f>NA()</f>
        <v>#N/A</v>
      </c>
      <c r="ET29" t="e">
        <f>NA()</f>
        <v>#N/A</v>
      </c>
      <c r="EU29" t="e">
        <f>NA()</f>
        <v>#N/A</v>
      </c>
      <c r="EV29" t="e">
        <f>NA()</f>
        <v>#N/A</v>
      </c>
      <c r="EW29" s="61" t="e">
        <f t="shared" si="120"/>
        <v>#N/A</v>
      </c>
      <c r="EX29" s="9" t="e">
        <f t="shared" si="46"/>
        <v>#N/A</v>
      </c>
      <c r="EY29" s="9" t="e">
        <f t="shared" si="47"/>
        <v>#N/A</v>
      </c>
      <c r="EZ29" s="9" t="e">
        <f t="shared" si="48"/>
        <v>#N/A</v>
      </c>
      <c r="FA29" s="72" t="e">
        <f t="shared" si="49"/>
        <v>#N/A</v>
      </c>
      <c r="FB29">
        <v>1966</v>
      </c>
      <c r="FC29" s="116">
        <f t="shared" si="121"/>
        <v>205101.60987801082</v>
      </c>
      <c r="FD29" s="116">
        <f t="shared" si="122"/>
        <v>607814.06686765945</v>
      </c>
      <c r="FE29" s="116">
        <f t="shared" si="159"/>
        <v>419759</v>
      </c>
      <c r="FF29" s="116">
        <f t="shared" si="124"/>
        <v>538772.84937356808</v>
      </c>
      <c r="FG29" s="5">
        <f t="shared" si="125"/>
        <v>69041.217494091368</v>
      </c>
      <c r="FH29" s="5">
        <f t="shared" si="155"/>
        <v>29834.114358131774</v>
      </c>
      <c r="FI29" s="155">
        <f t="shared" si="126"/>
        <v>0.11358937092372995</v>
      </c>
      <c r="FJ29" s="117">
        <f t="shared" si="127"/>
        <v>11.358937092372996</v>
      </c>
      <c r="FK29" s="61">
        <f t="shared" si="50"/>
        <v>6492.6906333477873</v>
      </c>
      <c r="FL29" s="61">
        <f t="shared" si="142"/>
        <v>93.615128333052255</v>
      </c>
      <c r="FM29" s="92">
        <f t="shared" si="128"/>
        <v>10.633683536295655</v>
      </c>
      <c r="FN29" s="72">
        <f t="shared" si="129"/>
        <v>0.11358937092372995</v>
      </c>
      <c r="FO29" s="179">
        <f t="shared" si="51"/>
        <v>0.35445611787652181</v>
      </c>
      <c r="FP29" s="92">
        <f t="shared" si="160"/>
        <v>12.468103706690187</v>
      </c>
      <c r="FQ29" s="1">
        <f t="shared" si="143"/>
        <v>-2.9063285360719206E-2</v>
      </c>
      <c r="FR29" s="26">
        <f t="shared" si="130"/>
        <v>1.0305904612375572</v>
      </c>
      <c r="FS29">
        <f t="shared" si="52"/>
        <v>1966</v>
      </c>
      <c r="FT29" s="5" t="e">
        <f t="shared" si="53"/>
        <v>#N/A</v>
      </c>
      <c r="FU29" s="213" t="e">
        <f t="shared" si="54"/>
        <v>#N/A</v>
      </c>
      <c r="FV29" s="213" t="e">
        <f t="shared" si="131"/>
        <v>#N/A</v>
      </c>
      <c r="FW29" s="5" t="e">
        <f t="shared" si="132"/>
        <v>#N/A</v>
      </c>
      <c r="FX29" t="e">
        <f t="shared" si="133"/>
        <v>#N/A</v>
      </c>
      <c r="FY29" t="e">
        <f t="shared" si="55"/>
        <v>#N/A</v>
      </c>
      <c r="FZ29" t="e">
        <f t="shared" si="134"/>
        <v>#N/A</v>
      </c>
      <c r="GA29" t="e">
        <f t="shared" si="56"/>
        <v>#N/A</v>
      </c>
      <c r="GB29" s="61" t="e">
        <f t="shared" si="135"/>
        <v>#N/A</v>
      </c>
      <c r="GC29" s="61" t="e">
        <f t="shared" si="57"/>
        <v>#N/A</v>
      </c>
      <c r="GD29" s="61" t="e">
        <f>NA()</f>
        <v>#N/A</v>
      </c>
      <c r="GE29" s="61" t="e">
        <f t="shared" si="136"/>
        <v>#N/A</v>
      </c>
      <c r="GF29" s="61" t="e">
        <f t="shared" si="137"/>
        <v>#N/A</v>
      </c>
      <c r="GG29" s="61" t="e">
        <f>NA()</f>
        <v>#N/A</v>
      </c>
      <c r="GH29" s="6" t="e">
        <f t="shared" si="138"/>
        <v>#N/A</v>
      </c>
      <c r="GI29" t="e">
        <f t="shared" si="58"/>
        <v>#N/A</v>
      </c>
      <c r="GJ29" s="26" t="e">
        <f t="shared" si="139"/>
        <v>#N/A</v>
      </c>
      <c r="GK29" t="e">
        <f t="shared" si="59"/>
        <v>#N/A</v>
      </c>
      <c r="GL29" s="232">
        <f t="shared" si="140"/>
        <v>1.0305904612375572</v>
      </c>
      <c r="GN29">
        <v>45</v>
      </c>
      <c r="GO29">
        <v>42</v>
      </c>
      <c r="GP29" s="46">
        <v>1</v>
      </c>
      <c r="GS29" s="167"/>
      <c r="GT29" s="46"/>
      <c r="GY29">
        <v>1966</v>
      </c>
      <c r="GZ29" s="112">
        <f t="shared" si="60"/>
        <v>1.0673418564770394</v>
      </c>
      <c r="HA29" s="26" t="e">
        <f t="shared" si="61"/>
        <v>#N/A</v>
      </c>
      <c r="HB29" s="26" t="e">
        <f t="shared" si="62"/>
        <v>#N/A</v>
      </c>
    </row>
    <row r="30" spans="1:210" x14ac:dyDescent="0.35">
      <c r="A30">
        <v>1967</v>
      </c>
      <c r="D30" s="80">
        <f>'SR + catch data Murdoch_age var'!C19</f>
        <v>213873</v>
      </c>
      <c r="E30" s="80">
        <f>'SR + catch data Murdoch_age var'!E19</f>
        <v>545326.67988816742</v>
      </c>
      <c r="F30" s="231">
        <f t="shared" si="63"/>
        <v>0.9360026468140249</v>
      </c>
      <c r="G30" s="80">
        <f>'SR + catch data Murdoch_age var'!D19</f>
        <v>323003</v>
      </c>
      <c r="H30" s="80">
        <f>'Orig data'!Q21</f>
        <v>323003</v>
      </c>
      <c r="I30" s="80">
        <f t="shared" si="64"/>
        <v>109130</v>
      </c>
      <c r="J30" s="150">
        <f t="shared" si="65"/>
        <v>0.33786063906527186</v>
      </c>
      <c r="K30" s="83">
        <f>'SR + catch data Murdoch_age var'!CM19</f>
        <v>1.0109055827667792</v>
      </c>
      <c r="L30" s="83">
        <f>'SR + catch data Murdoch_age var'!CN19</f>
        <v>1.1426157635195104</v>
      </c>
      <c r="M30" s="84">
        <f>'SR + catch data Murdoch_age var'!CO19</f>
        <v>528684.37479130179</v>
      </c>
      <c r="N30" s="81">
        <f t="shared" si="66"/>
        <v>3.0993418938238568E-2</v>
      </c>
      <c r="O30" s="82">
        <f t="shared" si="67"/>
        <v>1967</v>
      </c>
      <c r="P30" s="81">
        <f t="shared" si="68"/>
        <v>0.10741516534518507</v>
      </c>
      <c r="Q30" s="81">
        <f t="shared" si="68"/>
        <v>0.75930233821489568</v>
      </c>
      <c r="R30" s="81">
        <f t="shared" si="68"/>
        <v>0.13183604264117066</v>
      </c>
      <c r="S30" s="85">
        <f t="shared" si="68"/>
        <v>1.4464537987485602E-3</v>
      </c>
      <c r="T30" s="80">
        <f t="shared" si="144"/>
        <v>34695.420651990811</v>
      </c>
      <c r="U30" s="80">
        <f t="shared" si="145"/>
        <v>245256.93315042596</v>
      </c>
      <c r="V30" s="80">
        <f t="shared" si="146"/>
        <v>42583.437281226048</v>
      </c>
      <c r="W30" s="80">
        <f t="shared" si="147"/>
        <v>467.20891635718118</v>
      </c>
      <c r="X30" s="86">
        <f t="shared" si="73"/>
        <v>1967</v>
      </c>
      <c r="Y30" s="79">
        <f t="shared" si="149"/>
        <v>106094.15516407137</v>
      </c>
      <c r="Z30" s="79">
        <f t="shared" si="152"/>
        <v>336540.27389238583</v>
      </c>
      <c r="AA30" s="79">
        <f t="shared" si="156"/>
        <v>50267.347899435597</v>
      </c>
      <c r="AB30" s="79">
        <f t="shared" si="161"/>
        <v>325.67935955474684</v>
      </c>
      <c r="AC30" s="80">
        <f t="shared" si="78"/>
        <v>493227.45631544752</v>
      </c>
      <c r="AD30" s="84">
        <f t="shared" si="79"/>
        <v>-170224.45631544752</v>
      </c>
      <c r="AE30" s="80">
        <f t="shared" si="80"/>
        <v>109130</v>
      </c>
      <c r="AF30" s="72">
        <f t="shared" si="81"/>
        <v>0.22125694464625473</v>
      </c>
      <c r="AG30" s="26">
        <f t="shared" si="82"/>
        <v>-0.11660369441901713</v>
      </c>
      <c r="AH30" s="61">
        <f t="shared" si="14"/>
        <v>1967</v>
      </c>
      <c r="AI30" s="26">
        <f t="shared" si="15"/>
        <v>0.22125694464625473</v>
      </c>
      <c r="AJ30" s="75">
        <f t="shared" si="150"/>
        <v>152197.65893226973</v>
      </c>
      <c r="AK30" s="75">
        <f t="shared" si="153"/>
        <v>242939.54307787845</v>
      </c>
      <c r="AL30" s="75">
        <f t="shared" si="157"/>
        <v>27288.922261548898</v>
      </c>
      <c r="AM30" s="75">
        <f t="shared" si="162"/>
        <v>567.75940007027452</v>
      </c>
      <c r="AN30" s="79">
        <f t="shared" si="84"/>
        <v>422993.88367176743</v>
      </c>
      <c r="AO30" s="80">
        <f t="shared" si="85"/>
        <v>93590.334305268552</v>
      </c>
      <c r="AP30" s="80">
        <f t="shared" si="86"/>
        <v>329403.54936649889</v>
      </c>
      <c r="AQ30" s="81">
        <v>-1.5253400203638667</v>
      </c>
      <c r="AR30" s="81">
        <v>-0.57955930833798519</v>
      </c>
      <c r="AS30" s="81">
        <f>'SR + catch data Murdoch_age var'!N19</f>
        <v>3.9956809069695544E-2</v>
      </c>
      <c r="AT30" s="121">
        <f>'SR + catch data Murdoch_age var'!BR19</f>
        <v>-0.79827728449633573</v>
      </c>
      <c r="AU30" s="122">
        <f t="shared" si="87"/>
        <v>1.0109055827667792</v>
      </c>
      <c r="AV30" s="122">
        <f t="shared" si="88"/>
        <v>0.90500922787578653</v>
      </c>
      <c r="AW30" s="80">
        <f t="shared" si="17"/>
        <v>793205.89911202947</v>
      </c>
      <c r="AX30" s="80"/>
      <c r="AY30" s="141" t="e">
        <f t="shared" si="89"/>
        <v>#N/A</v>
      </c>
      <c r="AZ30" s="141"/>
      <c r="BA30" s="84" t="e">
        <f t="shared" si="90"/>
        <v>#N/A</v>
      </c>
      <c r="BB30" s="101">
        <v>1967</v>
      </c>
      <c r="BC30" s="72">
        <v>3.5750695088044487E-2</v>
      </c>
      <c r="BD30" s="72">
        <v>0.8358758109360519</v>
      </c>
      <c r="BE30" s="72">
        <v>0.11956904541241889</v>
      </c>
      <c r="BF30" s="72">
        <v>8.3410565338276187E-3</v>
      </c>
      <c r="BG30" s="72">
        <v>4.6339202965708991E-4</v>
      </c>
      <c r="BH30" s="78" t="e">
        <f>-NA()</f>
        <v>#N/A</v>
      </c>
      <c r="BI30" s="78" t="e">
        <f>-NA()</f>
        <v>#N/A</v>
      </c>
      <c r="BJ30" s="78" t="e">
        <f>-NA()</f>
        <v>#N/A</v>
      </c>
      <c r="BK30" s="78" t="e">
        <f>-NA()</f>
        <v>#N/A</v>
      </c>
      <c r="BL30" s="78" t="e">
        <f>-NA()</f>
        <v>#N/A</v>
      </c>
      <c r="BM30" s="56" t="e">
        <f>-NA()</f>
        <v>#N/A</v>
      </c>
      <c r="BN30" s="78" t="e">
        <f>NA()</f>
        <v>#N/A</v>
      </c>
      <c r="BO30" s="78" t="e">
        <f t="shared" si="91"/>
        <v>#N/A</v>
      </c>
      <c r="BP30" s="78" t="e">
        <v>#N/A</v>
      </c>
      <c r="BQ30" s="78" t="e">
        <f t="shared" si="18"/>
        <v>#N/A</v>
      </c>
      <c r="BR30" s="199" t="e">
        <f>-NA()</f>
        <v>#N/A</v>
      </c>
      <c r="BS30" s="78" t="e">
        <f t="shared" si="19"/>
        <v>#N/A</v>
      </c>
      <c r="BT30" s="78" t="e">
        <f t="shared" si="20"/>
        <v>#N/A</v>
      </c>
      <c r="BU30" s="78" t="e">
        <f t="shared" si="21"/>
        <v>#N/A</v>
      </c>
      <c r="BV30" s="78" t="e">
        <f t="shared" si="92"/>
        <v>#N/A</v>
      </c>
      <c r="BW30" s="78" t="e">
        <f t="shared" si="22"/>
        <v>#N/A</v>
      </c>
      <c r="BX30" s="78" t="e">
        <f t="shared" si="23"/>
        <v>#N/A</v>
      </c>
      <c r="BY30" s="78" t="e">
        <f t="shared" ref="BY30:CE30" si="172">$BF$10+SUMPRODUCT($BH$10:$BI$10,BW30:BX30)</f>
        <v>#N/A</v>
      </c>
      <c r="BZ30" s="78" t="e">
        <f t="shared" si="172"/>
        <v>#N/A</v>
      </c>
      <c r="CA30" s="78">
        <v>1967</v>
      </c>
      <c r="CB30" s="78" t="e">
        <f t="shared" si="25"/>
        <v>#N/A</v>
      </c>
      <c r="CC30" s="78" t="e">
        <f t="shared" si="26"/>
        <v>#N/A</v>
      </c>
      <c r="CD30" s="78" t="e">
        <f t="shared" si="172"/>
        <v>#N/A</v>
      </c>
      <c r="CE30" s="78" t="e">
        <f t="shared" si="172"/>
        <v>#N/A</v>
      </c>
      <c r="CF30" s="78" t="e">
        <f t="shared" si="27"/>
        <v>#N/A</v>
      </c>
      <c r="CG30" s="78" t="e">
        <f t="shared" si="28"/>
        <v>#N/A</v>
      </c>
      <c r="CH30" s="78" t="e">
        <f t="shared" si="29"/>
        <v>#N/A</v>
      </c>
      <c r="CI30" s="199" t="e">
        <f t="shared" si="30"/>
        <v>#N/A</v>
      </c>
      <c r="CJ30" s="78" t="e">
        <f t="shared" si="31"/>
        <v>#N/A</v>
      </c>
      <c r="CK30" s="78" t="e">
        <f t="shared" si="32"/>
        <v>#N/A</v>
      </c>
      <c r="CL30" s="78" t="e">
        <f t="shared" si="33"/>
        <v>#N/A</v>
      </c>
      <c r="CM30" s="78"/>
      <c r="CN30" s="180" t="e">
        <f t="shared" si="34"/>
        <v>#N/A</v>
      </c>
      <c r="CO30" s="78" t="e">
        <f t="shared" si="35"/>
        <v>#N/A</v>
      </c>
      <c r="CP30" s="78" t="e">
        <f t="shared" si="94"/>
        <v>#N/A</v>
      </c>
      <c r="CQ30" s="96" t="e">
        <f t="shared" si="36"/>
        <v>#N/A</v>
      </c>
      <c r="CR30" s="78" t="e">
        <f t="shared" si="95"/>
        <v>#N/A</v>
      </c>
      <c r="CS30" s="61" t="e">
        <f t="shared" si="96"/>
        <v>#N/A</v>
      </c>
      <c r="CT30" s="61" t="e">
        <f t="shared" si="97"/>
        <v>#N/A</v>
      </c>
      <c r="CU30" s="61" t="e">
        <f>NA()</f>
        <v>#N/A</v>
      </c>
      <c r="CV30" s="104" t="e">
        <f t="shared" si="98"/>
        <v>#N/A</v>
      </c>
      <c r="CW30" s="105">
        <f t="shared" si="99"/>
        <v>-1.5253400203638667</v>
      </c>
      <c r="CX30" s="105">
        <f t="shared" si="100"/>
        <v>-0.57955930833798519</v>
      </c>
      <c r="CY30" s="105">
        <f t="shared" si="101"/>
        <v>3.9956809069695544E-2</v>
      </c>
      <c r="CZ30" s="123">
        <f t="shared" si="102"/>
        <v>-0.79827728449633573</v>
      </c>
      <c r="DA30" s="81">
        <f t="shared" si="103"/>
        <v>1.0109055827667792</v>
      </c>
      <c r="DB30" s="9">
        <f t="shared" si="104"/>
        <v>793205.89911202947</v>
      </c>
      <c r="DD30" s="1" t="e">
        <f t="shared" si="105"/>
        <v>#N/A</v>
      </c>
      <c r="DE30" s="126" t="e">
        <f t="shared" si="106"/>
        <v>#N/A</v>
      </c>
      <c r="DF30" s="61">
        <v>1967</v>
      </c>
      <c r="DG30" s="26">
        <v>7.6142131979695434E-3</v>
      </c>
      <c r="DH30" s="26">
        <v>0.29512169725367693</v>
      </c>
      <c r="DI30" s="26">
        <v>0.6060236886632826</v>
      </c>
      <c r="DJ30" s="26">
        <v>8.8702329819081091E-2</v>
      </c>
      <c r="DK30" s="26">
        <v>2.5380710659898475E-3</v>
      </c>
      <c r="DL30" t="e">
        <f>NA()</f>
        <v>#N/A</v>
      </c>
      <c r="DM30" t="e">
        <f>NA()</f>
        <v>#N/A</v>
      </c>
      <c r="DN30" t="e">
        <f>NA()</f>
        <v>#N/A</v>
      </c>
      <c r="DO30" s="61" t="e">
        <f t="shared" si="107"/>
        <v>#N/A</v>
      </c>
      <c r="DP30" s="61" t="e">
        <f t="shared" si="108"/>
        <v>#N/A</v>
      </c>
      <c r="DQ30" s="61" t="e">
        <f t="shared" si="109"/>
        <v>#N/A</v>
      </c>
      <c r="DR30" s="61" t="e">
        <f>NA()</f>
        <v>#N/A</v>
      </c>
      <c r="DS30" s="61" t="e">
        <f>NA()</f>
        <v>#N/A</v>
      </c>
      <c r="DT30" s="113" t="e">
        <f t="shared" si="39"/>
        <v>#N/A</v>
      </c>
      <c r="DU30" s="76" t="e">
        <f t="shared" si="40"/>
        <v>#N/A</v>
      </c>
      <c r="DV30" s="72" t="e">
        <f t="shared" si="110"/>
        <v>#N/A</v>
      </c>
      <c r="DW30" s="201" t="e">
        <f t="shared" si="111"/>
        <v>#N/A</v>
      </c>
      <c r="DX30" s="72" t="e">
        <f t="shared" si="112"/>
        <v>#N/A</v>
      </c>
      <c r="DY30" s="72" t="e">
        <f t="shared" si="113"/>
        <v>#N/A</v>
      </c>
      <c r="DZ30" s="72" t="e">
        <f t="shared" si="114"/>
        <v>#N/A</v>
      </c>
      <c r="EA30" s="72" t="e">
        <f t="shared" si="115"/>
        <v>#N/A</v>
      </c>
      <c r="EB30" s="72" t="e">
        <f t="shared" si="116"/>
        <v>#N/A</v>
      </c>
      <c r="EC30" s="72" t="e">
        <f t="shared" si="117"/>
        <v>#N/A</v>
      </c>
      <c r="ED30" s="72" t="e">
        <f t="shared" si="118"/>
        <v>#N/A</v>
      </c>
      <c r="EE30" s="72"/>
      <c r="EF30">
        <v>1967</v>
      </c>
      <c r="EG30" s="72" t="e">
        <f t="shared" si="119"/>
        <v>#N/A</v>
      </c>
      <c r="EH30" t="e">
        <f>NA()</f>
        <v>#N/A</v>
      </c>
      <c r="EI30" t="e">
        <f>NA()</f>
        <v>#N/A</v>
      </c>
      <c r="EJ30" t="e">
        <f>NA()</f>
        <v>#N/A</v>
      </c>
      <c r="EK30" t="e">
        <f>NA()</f>
        <v>#N/A</v>
      </c>
      <c r="EL30" t="e">
        <f>NA()</f>
        <v>#N/A</v>
      </c>
      <c r="EM30" t="e">
        <f>NA()</f>
        <v>#N/A</v>
      </c>
      <c r="EN30" s="199" t="e">
        <f>NA()</f>
        <v>#N/A</v>
      </c>
      <c r="EO30" t="e">
        <f>NA()</f>
        <v>#N/A</v>
      </c>
      <c r="EP30" t="e">
        <f>NA()</f>
        <v>#N/A</v>
      </c>
      <c r="EQ30" t="e">
        <f>NA()</f>
        <v>#N/A</v>
      </c>
      <c r="ER30" s="180" t="e">
        <f>NA()</f>
        <v>#N/A</v>
      </c>
      <c r="ES30" t="e">
        <f>NA()</f>
        <v>#N/A</v>
      </c>
      <c r="ET30" t="e">
        <f>NA()</f>
        <v>#N/A</v>
      </c>
      <c r="EU30" t="e">
        <f>NA()</f>
        <v>#N/A</v>
      </c>
      <c r="EV30" t="e">
        <f>NA()</f>
        <v>#N/A</v>
      </c>
      <c r="EW30" s="61" t="e">
        <f t="shared" si="120"/>
        <v>#N/A</v>
      </c>
      <c r="EX30" s="9" t="e">
        <f t="shared" si="46"/>
        <v>#N/A</v>
      </c>
      <c r="EY30" s="9" t="e">
        <f t="shared" si="47"/>
        <v>#N/A</v>
      </c>
      <c r="EZ30" s="9" t="e">
        <f t="shared" si="48"/>
        <v>#N/A</v>
      </c>
      <c r="FA30" s="72" t="e">
        <f t="shared" si="49"/>
        <v>#N/A</v>
      </c>
      <c r="FB30">
        <v>1967</v>
      </c>
      <c r="FC30" s="116">
        <f t="shared" si="121"/>
        <v>329403.54936649889</v>
      </c>
      <c r="FD30" s="116">
        <f t="shared" si="122"/>
        <v>866844.98018714518</v>
      </c>
      <c r="FE30" s="116">
        <f t="shared" si="159"/>
        <v>492491.48035961424</v>
      </c>
      <c r="FF30" s="116">
        <f t="shared" si="124"/>
        <v>768998.80442089273</v>
      </c>
      <c r="FG30" s="5">
        <f t="shared" ref="FG15:FG45" si="173">FD30-FF30</f>
        <v>97846.175766252447</v>
      </c>
      <c r="FH30" s="5">
        <f t="shared" si="155"/>
        <v>61115.71738288342</v>
      </c>
      <c r="FI30" s="155">
        <f t="shared" si="126"/>
        <v>0.11287620970606325</v>
      </c>
      <c r="FJ30" s="117">
        <f t="shared" si="127"/>
        <v>11.287620970606325</v>
      </c>
      <c r="FK30" s="61">
        <f t="shared" si="50"/>
        <v>6449.3848741624206</v>
      </c>
      <c r="FL30" s="61">
        <f t="shared" si="142"/>
        <v>134.40738878213125</v>
      </c>
      <c r="FM30" s="92">
        <f t="shared" si="128"/>
        <v>15.171396602216223</v>
      </c>
      <c r="FN30" s="72">
        <f t="shared" si="129"/>
        <v>0.11287620970606325</v>
      </c>
      <c r="FO30" s="179">
        <f t="shared" si="51"/>
        <v>0.50571322007387409</v>
      </c>
      <c r="FP30" s="92">
        <f t="shared" si="160"/>
        <v>12.927695449242234</v>
      </c>
      <c r="FQ30" s="1">
        <f t="shared" si="143"/>
        <v>-6.6699249403536125E-3</v>
      </c>
      <c r="FR30" s="26">
        <f t="shared" si="130"/>
        <v>1.0237165002168582</v>
      </c>
      <c r="FS30">
        <f t="shared" si="52"/>
        <v>1967</v>
      </c>
      <c r="FT30" s="5" t="e">
        <f t="shared" si="53"/>
        <v>#N/A</v>
      </c>
      <c r="FU30" s="213" t="e">
        <f t="shared" si="54"/>
        <v>#N/A</v>
      </c>
      <c r="FV30" s="213" t="e">
        <f t="shared" si="131"/>
        <v>#N/A</v>
      </c>
      <c r="FW30" s="5" t="e">
        <f t="shared" si="132"/>
        <v>#N/A</v>
      </c>
      <c r="FX30" t="e">
        <f t="shared" si="133"/>
        <v>#N/A</v>
      </c>
      <c r="FY30" t="e">
        <f t="shared" si="55"/>
        <v>#N/A</v>
      </c>
      <c r="FZ30" t="e">
        <f t="shared" si="134"/>
        <v>#N/A</v>
      </c>
      <c r="GA30" t="e">
        <f t="shared" si="56"/>
        <v>#N/A</v>
      </c>
      <c r="GB30" s="61" t="e">
        <f t="shared" si="135"/>
        <v>#N/A</v>
      </c>
      <c r="GC30" s="61" t="e">
        <f t="shared" si="57"/>
        <v>#N/A</v>
      </c>
      <c r="GD30" s="61" t="e">
        <f>NA()</f>
        <v>#N/A</v>
      </c>
      <c r="GE30" s="61" t="e">
        <f t="shared" si="136"/>
        <v>#N/A</v>
      </c>
      <c r="GF30" s="61" t="e">
        <f t="shared" si="137"/>
        <v>#N/A</v>
      </c>
      <c r="GG30" s="61" t="e">
        <f>NA()</f>
        <v>#N/A</v>
      </c>
      <c r="GH30" s="6" t="e">
        <f t="shared" si="138"/>
        <v>#N/A</v>
      </c>
      <c r="GI30" t="e">
        <f t="shared" si="58"/>
        <v>#N/A</v>
      </c>
      <c r="GJ30" s="26" t="e">
        <f t="shared" si="139"/>
        <v>#N/A</v>
      </c>
      <c r="GK30" t="e">
        <f t="shared" si="59"/>
        <v>#N/A</v>
      </c>
      <c r="GL30" s="232">
        <f t="shared" si="140"/>
        <v>1.0237165002168582</v>
      </c>
      <c r="GN30">
        <v>48</v>
      </c>
      <c r="GO30">
        <v>45</v>
      </c>
      <c r="GP30" s="46">
        <v>0</v>
      </c>
      <c r="GS30" s="167"/>
      <c r="GT30" s="46"/>
      <c r="GY30">
        <v>1967</v>
      </c>
      <c r="GZ30" s="112">
        <f t="shared" si="60"/>
        <v>1.0109055827667792</v>
      </c>
      <c r="HA30" s="26" t="e">
        <f t="shared" si="61"/>
        <v>#N/A</v>
      </c>
      <c r="HB30" s="26" t="e">
        <f t="shared" si="62"/>
        <v>#N/A</v>
      </c>
    </row>
    <row r="31" spans="1:210" x14ac:dyDescent="0.35">
      <c r="A31">
        <v>1968</v>
      </c>
      <c r="D31" s="80">
        <f>'SR + catch data Murdoch_age var'!C20</f>
        <v>670328</v>
      </c>
      <c r="E31" s="80">
        <f>'SR + catch data Murdoch_age var'!E20</f>
        <v>1265058.668922991</v>
      </c>
      <c r="F31" s="231">
        <f t="shared" si="63"/>
        <v>0.63510663384920163</v>
      </c>
      <c r="G31" s="80">
        <f>'SR + catch data Murdoch_age var'!D20</f>
        <v>1153257</v>
      </c>
      <c r="H31" s="80">
        <f>'Orig data'!Q22</f>
        <v>1153257</v>
      </c>
      <c r="I31" s="80">
        <f t="shared" si="64"/>
        <v>482929</v>
      </c>
      <c r="J31" s="150">
        <f t="shared" si="65"/>
        <v>0.41875228158164224</v>
      </c>
      <c r="K31" s="83">
        <f>'SR + catch data Murdoch_age var'!CM20</f>
        <v>1.0931715502984576</v>
      </c>
      <c r="L31" s="83">
        <f>'SR + catch data Murdoch_age var'!CN20</f>
        <v>1.1596483390854475</v>
      </c>
      <c r="M31" s="84">
        <f>'SR + catch data Murdoch_age var'!CO20</f>
        <v>1435164.4962522683</v>
      </c>
      <c r="N31" s="81">
        <f t="shared" si="66"/>
        <v>-0.12616097447729424</v>
      </c>
      <c r="O31" s="82">
        <f t="shared" si="67"/>
        <v>1968</v>
      </c>
      <c r="P31" s="81">
        <f t="shared" si="68"/>
        <v>0.10741516534518507</v>
      </c>
      <c r="Q31" s="81">
        <f t="shared" si="68"/>
        <v>0.75930233821489568</v>
      </c>
      <c r="R31" s="81">
        <f t="shared" si="68"/>
        <v>0.13183604264117066</v>
      </c>
      <c r="S31" s="85">
        <f t="shared" si="68"/>
        <v>1.4464537987485602E-3</v>
      </c>
      <c r="T31" s="80">
        <f t="shared" si="144"/>
        <v>123877.2913404921</v>
      </c>
      <c r="U31" s="80">
        <f t="shared" si="145"/>
        <v>875670.736662696</v>
      </c>
      <c r="V31" s="80">
        <f t="shared" si="146"/>
        <v>152040.83902822854</v>
      </c>
      <c r="W31" s="80">
        <f t="shared" si="147"/>
        <v>1668.1329685833684</v>
      </c>
      <c r="X31" s="86">
        <f t="shared" si="73"/>
        <v>1968</v>
      </c>
      <c r="Y31" s="79">
        <f t="shared" si="149"/>
        <v>71017.15087511875</v>
      </c>
      <c r="Z31" s="79">
        <f t="shared" si="152"/>
        <v>749964.30744333786</v>
      </c>
      <c r="AA31" s="79">
        <f t="shared" si="156"/>
        <v>58432.768696138111</v>
      </c>
      <c r="AB31" s="79">
        <f t="shared" si="161"/>
        <v>551.51379596589845</v>
      </c>
      <c r="AC31" s="80">
        <f t="shared" si="78"/>
        <v>879965.74081056064</v>
      </c>
      <c r="AD31" s="84">
        <f t="shared" si="79"/>
        <v>273291.25918943936</v>
      </c>
      <c r="AE31" s="80">
        <f t="shared" si="80"/>
        <v>482929</v>
      </c>
      <c r="AF31" s="72">
        <f t="shared" si="81"/>
        <v>0.54880431998995871</v>
      </c>
      <c r="AG31" s="26">
        <f t="shared" si="82"/>
        <v>0.13005203840831647</v>
      </c>
      <c r="AH31" s="61">
        <f t="shared" si="14"/>
        <v>1968</v>
      </c>
      <c r="AI31" s="26">
        <f t="shared" si="15"/>
        <v>0.54880431998995871</v>
      </c>
      <c r="AJ31" s="75">
        <f t="shared" si="150"/>
        <v>171418.74067044241</v>
      </c>
      <c r="AK31" s="75">
        <f t="shared" si="153"/>
        <v>1075863.3376091137</v>
      </c>
      <c r="AL31" s="75">
        <f t="shared" si="157"/>
        <v>42181.073794319287</v>
      </c>
      <c r="AM31" s="75">
        <f t="shared" si="162"/>
        <v>299.40344444657137</v>
      </c>
      <c r="AN31" s="79">
        <f t="shared" si="84"/>
        <v>1289762.5555183219</v>
      </c>
      <c r="AO31" s="80">
        <f t="shared" si="85"/>
        <v>707827.262229744</v>
      </c>
      <c r="AP31" s="80">
        <f t="shared" si="86"/>
        <v>581935.29328857793</v>
      </c>
      <c r="AQ31" s="81">
        <v>-0.47782904726060038</v>
      </c>
      <c r="AR31" s="81">
        <v>-1.2467264190991543</v>
      </c>
      <c r="AS31" s="81">
        <f>'SR + catch data Murdoch_age var'!N20</f>
        <v>-0.44216979492965608</v>
      </c>
      <c r="AT31" s="121">
        <f>'SR + catch data Murdoch_age var'!BR20</f>
        <v>-0.8084595891266686</v>
      </c>
      <c r="AU31" s="122">
        <f t="shared" si="87"/>
        <v>1.0931715502984578</v>
      </c>
      <c r="AV31" s="122">
        <f t="shared" si="88"/>
        <v>0.76126760832649609</v>
      </c>
      <c r="AW31" s="80">
        <f t="shared" si="17"/>
        <v>1147375.4110010578</v>
      </c>
      <c r="AX31" s="80"/>
      <c r="AY31" s="141" t="e">
        <f t="shared" si="89"/>
        <v>#N/A</v>
      </c>
      <c r="AZ31" s="141"/>
      <c r="BA31" s="84" t="e">
        <f t="shared" si="90"/>
        <v>#N/A</v>
      </c>
      <c r="BB31" s="101">
        <v>1968</v>
      </c>
      <c r="BC31" s="72">
        <v>3.5750695088044487E-2</v>
      </c>
      <c r="BD31" s="72">
        <v>0.8358758109360519</v>
      </c>
      <c r="BE31" s="72">
        <v>0.11956904541241889</v>
      </c>
      <c r="BF31" s="72">
        <v>8.3410565338276187E-3</v>
      </c>
      <c r="BG31" s="72">
        <v>4.6339202965708991E-4</v>
      </c>
      <c r="BH31" s="78" t="e">
        <f>-NA()</f>
        <v>#N/A</v>
      </c>
      <c r="BI31" s="78" t="e">
        <f>-NA()</f>
        <v>#N/A</v>
      </c>
      <c r="BJ31" s="78" t="e">
        <f>-NA()</f>
        <v>#N/A</v>
      </c>
      <c r="BK31" s="78" t="e">
        <f>-NA()</f>
        <v>#N/A</v>
      </c>
      <c r="BL31" s="78" t="e">
        <f>-NA()</f>
        <v>#N/A</v>
      </c>
      <c r="BM31" s="56" t="e">
        <f>-NA()</f>
        <v>#N/A</v>
      </c>
      <c r="BN31" s="78" t="e">
        <f>NA()</f>
        <v>#N/A</v>
      </c>
      <c r="BO31" s="78" t="e">
        <f t="shared" si="91"/>
        <v>#N/A</v>
      </c>
      <c r="BP31" s="78" t="e">
        <v>#N/A</v>
      </c>
      <c r="BQ31" s="78" t="e">
        <f t="shared" si="18"/>
        <v>#N/A</v>
      </c>
      <c r="BR31" s="199" t="e">
        <f>-NA()</f>
        <v>#N/A</v>
      </c>
      <c r="BS31" s="78" t="e">
        <f t="shared" si="19"/>
        <v>#N/A</v>
      </c>
      <c r="BT31" s="78" t="e">
        <f t="shared" si="20"/>
        <v>#N/A</v>
      </c>
      <c r="BU31" s="78" t="e">
        <f t="shared" si="21"/>
        <v>#N/A</v>
      </c>
      <c r="BV31" s="78" t="e">
        <f t="shared" si="92"/>
        <v>#N/A</v>
      </c>
      <c r="BW31" s="78" t="e">
        <f t="shared" si="22"/>
        <v>#N/A</v>
      </c>
      <c r="BX31" s="78" t="e">
        <f t="shared" si="23"/>
        <v>#N/A</v>
      </c>
      <c r="BY31" s="78" t="e">
        <f t="shared" ref="BY31:CE31" si="174">$BF$10+SUMPRODUCT($BH$10:$BI$10,BW31:BX31)</f>
        <v>#N/A</v>
      </c>
      <c r="BZ31" s="78" t="e">
        <f t="shared" si="174"/>
        <v>#N/A</v>
      </c>
      <c r="CA31" s="78">
        <v>1968</v>
      </c>
      <c r="CB31" s="78" t="e">
        <f t="shared" si="25"/>
        <v>#N/A</v>
      </c>
      <c r="CC31" s="78" t="e">
        <f t="shared" si="26"/>
        <v>#N/A</v>
      </c>
      <c r="CD31" s="78" t="e">
        <f t="shared" si="174"/>
        <v>#N/A</v>
      </c>
      <c r="CE31" s="78" t="e">
        <f t="shared" si="174"/>
        <v>#N/A</v>
      </c>
      <c r="CF31" s="78" t="e">
        <f t="shared" si="27"/>
        <v>#N/A</v>
      </c>
      <c r="CG31" s="78" t="e">
        <f t="shared" si="28"/>
        <v>#N/A</v>
      </c>
      <c r="CH31" s="78" t="e">
        <f t="shared" si="29"/>
        <v>#N/A</v>
      </c>
      <c r="CI31" s="199" t="e">
        <f t="shared" si="30"/>
        <v>#N/A</v>
      </c>
      <c r="CJ31" s="78" t="e">
        <f t="shared" si="31"/>
        <v>#N/A</v>
      </c>
      <c r="CK31" s="78" t="e">
        <f t="shared" si="32"/>
        <v>#N/A</v>
      </c>
      <c r="CL31" s="78" t="e">
        <f t="shared" si="33"/>
        <v>#N/A</v>
      </c>
      <c r="CM31" s="78"/>
      <c r="CN31" s="180" t="e">
        <f t="shared" si="34"/>
        <v>#N/A</v>
      </c>
      <c r="CO31" s="78" t="e">
        <f t="shared" si="35"/>
        <v>#N/A</v>
      </c>
      <c r="CP31" s="78" t="e">
        <f t="shared" si="94"/>
        <v>#N/A</v>
      </c>
      <c r="CQ31" s="96" t="e">
        <f t="shared" si="36"/>
        <v>#N/A</v>
      </c>
      <c r="CR31" s="78" t="e">
        <f t="shared" si="95"/>
        <v>#N/A</v>
      </c>
      <c r="CS31" s="61" t="e">
        <f t="shared" si="96"/>
        <v>#N/A</v>
      </c>
      <c r="CT31" s="61" t="e">
        <f t="shared" si="97"/>
        <v>#N/A</v>
      </c>
      <c r="CU31" s="61" t="e">
        <f>NA()</f>
        <v>#N/A</v>
      </c>
      <c r="CV31" s="104" t="e">
        <f t="shared" si="98"/>
        <v>#N/A</v>
      </c>
      <c r="CW31" s="105">
        <f t="shared" si="99"/>
        <v>-0.47782904726060038</v>
      </c>
      <c r="CX31" s="105">
        <f t="shared" si="100"/>
        <v>-1.2467264190991543</v>
      </c>
      <c r="CY31" s="105">
        <f t="shared" si="101"/>
        <v>-0.44216979492965608</v>
      </c>
      <c r="CZ31" s="123">
        <f t="shared" si="102"/>
        <v>-0.8084595891266686</v>
      </c>
      <c r="DA31" s="81">
        <f t="shared" si="103"/>
        <v>1.0931715502984578</v>
      </c>
      <c r="DB31" s="9">
        <f t="shared" si="104"/>
        <v>1147375.4110010578</v>
      </c>
      <c r="DD31" s="1" t="e">
        <f t="shared" si="105"/>
        <v>#N/A</v>
      </c>
      <c r="DE31" s="126" t="e">
        <f t="shared" si="106"/>
        <v>#N/A</v>
      </c>
      <c r="DF31" s="61">
        <v>1968</v>
      </c>
      <c r="DG31" s="26">
        <v>7.6142131979695434E-3</v>
      </c>
      <c r="DH31" s="26">
        <v>0.29512169725367693</v>
      </c>
      <c r="DI31" s="26">
        <v>0.6060236886632826</v>
      </c>
      <c r="DJ31" s="26">
        <v>8.8702329819081091E-2</v>
      </c>
      <c r="DK31" s="26">
        <v>2.5380710659898475E-3</v>
      </c>
      <c r="DL31" t="e">
        <f>NA()</f>
        <v>#N/A</v>
      </c>
      <c r="DM31" t="e">
        <f>NA()</f>
        <v>#N/A</v>
      </c>
      <c r="DN31" t="e">
        <f>NA()</f>
        <v>#N/A</v>
      </c>
      <c r="DO31" s="61" t="e">
        <f t="shared" si="107"/>
        <v>#N/A</v>
      </c>
      <c r="DP31" s="61" t="e">
        <f t="shared" si="108"/>
        <v>#N/A</v>
      </c>
      <c r="DQ31" s="61" t="e">
        <f t="shared" si="109"/>
        <v>#N/A</v>
      </c>
      <c r="DR31" s="61" t="e">
        <f>NA()</f>
        <v>#N/A</v>
      </c>
      <c r="DS31" s="61" t="e">
        <f>NA()</f>
        <v>#N/A</v>
      </c>
      <c r="DT31" s="113" t="e">
        <f t="shared" si="39"/>
        <v>#N/A</v>
      </c>
      <c r="DU31" s="76" t="e">
        <f t="shared" si="40"/>
        <v>#N/A</v>
      </c>
      <c r="DV31" s="72" t="e">
        <f t="shared" si="110"/>
        <v>#N/A</v>
      </c>
      <c r="DW31" s="201" t="e">
        <f t="shared" si="111"/>
        <v>#N/A</v>
      </c>
      <c r="DX31" s="72" t="e">
        <f t="shared" si="112"/>
        <v>#N/A</v>
      </c>
      <c r="DY31" s="72" t="e">
        <f t="shared" si="113"/>
        <v>#N/A</v>
      </c>
      <c r="DZ31" s="72" t="e">
        <f t="shared" si="114"/>
        <v>#N/A</v>
      </c>
      <c r="EA31" s="72" t="e">
        <f t="shared" si="115"/>
        <v>#N/A</v>
      </c>
      <c r="EB31" s="72" t="e">
        <f t="shared" si="116"/>
        <v>#N/A</v>
      </c>
      <c r="EC31" s="72" t="e">
        <f t="shared" si="117"/>
        <v>#N/A</v>
      </c>
      <c r="ED31" s="72" t="e">
        <f t="shared" si="118"/>
        <v>#N/A</v>
      </c>
      <c r="EE31" s="72"/>
      <c r="EF31">
        <v>1968</v>
      </c>
      <c r="EG31" s="72" t="e">
        <f t="shared" si="119"/>
        <v>#N/A</v>
      </c>
      <c r="EH31" t="e">
        <f>NA()</f>
        <v>#N/A</v>
      </c>
      <c r="EI31" t="e">
        <f>NA()</f>
        <v>#N/A</v>
      </c>
      <c r="EJ31" t="e">
        <f>NA()</f>
        <v>#N/A</v>
      </c>
      <c r="EK31" t="e">
        <f>NA()</f>
        <v>#N/A</v>
      </c>
      <c r="EL31" t="e">
        <f>NA()</f>
        <v>#N/A</v>
      </c>
      <c r="EM31" t="e">
        <f>NA()</f>
        <v>#N/A</v>
      </c>
      <c r="EN31" s="199" t="e">
        <f>NA()</f>
        <v>#N/A</v>
      </c>
      <c r="EO31" t="e">
        <f>NA()</f>
        <v>#N/A</v>
      </c>
      <c r="EP31" t="e">
        <f>NA()</f>
        <v>#N/A</v>
      </c>
      <c r="EQ31" t="e">
        <f>NA()</f>
        <v>#N/A</v>
      </c>
      <c r="ER31" s="180" t="e">
        <f>NA()</f>
        <v>#N/A</v>
      </c>
      <c r="ES31" t="e">
        <f>NA()</f>
        <v>#N/A</v>
      </c>
      <c r="ET31" t="e">
        <f>NA()</f>
        <v>#N/A</v>
      </c>
      <c r="EU31" t="e">
        <f>NA()</f>
        <v>#N/A</v>
      </c>
      <c r="EV31" t="e">
        <f>NA()</f>
        <v>#N/A</v>
      </c>
      <c r="EW31" s="61" t="e">
        <f t="shared" si="120"/>
        <v>#N/A</v>
      </c>
      <c r="EX31" s="9" t="e">
        <f t="shared" si="46"/>
        <v>#N/A</v>
      </c>
      <c r="EY31" s="9" t="e">
        <f t="shared" si="47"/>
        <v>#N/A</v>
      </c>
      <c r="EZ31" s="9" t="e">
        <f t="shared" si="48"/>
        <v>#N/A</v>
      </c>
      <c r="FA31" s="72" t="e">
        <f t="shared" si="49"/>
        <v>#N/A</v>
      </c>
      <c r="FB31">
        <v>1968</v>
      </c>
      <c r="FC31" s="116">
        <f t="shared" si="121"/>
        <v>581935.29328857793</v>
      </c>
      <c r="FD31" s="116">
        <f t="shared" si="122"/>
        <v>1463931.257273223</v>
      </c>
      <c r="FE31" s="116">
        <f t="shared" si="159"/>
        <v>1289762.5555183219</v>
      </c>
      <c r="FF31" s="116">
        <f t="shared" si="124"/>
        <v>1301656.9857139261</v>
      </c>
      <c r="FG31" s="5">
        <f t="shared" si="173"/>
        <v>162274.27155929687</v>
      </c>
      <c r="FH31" s="5">
        <f t="shared" si="155"/>
        <v>135292.74843559379</v>
      </c>
      <c r="FI31" s="155">
        <f t="shared" si="126"/>
        <v>0.11084828659342613</v>
      </c>
      <c r="FJ31" s="117">
        <f t="shared" si="127"/>
        <v>11.084828659342612</v>
      </c>
      <c r="FK31" s="61">
        <f t="shared" si="50"/>
        <v>6326.4319438220991</v>
      </c>
      <c r="FL31" s="61">
        <f t="shared" si="142"/>
        <v>231.39919472346244</v>
      </c>
      <c r="FM31" s="92">
        <f t="shared" si="128"/>
        <v>25.650204254194389</v>
      </c>
      <c r="FN31" s="72">
        <f t="shared" si="129"/>
        <v>0.11084828659342613</v>
      </c>
      <c r="FO31" s="179">
        <f t="shared" si="51"/>
        <v>0.85500680847314625</v>
      </c>
      <c r="FP31" s="92">
        <f t="shared" si="160"/>
        <v>16.52701785817148</v>
      </c>
      <c r="FQ31" s="1">
        <f t="shared" si="143"/>
        <v>-1.9064287949831702E-2</v>
      </c>
      <c r="FR31" s="26">
        <f t="shared" si="130"/>
        <v>1.0042000740777302</v>
      </c>
      <c r="FS31">
        <f t="shared" si="52"/>
        <v>1968</v>
      </c>
      <c r="FT31" s="5" t="e">
        <f t="shared" si="53"/>
        <v>#N/A</v>
      </c>
      <c r="FU31" s="213" t="e">
        <f t="shared" si="54"/>
        <v>#N/A</v>
      </c>
      <c r="FV31" s="213" t="e">
        <f t="shared" si="131"/>
        <v>#N/A</v>
      </c>
      <c r="FW31" s="5" t="e">
        <f t="shared" si="132"/>
        <v>#N/A</v>
      </c>
      <c r="FX31" t="e">
        <f t="shared" si="133"/>
        <v>#N/A</v>
      </c>
      <c r="FY31" t="e">
        <f t="shared" si="55"/>
        <v>#N/A</v>
      </c>
      <c r="FZ31" t="e">
        <f t="shared" si="134"/>
        <v>#N/A</v>
      </c>
      <c r="GA31" t="e">
        <f t="shared" si="56"/>
        <v>#N/A</v>
      </c>
      <c r="GB31" s="61" t="e">
        <f t="shared" si="135"/>
        <v>#N/A</v>
      </c>
      <c r="GC31" s="61" t="e">
        <f t="shared" si="57"/>
        <v>#N/A</v>
      </c>
      <c r="GD31" s="61" t="e">
        <f>NA()</f>
        <v>#N/A</v>
      </c>
      <c r="GE31" s="61" t="e">
        <f t="shared" si="136"/>
        <v>#N/A</v>
      </c>
      <c r="GF31" s="61" t="e">
        <f t="shared" si="137"/>
        <v>#N/A</v>
      </c>
      <c r="GG31" s="61" t="e">
        <f>NA()</f>
        <v>#N/A</v>
      </c>
      <c r="GH31" s="6" t="e">
        <f t="shared" si="138"/>
        <v>#N/A</v>
      </c>
      <c r="GI31" t="e">
        <f t="shared" si="58"/>
        <v>#N/A</v>
      </c>
      <c r="GJ31" s="26" t="e">
        <f t="shared" si="139"/>
        <v>#N/A</v>
      </c>
      <c r="GK31" t="e">
        <f t="shared" si="59"/>
        <v>#N/A</v>
      </c>
      <c r="GL31" s="232">
        <f t="shared" si="140"/>
        <v>1.0042000740777302</v>
      </c>
      <c r="GN31">
        <v>51</v>
      </c>
      <c r="GO31">
        <v>48</v>
      </c>
      <c r="GP31" s="46">
        <v>1</v>
      </c>
      <c r="GS31" s="167"/>
      <c r="GT31" s="46"/>
      <c r="GY31">
        <v>1968</v>
      </c>
      <c r="GZ31" s="112">
        <f t="shared" si="60"/>
        <v>1.0931715502984578</v>
      </c>
      <c r="HA31" s="26" t="e">
        <f t="shared" si="61"/>
        <v>#N/A</v>
      </c>
      <c r="HB31" s="26" t="e">
        <f t="shared" si="62"/>
        <v>#N/A</v>
      </c>
    </row>
    <row r="32" spans="1:210" ht="15" thickBot="1" x14ac:dyDescent="0.4">
      <c r="A32">
        <v>1969</v>
      </c>
      <c r="D32" s="80">
        <f>'SR + catch data Murdoch_age var'!C21</f>
        <v>309220</v>
      </c>
      <c r="E32" s="80">
        <f>'SR + catch data Murdoch_age var'!E21</f>
        <v>1384571.6850271896</v>
      </c>
      <c r="F32" s="231">
        <f t="shared" si="63"/>
        <v>1.4990931204305671</v>
      </c>
      <c r="G32" s="80">
        <f>'SR + catch data Murdoch_age var'!D21</f>
        <v>578493</v>
      </c>
      <c r="H32" s="80">
        <f>'Orig data'!Q23</f>
        <v>578493</v>
      </c>
      <c r="I32" s="80">
        <f t="shared" si="64"/>
        <v>269273</v>
      </c>
      <c r="J32" s="150">
        <f t="shared" si="65"/>
        <v>0.4654732209378506</v>
      </c>
      <c r="K32" s="83">
        <f>'SR + catch data Murdoch_age var'!CM21</f>
        <v>1.0016932360863324</v>
      </c>
      <c r="L32" s="83">
        <f>'SR + catch data Murdoch_age var'!CN21</f>
        <v>1.1691883997771517</v>
      </c>
      <c r="M32" s="84">
        <f>'SR + catch data Murdoch_age var'!CO21</f>
        <v>722444.12930311391</v>
      </c>
      <c r="N32" s="81">
        <f t="shared" si="66"/>
        <v>0.6505060307927939</v>
      </c>
      <c r="O32" s="82">
        <f t="shared" si="67"/>
        <v>1969</v>
      </c>
      <c r="P32" s="81">
        <f t="shared" si="68"/>
        <v>0.10741516534518507</v>
      </c>
      <c r="Q32" s="81">
        <f t="shared" si="68"/>
        <v>0.75930233821489568</v>
      </c>
      <c r="R32" s="81">
        <f t="shared" si="68"/>
        <v>0.13183604264117066</v>
      </c>
      <c r="S32" s="85">
        <f t="shared" si="68"/>
        <v>1.4464537987485602E-3</v>
      </c>
      <c r="T32" s="80">
        <f t="shared" si="144"/>
        <v>62138.921246032143</v>
      </c>
      <c r="U32" s="80">
        <f t="shared" si="145"/>
        <v>439251.08754094964</v>
      </c>
      <c r="V32" s="80">
        <f t="shared" si="146"/>
        <v>76266.227815618739</v>
      </c>
      <c r="W32" s="80">
        <f t="shared" si="147"/>
        <v>836.76339739945081</v>
      </c>
      <c r="X32" s="86">
        <f t="shared" si="73"/>
        <v>1969</v>
      </c>
      <c r="Y32" s="79">
        <f t="shared" si="149"/>
        <v>72516.374930778169</v>
      </c>
      <c r="Z32" s="79">
        <f t="shared" si="152"/>
        <v>502010.01450355106</v>
      </c>
      <c r="AA32" s="79">
        <f t="shared" si="156"/>
        <v>130214.70031015937</v>
      </c>
      <c r="AB32" s="79">
        <f t="shared" si="161"/>
        <v>641.10161802998743</v>
      </c>
      <c r="AC32" s="80">
        <f t="shared" si="78"/>
        <v>705382.19136251858</v>
      </c>
      <c r="AD32" s="84">
        <f t="shared" si="79"/>
        <v>-126889.19136251858</v>
      </c>
      <c r="AE32" s="80">
        <f t="shared" si="80"/>
        <v>269273</v>
      </c>
      <c r="AF32" s="72">
        <f t="shared" si="81"/>
        <v>0.38174057028555169</v>
      </c>
      <c r="AG32" s="26">
        <f t="shared" si="82"/>
        <v>-8.3732650652298901E-2</v>
      </c>
      <c r="AH32" s="61">
        <f t="shared" si="14"/>
        <v>1969</v>
      </c>
      <c r="AI32" s="26">
        <f t="shared" si="15"/>
        <v>0.38174057028555169</v>
      </c>
      <c r="AJ32" s="75">
        <f t="shared" si="150"/>
        <v>44525.556788044349</v>
      </c>
      <c r="AK32" s="75">
        <f t="shared" si="153"/>
        <v>1211734.3969694329</v>
      </c>
      <c r="AL32" s="75">
        <f t="shared" si="157"/>
        <v>186799.85259437567</v>
      </c>
      <c r="AM32" s="75">
        <f t="shared" si="162"/>
        <v>462.79434062770429</v>
      </c>
      <c r="AN32" s="79">
        <f t="shared" si="84"/>
        <v>1443522.6006924806</v>
      </c>
      <c r="AO32" s="80">
        <f t="shared" si="85"/>
        <v>551051.14080843027</v>
      </c>
      <c r="AP32" s="80">
        <f t="shared" si="86"/>
        <v>892471.4598840503</v>
      </c>
      <c r="AQ32" s="81">
        <v>-0.8735165664819865</v>
      </c>
      <c r="AR32" s="81">
        <v>1.3478123449720623E-2</v>
      </c>
      <c r="AS32" s="81">
        <f>'SR + catch data Murdoch_age var'!N21</f>
        <v>1.2993047488266252</v>
      </c>
      <c r="AT32" s="121">
        <f>'SR + catch data Murdoch_age var'!BR21</f>
        <v>-0.81065089369362886</v>
      </c>
      <c r="AU32" s="122">
        <f t="shared" si="87"/>
        <v>1.0016932360863324</v>
      </c>
      <c r="AV32" s="122">
        <f t="shared" si="88"/>
        <v>0.84858708963777296</v>
      </c>
      <c r="AW32" s="80">
        <f t="shared" si="17"/>
        <v>2993799.2077868078</v>
      </c>
      <c r="AX32" s="80"/>
      <c r="AY32" s="141" t="e">
        <f t="shared" si="89"/>
        <v>#N/A</v>
      </c>
      <c r="AZ32" s="141"/>
      <c r="BA32" s="84" t="e">
        <f t="shared" si="90"/>
        <v>#N/A</v>
      </c>
      <c r="BB32" s="101">
        <v>1969</v>
      </c>
      <c r="BC32" s="72">
        <v>3.5750695088044487E-2</v>
      </c>
      <c r="BD32" s="72">
        <v>0.8358758109360519</v>
      </c>
      <c r="BE32" s="72">
        <v>0.11956904541241889</v>
      </c>
      <c r="BF32" s="72">
        <v>8.3410565338276187E-3</v>
      </c>
      <c r="BG32" s="72">
        <v>4.6339202965708991E-4</v>
      </c>
      <c r="BH32" s="78" t="e">
        <f>-NA()</f>
        <v>#N/A</v>
      </c>
      <c r="BI32" s="78" t="e">
        <f>-NA()</f>
        <v>#N/A</v>
      </c>
      <c r="BJ32" s="78" t="e">
        <f>-NA()</f>
        <v>#N/A</v>
      </c>
      <c r="BK32" s="78" t="e">
        <f>-NA()</f>
        <v>#N/A</v>
      </c>
      <c r="BL32" s="78" t="e">
        <f>-NA()</f>
        <v>#N/A</v>
      </c>
      <c r="BM32" s="56" t="e">
        <f>-NA()</f>
        <v>#N/A</v>
      </c>
      <c r="BN32" s="78" t="e">
        <f>NA()</f>
        <v>#N/A</v>
      </c>
      <c r="BO32" s="78" t="e">
        <f t="shared" si="91"/>
        <v>#N/A</v>
      </c>
      <c r="BP32" s="78" t="e">
        <v>#N/A</v>
      </c>
      <c r="BQ32" s="78" t="e">
        <f t="shared" si="18"/>
        <v>#N/A</v>
      </c>
      <c r="BR32" s="199" t="e">
        <f>-NA()</f>
        <v>#N/A</v>
      </c>
      <c r="BS32" s="78" t="e">
        <f t="shared" si="19"/>
        <v>#N/A</v>
      </c>
      <c r="BT32" s="78" t="e">
        <f t="shared" si="20"/>
        <v>#N/A</v>
      </c>
      <c r="BU32" s="78" t="e">
        <f t="shared" si="21"/>
        <v>#N/A</v>
      </c>
      <c r="BV32" s="78" t="e">
        <f t="shared" si="92"/>
        <v>#N/A</v>
      </c>
      <c r="BW32" s="78" t="e">
        <f t="shared" si="22"/>
        <v>#N/A</v>
      </c>
      <c r="BX32" s="78" t="e">
        <f t="shared" si="23"/>
        <v>#N/A</v>
      </c>
      <c r="BY32" s="78" t="e">
        <f t="shared" ref="BY32:CE32" si="175">$BF$10+SUMPRODUCT($BH$10:$BI$10,BW32:BX32)</f>
        <v>#N/A</v>
      </c>
      <c r="BZ32" s="78" t="e">
        <f t="shared" si="175"/>
        <v>#N/A</v>
      </c>
      <c r="CA32" s="78">
        <v>1969</v>
      </c>
      <c r="CB32" s="78" t="e">
        <f t="shared" si="25"/>
        <v>#N/A</v>
      </c>
      <c r="CC32" s="78" t="e">
        <f t="shared" si="26"/>
        <v>#N/A</v>
      </c>
      <c r="CD32" s="78" t="e">
        <f t="shared" si="175"/>
        <v>#N/A</v>
      </c>
      <c r="CE32" s="78" t="e">
        <f t="shared" si="175"/>
        <v>#N/A</v>
      </c>
      <c r="CF32" s="78" t="e">
        <f t="shared" si="27"/>
        <v>#N/A</v>
      </c>
      <c r="CG32" s="78" t="e">
        <f t="shared" si="28"/>
        <v>#N/A</v>
      </c>
      <c r="CH32" s="78" t="e">
        <f t="shared" si="29"/>
        <v>#N/A</v>
      </c>
      <c r="CI32" s="199" t="e">
        <f t="shared" si="30"/>
        <v>#N/A</v>
      </c>
      <c r="CJ32" s="78" t="e">
        <f t="shared" si="31"/>
        <v>#N/A</v>
      </c>
      <c r="CK32" s="78" t="e">
        <f t="shared" si="32"/>
        <v>#N/A</v>
      </c>
      <c r="CL32" s="78" t="e">
        <f t="shared" si="33"/>
        <v>#N/A</v>
      </c>
      <c r="CM32" s="78"/>
      <c r="CN32" s="180" t="e">
        <f t="shared" si="34"/>
        <v>#N/A</v>
      </c>
      <c r="CO32" s="78" t="e">
        <f t="shared" si="35"/>
        <v>#N/A</v>
      </c>
      <c r="CP32" s="78" t="e">
        <f t="shared" si="94"/>
        <v>#N/A</v>
      </c>
      <c r="CQ32" s="96" t="e">
        <f t="shared" si="36"/>
        <v>#N/A</v>
      </c>
      <c r="CR32" s="78" t="e">
        <f t="shared" si="95"/>
        <v>#N/A</v>
      </c>
      <c r="CS32" s="61" t="e">
        <f t="shared" si="96"/>
        <v>#N/A</v>
      </c>
      <c r="CT32" s="61" t="e">
        <f t="shared" si="97"/>
        <v>#N/A</v>
      </c>
      <c r="CU32" s="61" t="e">
        <f>NA()</f>
        <v>#N/A</v>
      </c>
      <c r="CV32" s="104" t="e">
        <f t="shared" si="98"/>
        <v>#N/A</v>
      </c>
      <c r="CW32" s="105">
        <f t="shared" si="99"/>
        <v>-0.8735165664819865</v>
      </c>
      <c r="CX32" s="105">
        <f t="shared" si="100"/>
        <v>1.3478123449720623E-2</v>
      </c>
      <c r="CY32" s="105">
        <f t="shared" si="101"/>
        <v>1.2993047488266252</v>
      </c>
      <c r="CZ32" s="123">
        <f t="shared" si="102"/>
        <v>-0.81065089369362886</v>
      </c>
      <c r="DA32" s="81">
        <f t="shared" si="103"/>
        <v>1.0016932360863324</v>
      </c>
      <c r="DB32" s="9">
        <f t="shared" si="104"/>
        <v>2993799.2077868078</v>
      </c>
      <c r="DD32" s="1" t="e">
        <f t="shared" si="105"/>
        <v>#N/A</v>
      </c>
      <c r="DE32" s="126" t="e">
        <f t="shared" si="106"/>
        <v>#N/A</v>
      </c>
      <c r="DF32" s="61">
        <v>1969</v>
      </c>
      <c r="DG32" s="26">
        <v>7.6142131979695434E-3</v>
      </c>
      <c r="DH32" s="26">
        <v>0.29512169725367693</v>
      </c>
      <c r="DI32" s="26">
        <v>0.6060236886632826</v>
      </c>
      <c r="DJ32" s="26">
        <v>8.8702329819081091E-2</v>
      </c>
      <c r="DK32" s="26">
        <v>2.5380710659898475E-3</v>
      </c>
      <c r="DL32" t="e">
        <f>NA()</f>
        <v>#N/A</v>
      </c>
      <c r="DM32" t="e">
        <f>NA()</f>
        <v>#N/A</v>
      </c>
      <c r="DN32" t="e">
        <f>NA()</f>
        <v>#N/A</v>
      </c>
      <c r="DO32" s="61" t="e">
        <f t="shared" si="107"/>
        <v>#N/A</v>
      </c>
      <c r="DP32" s="61" t="e">
        <f t="shared" si="108"/>
        <v>#N/A</v>
      </c>
      <c r="DQ32" s="61" t="e">
        <f t="shared" si="109"/>
        <v>#N/A</v>
      </c>
      <c r="DR32" s="61" t="e">
        <f>NA()</f>
        <v>#N/A</v>
      </c>
      <c r="DS32" s="61" t="e">
        <f>NA()</f>
        <v>#N/A</v>
      </c>
      <c r="DT32" s="113" t="e">
        <f t="shared" si="39"/>
        <v>#N/A</v>
      </c>
      <c r="DU32" s="76" t="e">
        <f t="shared" si="40"/>
        <v>#N/A</v>
      </c>
      <c r="DV32" s="72" t="e">
        <f t="shared" si="110"/>
        <v>#N/A</v>
      </c>
      <c r="DW32" s="201" t="e">
        <f t="shared" si="111"/>
        <v>#N/A</v>
      </c>
      <c r="DX32" s="72" t="e">
        <f t="shared" si="112"/>
        <v>#N/A</v>
      </c>
      <c r="DY32" s="72" t="e">
        <f t="shared" si="113"/>
        <v>#N/A</v>
      </c>
      <c r="DZ32" s="72" t="e">
        <f t="shared" si="114"/>
        <v>#N/A</v>
      </c>
      <c r="EA32" s="72" t="e">
        <f t="shared" si="115"/>
        <v>#N/A</v>
      </c>
      <c r="EB32" s="72" t="e">
        <f t="shared" si="116"/>
        <v>#N/A</v>
      </c>
      <c r="EC32" s="72" t="e">
        <f t="shared" si="117"/>
        <v>#N/A</v>
      </c>
      <c r="ED32" s="72" t="e">
        <f t="shared" si="118"/>
        <v>#N/A</v>
      </c>
      <c r="EE32" s="72"/>
      <c r="EF32">
        <v>1969</v>
      </c>
      <c r="EG32" s="72" t="e">
        <f t="shared" si="119"/>
        <v>#N/A</v>
      </c>
      <c r="EH32" t="e">
        <f>NA()</f>
        <v>#N/A</v>
      </c>
      <c r="EI32" t="e">
        <f>NA()</f>
        <v>#N/A</v>
      </c>
      <c r="EJ32" t="e">
        <f>NA()</f>
        <v>#N/A</v>
      </c>
      <c r="EK32" t="e">
        <f>NA()</f>
        <v>#N/A</v>
      </c>
      <c r="EL32" t="e">
        <f>NA()</f>
        <v>#N/A</v>
      </c>
      <c r="EM32" t="e">
        <f>NA()</f>
        <v>#N/A</v>
      </c>
      <c r="EN32" s="199" t="e">
        <f>NA()</f>
        <v>#N/A</v>
      </c>
      <c r="EO32" t="e">
        <f>NA()</f>
        <v>#N/A</v>
      </c>
      <c r="EP32" t="e">
        <f>NA()</f>
        <v>#N/A</v>
      </c>
      <c r="EQ32" t="e">
        <f>NA()</f>
        <v>#N/A</v>
      </c>
      <c r="ER32" s="180" t="e">
        <f>NA()</f>
        <v>#N/A</v>
      </c>
      <c r="ES32" t="e">
        <f>NA()</f>
        <v>#N/A</v>
      </c>
      <c r="ET32" t="e">
        <f>NA()</f>
        <v>#N/A</v>
      </c>
      <c r="EU32" t="e">
        <f>NA()</f>
        <v>#N/A</v>
      </c>
      <c r="EV32" t="e">
        <f>NA()</f>
        <v>#N/A</v>
      </c>
      <c r="EW32" s="61" t="e">
        <f t="shared" si="120"/>
        <v>#N/A</v>
      </c>
      <c r="EX32" s="9" t="e">
        <f t="shared" si="46"/>
        <v>#N/A</v>
      </c>
      <c r="EY32" s="9" t="e">
        <f t="shared" si="47"/>
        <v>#N/A</v>
      </c>
      <c r="EZ32" s="9" t="e">
        <f t="shared" si="48"/>
        <v>#N/A</v>
      </c>
      <c r="FA32" s="72" t="e">
        <f t="shared" si="49"/>
        <v>#N/A</v>
      </c>
      <c r="FB32">
        <v>1969</v>
      </c>
      <c r="FC32" s="116">
        <f t="shared" si="121"/>
        <v>892471.4598840503</v>
      </c>
      <c r="FD32" s="116">
        <f t="shared" si="122"/>
        <v>1755990.6980449294</v>
      </c>
      <c r="FE32" s="116">
        <f t="shared" si="159"/>
        <v>1443522.6006924806</v>
      </c>
      <c r="FF32" s="116">
        <f t="shared" si="124"/>
        <v>1562109.5573216344</v>
      </c>
      <c r="FG32" s="5">
        <f t="shared" si="173"/>
        <v>193881.14072329504</v>
      </c>
      <c r="FH32" s="5">
        <f t="shared" si="155"/>
        <v>130822.32494116633</v>
      </c>
      <c r="FI32" s="155">
        <f t="shared" si="126"/>
        <v>0.11041125726870697</v>
      </c>
      <c r="FJ32" s="117">
        <f t="shared" si="127"/>
        <v>11.041125726870698</v>
      </c>
      <c r="FK32" s="61">
        <f t="shared" si="50"/>
        <v>6299.9715964294992</v>
      </c>
      <c r="FL32" s="61">
        <f t="shared" si="142"/>
        <v>278.72993888419035</v>
      </c>
      <c r="FM32" s="92">
        <f t="shared" si="128"/>
        <v>30.774922990633311</v>
      </c>
      <c r="FN32" s="72">
        <f t="shared" si="129"/>
        <v>0.11041125726870697</v>
      </c>
      <c r="FO32" s="179">
        <f t="shared" si="51"/>
        <v>1.0258307663544437</v>
      </c>
      <c r="FP32" s="92">
        <f t="shared" si="160"/>
        <v>20.228507478214944</v>
      </c>
      <c r="FQ32" s="1">
        <f t="shared" si="143"/>
        <v>-4.1825072375020261E-3</v>
      </c>
      <c r="FR32" s="26">
        <f t="shared" si="130"/>
        <v>1</v>
      </c>
      <c r="FS32">
        <f t="shared" si="52"/>
        <v>1969</v>
      </c>
      <c r="FT32" s="5" t="e">
        <f t="shared" si="53"/>
        <v>#N/A</v>
      </c>
      <c r="FU32" s="213" t="e">
        <f t="shared" si="54"/>
        <v>#N/A</v>
      </c>
      <c r="FV32" s="213" t="e">
        <f t="shared" si="131"/>
        <v>#N/A</v>
      </c>
      <c r="FW32" s="5" t="e">
        <f t="shared" si="132"/>
        <v>#N/A</v>
      </c>
      <c r="FX32" t="e">
        <f t="shared" si="133"/>
        <v>#N/A</v>
      </c>
      <c r="FY32" t="e">
        <f t="shared" si="55"/>
        <v>#N/A</v>
      </c>
      <c r="FZ32" t="e">
        <f t="shared" si="134"/>
        <v>#N/A</v>
      </c>
      <c r="GA32" t="e">
        <f t="shared" si="56"/>
        <v>#N/A</v>
      </c>
      <c r="GB32" s="61" t="e">
        <f t="shared" si="135"/>
        <v>#N/A</v>
      </c>
      <c r="GC32" s="61" t="e">
        <f t="shared" si="57"/>
        <v>#N/A</v>
      </c>
      <c r="GD32" s="61" t="e">
        <f>NA()</f>
        <v>#N/A</v>
      </c>
      <c r="GE32" s="61" t="e">
        <f t="shared" si="136"/>
        <v>#N/A</v>
      </c>
      <c r="GF32" s="61" t="e">
        <f t="shared" si="137"/>
        <v>#N/A</v>
      </c>
      <c r="GG32" s="61" t="e">
        <f>NA()</f>
        <v>#N/A</v>
      </c>
      <c r="GH32" s="6" t="e">
        <f t="shared" si="138"/>
        <v>#N/A</v>
      </c>
      <c r="GI32" t="e">
        <f t="shared" si="58"/>
        <v>#N/A</v>
      </c>
      <c r="GJ32" s="26" t="e">
        <f t="shared" si="139"/>
        <v>#N/A</v>
      </c>
      <c r="GK32" t="e">
        <f t="shared" si="59"/>
        <v>#N/A</v>
      </c>
      <c r="GL32" s="232">
        <f t="shared" si="140"/>
        <v>1</v>
      </c>
      <c r="GN32">
        <v>54</v>
      </c>
      <c r="GO32">
        <v>51</v>
      </c>
      <c r="GP32" s="46">
        <v>2</v>
      </c>
      <c r="GS32" s="47"/>
      <c r="GT32" s="47"/>
      <c r="GY32">
        <v>1969</v>
      </c>
      <c r="GZ32" s="112">
        <f t="shared" si="60"/>
        <v>1.0016932360863324</v>
      </c>
      <c r="HA32" s="26" t="e">
        <f t="shared" si="61"/>
        <v>#N/A</v>
      </c>
      <c r="HB32" s="26" t="e">
        <f t="shared" si="62"/>
        <v>#N/A</v>
      </c>
    </row>
    <row r="33" spans="1:210" x14ac:dyDescent="0.35">
      <c r="A33">
        <v>1970</v>
      </c>
      <c r="D33" s="80">
        <f>'SR + catch data Murdoch_age var'!C22</f>
        <v>284250</v>
      </c>
      <c r="E33" s="80">
        <f>'SR + catch data Murdoch_age var'!E22</f>
        <v>772488.96786137787</v>
      </c>
      <c r="F33" s="231">
        <f t="shared" si="63"/>
        <v>0.9997635949536845</v>
      </c>
      <c r="G33" s="80">
        <f>'SR + catch data Murdoch_age var'!D22</f>
        <v>739355</v>
      </c>
      <c r="H33" s="80">
        <f>'Orig data'!Q24</f>
        <v>739355</v>
      </c>
      <c r="I33" s="80">
        <f t="shared" si="64"/>
        <v>455105</v>
      </c>
      <c r="J33" s="150">
        <f t="shared" si="65"/>
        <v>0.61554327758654503</v>
      </c>
      <c r="K33" s="83">
        <f>'SR + catch data Murdoch_age var'!CM22</f>
        <v>1.2871663811146763</v>
      </c>
      <c r="L33" s="83">
        <f>'SR + catch data Murdoch_age var'!CN22</f>
        <v>1.1804839846956248</v>
      </c>
      <c r="M33" s="84">
        <f>'SR + catch data Murdoch_age var'!CO22</f>
        <v>894511.65166737803</v>
      </c>
      <c r="N33" s="81">
        <f t="shared" si="66"/>
        <v>-0.14666020117941544</v>
      </c>
      <c r="O33" s="82">
        <f t="shared" si="67"/>
        <v>1970</v>
      </c>
      <c r="P33" s="81">
        <f t="shared" si="68"/>
        <v>0.10741516534518507</v>
      </c>
      <c r="Q33" s="81">
        <f t="shared" si="68"/>
        <v>0.75930233821489568</v>
      </c>
      <c r="R33" s="81">
        <f t="shared" si="68"/>
        <v>0.13183604264117066</v>
      </c>
      <c r="S33" s="85">
        <f t="shared" si="68"/>
        <v>1.4464537987485602E-3</v>
      </c>
      <c r="T33" s="80">
        <f t="shared" si="144"/>
        <v>79417.939573789306</v>
      </c>
      <c r="U33" s="80">
        <f t="shared" si="145"/>
        <v>561393.98027087422</v>
      </c>
      <c r="V33" s="80">
        <f t="shared" si="146"/>
        <v>97473.63730696273</v>
      </c>
      <c r="W33" s="80">
        <f t="shared" si="147"/>
        <v>1069.4428483737418</v>
      </c>
      <c r="X33" s="86">
        <f t="shared" si="73"/>
        <v>1970</v>
      </c>
      <c r="Y33" s="79">
        <f t="shared" si="149"/>
        <v>58576.355487328314</v>
      </c>
      <c r="Z33" s="79">
        <f t="shared" si="152"/>
        <v>512607.81349508092</v>
      </c>
      <c r="AA33" s="79">
        <f t="shared" si="156"/>
        <v>87162.926211948419</v>
      </c>
      <c r="AB33" s="79">
        <f t="shared" si="161"/>
        <v>1428.6650611106577</v>
      </c>
      <c r="AC33" s="80">
        <f t="shared" si="78"/>
        <v>659775.76025546819</v>
      </c>
      <c r="AD33" s="84">
        <f t="shared" si="79"/>
        <v>79579.239744531806</v>
      </c>
      <c r="AE33" s="80">
        <f t="shared" si="80"/>
        <v>455105</v>
      </c>
      <c r="AF33" s="72">
        <f t="shared" si="81"/>
        <v>0.68978739052762605</v>
      </c>
      <c r="AG33" s="26">
        <f t="shared" si="82"/>
        <v>7.424411294108102E-2</v>
      </c>
      <c r="AH33" s="61">
        <f t="shared" si="14"/>
        <v>1970</v>
      </c>
      <c r="AI33" s="26">
        <f t="shared" si="15"/>
        <v>0.68978739052762605</v>
      </c>
      <c r="AJ33" s="75">
        <f t="shared" si="150"/>
        <v>85202.342805894834</v>
      </c>
      <c r="AK33" s="75">
        <f t="shared" si="153"/>
        <v>314744.75015550188</v>
      </c>
      <c r="AL33" s="75">
        <f t="shared" si="157"/>
        <v>210390.85432583414</v>
      </c>
      <c r="AM33" s="75">
        <f t="shared" si="162"/>
        <v>2049.495350267945</v>
      </c>
      <c r="AN33" s="79">
        <f t="shared" si="84"/>
        <v>612387.44263749884</v>
      </c>
      <c r="AO33" s="80">
        <f t="shared" si="85"/>
        <v>422417.1360488066</v>
      </c>
      <c r="AP33" s="80">
        <f t="shared" si="86"/>
        <v>189970.30658869224</v>
      </c>
      <c r="AQ33" s="81">
        <v>-0.38442873962724455</v>
      </c>
      <c r="AR33" s="81">
        <v>3.8188016440875022E-2</v>
      </c>
      <c r="AS33" s="81">
        <f>'SR + catch data Murdoch_age var'!N22</f>
        <v>-1.0178123350495736</v>
      </c>
      <c r="AT33" s="121">
        <f>'SR + catch data Murdoch_age var'!BR22</f>
        <v>-0.77487521455467079</v>
      </c>
      <c r="AU33" s="122">
        <f t="shared" si="87"/>
        <v>1.2871663811146763</v>
      </c>
      <c r="AV33" s="122">
        <f t="shared" si="88"/>
        <v>1.1464237961330999</v>
      </c>
      <c r="AW33" s="80">
        <f t="shared" si="17"/>
        <v>540942.34541324351</v>
      </c>
      <c r="AX33" s="80"/>
      <c r="AY33" s="141" t="e">
        <f t="shared" si="89"/>
        <v>#N/A</v>
      </c>
      <c r="AZ33" s="141"/>
      <c r="BA33" s="84" t="e">
        <f t="shared" si="90"/>
        <v>#N/A</v>
      </c>
      <c r="BB33" s="101">
        <v>1970</v>
      </c>
      <c r="BC33" s="72">
        <v>3.5750695088044487E-2</v>
      </c>
      <c r="BD33" s="72">
        <v>0.8358758109360519</v>
      </c>
      <c r="BE33" s="72">
        <v>0.11956904541241889</v>
      </c>
      <c r="BF33" s="72">
        <v>8.3410565338276187E-3</v>
      </c>
      <c r="BG33" s="72">
        <v>4.6339202965708991E-4</v>
      </c>
      <c r="BH33" s="78" t="e">
        <f>-NA()</f>
        <v>#N/A</v>
      </c>
      <c r="BI33" s="78" t="e">
        <f>-NA()</f>
        <v>#N/A</v>
      </c>
      <c r="BJ33" s="78" t="e">
        <f>-NA()</f>
        <v>#N/A</v>
      </c>
      <c r="BK33" s="78" t="e">
        <f>-NA()</f>
        <v>#N/A</v>
      </c>
      <c r="BL33" s="78" t="e">
        <f>-NA()</f>
        <v>#N/A</v>
      </c>
      <c r="BM33" s="56" t="e">
        <f>-NA()</f>
        <v>#N/A</v>
      </c>
      <c r="BN33" s="78" t="e">
        <f>NA()</f>
        <v>#N/A</v>
      </c>
      <c r="BO33" s="78" t="e">
        <f t="shared" si="91"/>
        <v>#N/A</v>
      </c>
      <c r="BP33" s="78" t="e">
        <v>#N/A</v>
      </c>
      <c r="BQ33" s="78" t="e">
        <f t="shared" si="18"/>
        <v>#N/A</v>
      </c>
      <c r="BR33" s="199" t="e">
        <f>-NA()</f>
        <v>#N/A</v>
      </c>
      <c r="BS33" s="78" t="e">
        <f t="shared" si="19"/>
        <v>#N/A</v>
      </c>
      <c r="BT33" s="78" t="e">
        <f t="shared" si="20"/>
        <v>#N/A</v>
      </c>
      <c r="BU33" s="78" t="e">
        <f t="shared" si="21"/>
        <v>#N/A</v>
      </c>
      <c r="BV33" s="78" t="e">
        <f t="shared" si="92"/>
        <v>#N/A</v>
      </c>
      <c r="BW33" s="78" t="e">
        <f t="shared" si="22"/>
        <v>#N/A</v>
      </c>
      <c r="BX33" s="78" t="e">
        <f t="shared" si="23"/>
        <v>#N/A</v>
      </c>
      <c r="BY33" s="78" t="e">
        <f t="shared" ref="BY33:CE33" si="176">$BF$10+SUMPRODUCT($BH$10:$BI$10,BW33:BX33)</f>
        <v>#N/A</v>
      </c>
      <c r="BZ33" s="78" t="e">
        <f t="shared" si="176"/>
        <v>#N/A</v>
      </c>
      <c r="CA33" s="78">
        <v>1970</v>
      </c>
      <c r="CB33" s="78" t="e">
        <f t="shared" si="25"/>
        <v>#N/A</v>
      </c>
      <c r="CC33" s="78" t="e">
        <f t="shared" si="26"/>
        <v>#N/A</v>
      </c>
      <c r="CD33" s="78" t="e">
        <f t="shared" si="176"/>
        <v>#N/A</v>
      </c>
      <c r="CE33" s="78" t="e">
        <f t="shared" si="176"/>
        <v>#N/A</v>
      </c>
      <c r="CF33" s="78" t="e">
        <f t="shared" si="27"/>
        <v>#N/A</v>
      </c>
      <c r="CG33" s="78" t="e">
        <f t="shared" si="28"/>
        <v>#N/A</v>
      </c>
      <c r="CH33" s="78" t="e">
        <f t="shared" si="29"/>
        <v>#N/A</v>
      </c>
      <c r="CI33" s="199" t="e">
        <f t="shared" si="30"/>
        <v>#N/A</v>
      </c>
      <c r="CJ33" s="78" t="e">
        <f t="shared" si="31"/>
        <v>#N/A</v>
      </c>
      <c r="CK33" s="78" t="e">
        <f t="shared" si="32"/>
        <v>#N/A</v>
      </c>
      <c r="CL33" s="78" t="e">
        <f t="shared" si="33"/>
        <v>#N/A</v>
      </c>
      <c r="CM33" s="78"/>
      <c r="CN33" s="180" t="e">
        <f t="shared" si="34"/>
        <v>#N/A</v>
      </c>
      <c r="CO33" s="78" t="e">
        <f t="shared" si="35"/>
        <v>#N/A</v>
      </c>
      <c r="CP33" s="78" t="e">
        <f t="shared" si="94"/>
        <v>#N/A</v>
      </c>
      <c r="CQ33" s="96" t="e">
        <f t="shared" si="36"/>
        <v>#N/A</v>
      </c>
      <c r="CR33" s="78" t="e">
        <f t="shared" si="95"/>
        <v>#N/A</v>
      </c>
      <c r="CS33" s="61" t="e">
        <f t="shared" si="96"/>
        <v>#N/A</v>
      </c>
      <c r="CT33" s="61" t="e">
        <f t="shared" si="97"/>
        <v>#N/A</v>
      </c>
      <c r="CU33" s="61" t="e">
        <f>NA()</f>
        <v>#N/A</v>
      </c>
      <c r="CV33" s="104" t="e">
        <f t="shared" si="98"/>
        <v>#N/A</v>
      </c>
      <c r="CW33" s="105">
        <f t="shared" si="99"/>
        <v>-0.38442873962724455</v>
      </c>
      <c r="CX33" s="105">
        <f t="shared" si="100"/>
        <v>3.8188016440875022E-2</v>
      </c>
      <c r="CY33" s="105">
        <f t="shared" si="101"/>
        <v>-1.0178123350495736</v>
      </c>
      <c r="CZ33" s="123">
        <f t="shared" si="102"/>
        <v>-0.77487521455467079</v>
      </c>
      <c r="DA33" s="81">
        <f t="shared" si="103"/>
        <v>1.2871663811146763</v>
      </c>
      <c r="DB33" s="9">
        <f t="shared" si="104"/>
        <v>540942.34541324351</v>
      </c>
      <c r="DD33" s="1" t="e">
        <f t="shared" si="105"/>
        <v>#N/A</v>
      </c>
      <c r="DE33" s="126" t="e">
        <f t="shared" si="106"/>
        <v>#N/A</v>
      </c>
      <c r="DF33" s="61">
        <v>1970</v>
      </c>
      <c r="DG33" s="26">
        <v>7.6142131979695434E-3</v>
      </c>
      <c r="DH33" s="26">
        <v>0.29512169725367693</v>
      </c>
      <c r="DI33" s="26">
        <v>0.6060236886632826</v>
      </c>
      <c r="DJ33" s="26">
        <v>8.8702329819081091E-2</v>
      </c>
      <c r="DK33" s="26">
        <v>2.5380710659898475E-3</v>
      </c>
      <c r="DL33" t="e">
        <f>NA()</f>
        <v>#N/A</v>
      </c>
      <c r="DM33" t="e">
        <f>NA()</f>
        <v>#N/A</v>
      </c>
      <c r="DN33" t="e">
        <f>NA()</f>
        <v>#N/A</v>
      </c>
      <c r="DO33" s="61" t="e">
        <f t="shared" si="107"/>
        <v>#N/A</v>
      </c>
      <c r="DP33" s="61" t="e">
        <f t="shared" si="108"/>
        <v>#N/A</v>
      </c>
      <c r="DQ33" s="61" t="e">
        <f t="shared" si="109"/>
        <v>#N/A</v>
      </c>
      <c r="DR33" s="61" t="e">
        <f>NA()</f>
        <v>#N/A</v>
      </c>
      <c r="DS33" s="61" t="e">
        <f>NA()</f>
        <v>#N/A</v>
      </c>
      <c r="DT33" s="113" t="e">
        <f t="shared" si="39"/>
        <v>#N/A</v>
      </c>
      <c r="DU33" s="76" t="e">
        <f t="shared" si="40"/>
        <v>#N/A</v>
      </c>
      <c r="DV33" s="72" t="e">
        <f t="shared" si="110"/>
        <v>#N/A</v>
      </c>
      <c r="DW33" s="201" t="e">
        <f t="shared" si="111"/>
        <v>#N/A</v>
      </c>
      <c r="DX33" s="72" t="e">
        <f t="shared" si="112"/>
        <v>#N/A</v>
      </c>
      <c r="DY33" s="72" t="e">
        <f t="shared" si="113"/>
        <v>#N/A</v>
      </c>
      <c r="DZ33" s="72" t="e">
        <f t="shared" si="114"/>
        <v>#N/A</v>
      </c>
      <c r="EA33" s="72" t="e">
        <f t="shared" si="115"/>
        <v>#N/A</v>
      </c>
      <c r="EB33" s="72" t="e">
        <f t="shared" si="116"/>
        <v>#N/A</v>
      </c>
      <c r="EC33" s="72" t="e">
        <f t="shared" si="117"/>
        <v>#N/A</v>
      </c>
      <c r="ED33" s="72" t="e">
        <f t="shared" si="118"/>
        <v>#N/A</v>
      </c>
      <c r="EE33" s="72"/>
      <c r="EF33">
        <v>1970</v>
      </c>
      <c r="EG33" s="72" t="e">
        <f t="shared" si="119"/>
        <v>#N/A</v>
      </c>
      <c r="EH33" t="e">
        <f>NA()</f>
        <v>#N/A</v>
      </c>
      <c r="EI33" t="e">
        <f>NA()</f>
        <v>#N/A</v>
      </c>
      <c r="EJ33" t="e">
        <f>NA()</f>
        <v>#N/A</v>
      </c>
      <c r="EK33" t="e">
        <f>NA()</f>
        <v>#N/A</v>
      </c>
      <c r="EL33" t="e">
        <f>NA()</f>
        <v>#N/A</v>
      </c>
      <c r="EM33" t="e">
        <f>NA()</f>
        <v>#N/A</v>
      </c>
      <c r="EN33" s="199" t="e">
        <f>NA()</f>
        <v>#N/A</v>
      </c>
      <c r="EO33" t="e">
        <f>NA()</f>
        <v>#N/A</v>
      </c>
      <c r="EP33" t="e">
        <f>NA()</f>
        <v>#N/A</v>
      </c>
      <c r="EQ33" t="e">
        <f>NA()</f>
        <v>#N/A</v>
      </c>
      <c r="ER33" s="180" t="e">
        <f>NA()</f>
        <v>#N/A</v>
      </c>
      <c r="ES33" t="e">
        <f>NA()</f>
        <v>#N/A</v>
      </c>
      <c r="ET33" t="e">
        <f>NA()</f>
        <v>#N/A</v>
      </c>
      <c r="EU33" t="e">
        <f>NA()</f>
        <v>#N/A</v>
      </c>
      <c r="EV33" t="e">
        <f>NA()</f>
        <v>#N/A</v>
      </c>
      <c r="EW33" s="61" t="e">
        <f t="shared" si="120"/>
        <v>#N/A</v>
      </c>
      <c r="EX33" s="9" t="e">
        <f t="shared" si="46"/>
        <v>#N/A</v>
      </c>
      <c r="EY33" s="9" t="e">
        <f t="shared" si="47"/>
        <v>#N/A</v>
      </c>
      <c r="EZ33" s="9" t="e">
        <f t="shared" si="48"/>
        <v>#N/A</v>
      </c>
      <c r="FA33" s="72" t="e">
        <f t="shared" si="49"/>
        <v>#N/A</v>
      </c>
      <c r="FB33">
        <v>1970</v>
      </c>
      <c r="FC33" s="116">
        <f t="shared" si="121"/>
        <v>189970.30658869224</v>
      </c>
      <c r="FD33" s="116">
        <f t="shared" si="122"/>
        <v>709805.84646260517</v>
      </c>
      <c r="FE33" s="116">
        <f t="shared" si="159"/>
        <v>739355</v>
      </c>
      <c r="FF33" s="116">
        <f t="shared" si="124"/>
        <v>626389.82688909711</v>
      </c>
      <c r="FG33" s="5">
        <f t="shared" si="173"/>
        <v>83416.019573508063</v>
      </c>
      <c r="FH33" s="5">
        <f t="shared" si="155"/>
        <v>69041.217494091368</v>
      </c>
      <c r="FI33" s="155">
        <f t="shared" si="126"/>
        <v>0.11751948788421636</v>
      </c>
      <c r="FJ33" s="117">
        <f t="shared" si="127"/>
        <v>11.751948788421636</v>
      </c>
      <c r="FK33" s="61">
        <f t="shared" si="50"/>
        <v>6731.9685504340287</v>
      </c>
      <c r="FL33" s="61">
        <f t="shared" si="142"/>
        <v>105.4380811711965</v>
      </c>
      <c r="FM33" s="92">
        <f t="shared" si="128"/>
        <v>12.391029302733449</v>
      </c>
      <c r="FN33" s="72">
        <f t="shared" si="129"/>
        <v>0.11751948788421636</v>
      </c>
      <c r="FO33" s="179">
        <f t="shared" si="51"/>
        <v>0.41303431009111496</v>
      </c>
      <c r="FP33" s="92">
        <f t="shared" si="160"/>
        <v>19.030800875256251</v>
      </c>
      <c r="FQ33" s="1">
        <f t="shared" si="143"/>
        <v>6.8571254233806889E-2</v>
      </c>
      <c r="FR33" s="26">
        <f t="shared" si="130"/>
        <v>1.0685712542338068</v>
      </c>
      <c r="FS33">
        <f t="shared" si="52"/>
        <v>1970</v>
      </c>
      <c r="FT33" s="5" t="e">
        <f t="shared" si="53"/>
        <v>#N/A</v>
      </c>
      <c r="FU33" s="213" t="e">
        <f t="shared" si="54"/>
        <v>#N/A</v>
      </c>
      <c r="FV33" s="213" t="e">
        <f t="shared" si="131"/>
        <v>#N/A</v>
      </c>
      <c r="FW33" s="5" t="e">
        <f t="shared" si="132"/>
        <v>#N/A</v>
      </c>
      <c r="FX33" t="e">
        <f t="shared" si="133"/>
        <v>#N/A</v>
      </c>
      <c r="FY33" t="e">
        <f t="shared" si="55"/>
        <v>#N/A</v>
      </c>
      <c r="FZ33" t="e">
        <f t="shared" si="134"/>
        <v>#N/A</v>
      </c>
      <c r="GA33" t="e">
        <f t="shared" si="56"/>
        <v>#N/A</v>
      </c>
      <c r="GB33" s="61" t="e">
        <f t="shared" si="135"/>
        <v>#N/A</v>
      </c>
      <c r="GC33" s="61" t="e">
        <f t="shared" si="57"/>
        <v>#N/A</v>
      </c>
      <c r="GD33" s="61" t="e">
        <f>NA()</f>
        <v>#N/A</v>
      </c>
      <c r="GE33" s="61" t="e">
        <f t="shared" si="136"/>
        <v>#N/A</v>
      </c>
      <c r="GF33" s="61" t="e">
        <f t="shared" si="137"/>
        <v>#N/A</v>
      </c>
      <c r="GG33" s="61" t="e">
        <f>NA()</f>
        <v>#N/A</v>
      </c>
      <c r="GH33" s="6" t="e">
        <f t="shared" si="138"/>
        <v>#N/A</v>
      </c>
      <c r="GI33" t="e">
        <f t="shared" si="58"/>
        <v>#N/A</v>
      </c>
      <c r="GJ33" s="26" t="e">
        <f t="shared" si="139"/>
        <v>#N/A</v>
      </c>
      <c r="GK33" t="e">
        <f t="shared" si="59"/>
        <v>#N/A</v>
      </c>
      <c r="GL33" s="232">
        <f t="shared" si="140"/>
        <v>1.0685712542338068</v>
      </c>
      <c r="GN33">
        <v>57</v>
      </c>
      <c r="GO33">
        <v>54</v>
      </c>
      <c r="GP33" s="46">
        <v>1</v>
      </c>
      <c r="GY33">
        <v>1970</v>
      </c>
      <c r="GZ33" s="112">
        <f t="shared" si="60"/>
        <v>1.2871663811146763</v>
      </c>
      <c r="HA33" s="26" t="e">
        <f t="shared" si="61"/>
        <v>#N/A</v>
      </c>
      <c r="HB33" s="26" t="e">
        <f t="shared" si="62"/>
        <v>#N/A</v>
      </c>
    </row>
    <row r="34" spans="1:210" x14ac:dyDescent="0.35">
      <c r="A34">
        <v>1971</v>
      </c>
      <c r="D34" s="80">
        <f>'SR + catch data Murdoch_age var'!C23</f>
        <v>290125</v>
      </c>
      <c r="E34" s="80">
        <f>'SR + catch data Murdoch_age var'!E23</f>
        <v>579652.29497526027</v>
      </c>
      <c r="F34" s="231">
        <f t="shared" si="63"/>
        <v>0.69211656775706698</v>
      </c>
      <c r="G34" s="80">
        <f>'SR + catch data Murdoch_age var'!D23</f>
        <v>376364</v>
      </c>
      <c r="H34" s="80">
        <f>'Orig data'!Q25</f>
        <v>376364</v>
      </c>
      <c r="I34" s="80">
        <f t="shared" si="64"/>
        <v>86239</v>
      </c>
      <c r="J34" s="150">
        <f t="shared" si="65"/>
        <v>0.22913721822490993</v>
      </c>
      <c r="K34" s="83">
        <f>'SR + catch data Murdoch_age var'!CM23</f>
        <v>1.2493146700090205</v>
      </c>
      <c r="L34" s="83">
        <f>'SR + catch data Murdoch_age var'!CN23</f>
        <v>1.2089961965225018</v>
      </c>
      <c r="M34" s="84">
        <f>'SR + catch data Murdoch_age var'!CO23</f>
        <v>876533.58602234058</v>
      </c>
      <c r="N34" s="81">
        <f t="shared" si="66"/>
        <v>-0.41354658961244684</v>
      </c>
      <c r="O34" s="82">
        <f t="shared" si="67"/>
        <v>1971</v>
      </c>
      <c r="P34" s="81">
        <f t="shared" si="68"/>
        <v>0.10741516534518507</v>
      </c>
      <c r="Q34" s="81">
        <f t="shared" si="68"/>
        <v>0.75930233821489568</v>
      </c>
      <c r="R34" s="81">
        <f t="shared" si="68"/>
        <v>0.13183604264117066</v>
      </c>
      <c r="S34" s="85">
        <f t="shared" si="68"/>
        <v>1.4464537987485602E-3</v>
      </c>
      <c r="T34" s="80">
        <f t="shared" si="144"/>
        <v>40427.20128997523</v>
      </c>
      <c r="U34" s="80">
        <f t="shared" si="145"/>
        <v>285774.06521991099</v>
      </c>
      <c r="V34" s="80">
        <f t="shared" si="146"/>
        <v>49618.340352601554</v>
      </c>
      <c r="W34" s="80">
        <f t="shared" si="147"/>
        <v>544.39313751220311</v>
      </c>
      <c r="X34" s="86">
        <f t="shared" si="73"/>
        <v>1971</v>
      </c>
      <c r="Y34" s="79">
        <f t="shared" si="149"/>
        <v>135886.48609372284</v>
      </c>
      <c r="Z34" s="79">
        <f t="shared" si="152"/>
        <v>414067.82313005149</v>
      </c>
      <c r="AA34" s="79">
        <f t="shared" si="156"/>
        <v>89002.999407343304</v>
      </c>
      <c r="AB34" s="79">
        <f t="shared" si="161"/>
        <v>956.31773529844259</v>
      </c>
      <c r="AC34" s="80">
        <f t="shared" si="78"/>
        <v>639913.62636641611</v>
      </c>
      <c r="AD34" s="84">
        <f t="shared" si="79"/>
        <v>-263549.62636641611</v>
      </c>
      <c r="AE34" s="80">
        <f t="shared" si="80"/>
        <v>86239</v>
      </c>
      <c r="AF34" s="72">
        <f t="shared" si="81"/>
        <v>0.13476662544238327</v>
      </c>
      <c r="AG34" s="26">
        <f t="shared" si="82"/>
        <v>-9.4370592782526658E-2</v>
      </c>
      <c r="AH34" s="61">
        <f t="shared" si="14"/>
        <v>1971</v>
      </c>
      <c r="AI34" s="26">
        <f t="shared" si="15"/>
        <v>0.13476662544238327</v>
      </c>
      <c r="AJ34" s="75">
        <f t="shared" si="150"/>
        <v>123245.51948567831</v>
      </c>
      <c r="AK34" s="75">
        <f t="shared" si="153"/>
        <v>602283.09388161264</v>
      </c>
      <c r="AL34" s="75">
        <f t="shared" si="157"/>
        <v>54648.458478527209</v>
      </c>
      <c r="AM34" s="75">
        <f t="shared" si="162"/>
        <v>2308.3266485012227</v>
      </c>
      <c r="AN34" s="79">
        <f t="shared" si="84"/>
        <v>782485.39849431941</v>
      </c>
      <c r="AO34" s="80">
        <f t="shared" si="85"/>
        <v>105452.91661301795</v>
      </c>
      <c r="AP34" s="80">
        <f t="shared" si="86"/>
        <v>677032.4818813015</v>
      </c>
      <c r="AQ34" s="81">
        <v>-0.77705579827523164</v>
      </c>
      <c r="AR34" s="81">
        <v>-0.43129995039105873</v>
      </c>
      <c r="AS34" s="81">
        <f>'SR + catch data Murdoch_age var'!N23</f>
        <v>-1.5331890496695713</v>
      </c>
      <c r="AT34" s="121">
        <f>'SR + catch data Murdoch_age var'!BR23</f>
        <v>-0.74016060878810297</v>
      </c>
      <c r="AU34" s="122">
        <f t="shared" si="87"/>
        <v>1.2493146700090205</v>
      </c>
      <c r="AV34" s="122">
        <f t="shared" si="88"/>
        <v>1.1056631573695137</v>
      </c>
      <c r="AW34" s="80">
        <f t="shared" si="17"/>
        <v>1116845.815211535</v>
      </c>
      <c r="AX34" s="80"/>
      <c r="AY34" s="141" t="e">
        <f t="shared" si="89"/>
        <v>#N/A</v>
      </c>
      <c r="AZ34" s="141"/>
      <c r="BA34" s="84" t="e">
        <f t="shared" si="90"/>
        <v>#N/A</v>
      </c>
      <c r="BB34" s="101">
        <v>1971</v>
      </c>
      <c r="BC34" s="72">
        <v>3.5750695088044487E-2</v>
      </c>
      <c r="BD34" s="72">
        <v>0.8358758109360519</v>
      </c>
      <c r="BE34" s="72">
        <v>0.11956904541241889</v>
      </c>
      <c r="BF34" s="72">
        <v>8.3410565338276187E-3</v>
      </c>
      <c r="BG34" s="72">
        <v>4.6339202965708991E-4</v>
      </c>
      <c r="BH34" s="78" t="e">
        <f>-NA()</f>
        <v>#N/A</v>
      </c>
      <c r="BI34" s="78" t="e">
        <f>-NA()</f>
        <v>#N/A</v>
      </c>
      <c r="BJ34" s="78" t="e">
        <f>-NA()</f>
        <v>#N/A</v>
      </c>
      <c r="BK34" s="78" t="e">
        <f>-NA()</f>
        <v>#N/A</v>
      </c>
      <c r="BL34" s="78" t="e">
        <f>-NA()</f>
        <v>#N/A</v>
      </c>
      <c r="BM34" s="56" t="e">
        <f>-NA()</f>
        <v>#N/A</v>
      </c>
      <c r="BN34" s="78" t="e">
        <f>NA()</f>
        <v>#N/A</v>
      </c>
      <c r="BO34" s="78" t="e">
        <f t="shared" si="91"/>
        <v>#N/A</v>
      </c>
      <c r="BP34" s="78" t="e">
        <v>#N/A</v>
      </c>
      <c r="BQ34" s="78" t="e">
        <f t="shared" si="18"/>
        <v>#N/A</v>
      </c>
      <c r="BR34" s="199" t="e">
        <f>-NA()</f>
        <v>#N/A</v>
      </c>
      <c r="BS34" s="78" t="e">
        <f t="shared" si="19"/>
        <v>#N/A</v>
      </c>
      <c r="BT34" s="78" t="e">
        <f t="shared" si="20"/>
        <v>#N/A</v>
      </c>
      <c r="BU34" s="78" t="e">
        <f t="shared" si="21"/>
        <v>#N/A</v>
      </c>
      <c r="BV34" s="78" t="e">
        <f t="shared" si="92"/>
        <v>#N/A</v>
      </c>
      <c r="BW34" s="78" t="e">
        <f t="shared" si="22"/>
        <v>#N/A</v>
      </c>
      <c r="BX34" s="78" t="e">
        <f t="shared" si="23"/>
        <v>#N/A</v>
      </c>
      <c r="BY34" s="78" t="e">
        <f t="shared" ref="BY34:CE34" si="177">$BF$10+SUMPRODUCT($BH$10:$BI$10,BW34:BX34)</f>
        <v>#N/A</v>
      </c>
      <c r="BZ34" s="78" t="e">
        <f t="shared" si="177"/>
        <v>#N/A</v>
      </c>
      <c r="CA34" s="78">
        <v>1971</v>
      </c>
      <c r="CB34" s="78" t="e">
        <f t="shared" si="25"/>
        <v>#N/A</v>
      </c>
      <c r="CC34" s="78" t="e">
        <f t="shared" si="26"/>
        <v>#N/A</v>
      </c>
      <c r="CD34" s="78" t="e">
        <f t="shared" si="177"/>
        <v>#N/A</v>
      </c>
      <c r="CE34" s="78" t="e">
        <f t="shared" si="177"/>
        <v>#N/A</v>
      </c>
      <c r="CF34" s="78" t="e">
        <f t="shared" si="27"/>
        <v>#N/A</v>
      </c>
      <c r="CG34" s="78" t="e">
        <f t="shared" si="28"/>
        <v>#N/A</v>
      </c>
      <c r="CH34" s="78" t="e">
        <f t="shared" si="29"/>
        <v>#N/A</v>
      </c>
      <c r="CI34" s="199" t="e">
        <f t="shared" si="30"/>
        <v>#N/A</v>
      </c>
      <c r="CJ34" s="78" t="e">
        <f t="shared" si="31"/>
        <v>#N/A</v>
      </c>
      <c r="CK34" s="78" t="e">
        <f t="shared" si="32"/>
        <v>#N/A</v>
      </c>
      <c r="CL34" s="78" t="e">
        <f t="shared" si="33"/>
        <v>#N/A</v>
      </c>
      <c r="CM34" s="78"/>
      <c r="CN34" s="180" t="e">
        <f t="shared" si="34"/>
        <v>#N/A</v>
      </c>
      <c r="CO34" s="78" t="e">
        <f t="shared" si="35"/>
        <v>#N/A</v>
      </c>
      <c r="CP34" s="78" t="e">
        <f t="shared" si="94"/>
        <v>#N/A</v>
      </c>
      <c r="CQ34" s="96" t="e">
        <f t="shared" si="36"/>
        <v>#N/A</v>
      </c>
      <c r="CR34" s="78" t="e">
        <f t="shared" si="95"/>
        <v>#N/A</v>
      </c>
      <c r="CS34" s="61" t="e">
        <f t="shared" si="96"/>
        <v>#N/A</v>
      </c>
      <c r="CT34" s="61" t="e">
        <f t="shared" si="97"/>
        <v>#N/A</v>
      </c>
      <c r="CU34" s="61" t="e">
        <f>NA()</f>
        <v>#N/A</v>
      </c>
      <c r="CV34" s="104" t="e">
        <f t="shared" si="98"/>
        <v>#N/A</v>
      </c>
      <c r="CW34" s="105">
        <f t="shared" si="99"/>
        <v>-0.77705579827523164</v>
      </c>
      <c r="CX34" s="105">
        <f t="shared" si="100"/>
        <v>-0.43129995039105873</v>
      </c>
      <c r="CY34" s="105">
        <f t="shared" si="101"/>
        <v>-1.5331890496695713</v>
      </c>
      <c r="CZ34" s="123">
        <f t="shared" si="102"/>
        <v>-0.74016060878810297</v>
      </c>
      <c r="DA34" s="81">
        <f t="shared" si="103"/>
        <v>1.2493146700090205</v>
      </c>
      <c r="DB34" s="9">
        <f t="shared" si="104"/>
        <v>1116845.815211535</v>
      </c>
      <c r="DD34" s="1" t="e">
        <f t="shared" si="105"/>
        <v>#N/A</v>
      </c>
      <c r="DE34" s="126" t="e">
        <f t="shared" si="106"/>
        <v>#N/A</v>
      </c>
      <c r="DF34" s="61">
        <v>1971</v>
      </c>
      <c r="DG34" s="26">
        <v>7.6142131979695434E-3</v>
      </c>
      <c r="DH34" s="26">
        <v>0.29512169725367693</v>
      </c>
      <c r="DI34" s="26">
        <v>0.6060236886632826</v>
      </c>
      <c r="DJ34" s="26">
        <v>8.8702329819081091E-2</v>
      </c>
      <c r="DK34" s="26">
        <v>2.5380710659898475E-3</v>
      </c>
      <c r="DL34" t="e">
        <f>NA()</f>
        <v>#N/A</v>
      </c>
      <c r="DM34" t="e">
        <f>NA()</f>
        <v>#N/A</v>
      </c>
      <c r="DN34" t="e">
        <f>NA()</f>
        <v>#N/A</v>
      </c>
      <c r="DO34" s="61" t="e">
        <f t="shared" si="107"/>
        <v>#N/A</v>
      </c>
      <c r="DP34" s="61" t="e">
        <f t="shared" si="108"/>
        <v>#N/A</v>
      </c>
      <c r="DQ34" s="61" t="e">
        <f t="shared" si="109"/>
        <v>#N/A</v>
      </c>
      <c r="DR34" s="61" t="e">
        <f>NA()</f>
        <v>#N/A</v>
      </c>
      <c r="DS34" s="61" t="e">
        <f>NA()</f>
        <v>#N/A</v>
      </c>
      <c r="DT34" s="113" t="e">
        <f t="shared" si="39"/>
        <v>#N/A</v>
      </c>
      <c r="DU34" s="76" t="e">
        <f t="shared" si="40"/>
        <v>#N/A</v>
      </c>
      <c r="DV34" s="72" t="e">
        <f t="shared" si="110"/>
        <v>#N/A</v>
      </c>
      <c r="DW34" s="201" t="e">
        <f t="shared" si="111"/>
        <v>#N/A</v>
      </c>
      <c r="DX34" s="72" t="e">
        <f t="shared" si="112"/>
        <v>#N/A</v>
      </c>
      <c r="DY34" s="72" t="e">
        <f t="shared" si="113"/>
        <v>#N/A</v>
      </c>
      <c r="DZ34" s="72" t="e">
        <f t="shared" si="114"/>
        <v>#N/A</v>
      </c>
      <c r="EA34" s="72" t="e">
        <f t="shared" si="115"/>
        <v>#N/A</v>
      </c>
      <c r="EB34" s="72" t="e">
        <f t="shared" si="116"/>
        <v>#N/A</v>
      </c>
      <c r="EC34" s="72" t="e">
        <f t="shared" si="117"/>
        <v>#N/A</v>
      </c>
      <c r="ED34" s="72" t="e">
        <f t="shared" si="118"/>
        <v>#N/A</v>
      </c>
      <c r="EE34" s="72"/>
      <c r="EF34">
        <v>1971</v>
      </c>
      <c r="EG34" s="72" t="e">
        <f t="shared" si="119"/>
        <v>#N/A</v>
      </c>
      <c r="EH34" t="e">
        <f>NA()</f>
        <v>#N/A</v>
      </c>
      <c r="EI34" t="e">
        <f>NA()</f>
        <v>#N/A</v>
      </c>
      <c r="EJ34" t="e">
        <f>NA()</f>
        <v>#N/A</v>
      </c>
      <c r="EK34" t="e">
        <f>NA()</f>
        <v>#N/A</v>
      </c>
      <c r="EL34" t="e">
        <f>NA()</f>
        <v>#N/A</v>
      </c>
      <c r="EM34" t="e">
        <f>NA()</f>
        <v>#N/A</v>
      </c>
      <c r="EN34" s="199" t="e">
        <f>NA()</f>
        <v>#N/A</v>
      </c>
      <c r="EO34" t="e">
        <f>NA()</f>
        <v>#N/A</v>
      </c>
      <c r="EP34" t="e">
        <f>NA()</f>
        <v>#N/A</v>
      </c>
      <c r="EQ34" t="e">
        <f>NA()</f>
        <v>#N/A</v>
      </c>
      <c r="ER34" s="180" t="e">
        <f>NA()</f>
        <v>#N/A</v>
      </c>
      <c r="ES34" t="e">
        <f>NA()</f>
        <v>#N/A</v>
      </c>
      <c r="ET34" t="e">
        <f>NA()</f>
        <v>#N/A</v>
      </c>
      <c r="EU34" t="e">
        <f>NA()</f>
        <v>#N/A</v>
      </c>
      <c r="EV34" t="e">
        <f>NA()</f>
        <v>#N/A</v>
      </c>
      <c r="EW34" s="61" t="e">
        <f t="shared" si="120"/>
        <v>#N/A</v>
      </c>
      <c r="EX34" s="9" t="e">
        <f t="shared" si="46"/>
        <v>#N/A</v>
      </c>
      <c r="EY34" s="9" t="e">
        <f t="shared" si="47"/>
        <v>#N/A</v>
      </c>
      <c r="EZ34" s="9" t="e">
        <f t="shared" si="48"/>
        <v>#N/A</v>
      </c>
      <c r="FA34" s="72" t="e">
        <f t="shared" si="49"/>
        <v>#N/A</v>
      </c>
      <c r="FB34">
        <v>1971</v>
      </c>
      <c r="FC34" s="116">
        <f t="shared" si="121"/>
        <v>677032.4818813015</v>
      </c>
      <c r="FD34" s="116">
        <f t="shared" si="122"/>
        <v>1928723.2583236066</v>
      </c>
      <c r="FE34" s="116">
        <f t="shared" si="159"/>
        <v>866844.98018714518</v>
      </c>
      <c r="FF34" s="116">
        <f t="shared" si="124"/>
        <v>1688862.2298703969</v>
      </c>
      <c r="FG34" s="5">
        <f>FD34-FF34</f>
        <v>239861.02845320967</v>
      </c>
      <c r="FH34" s="5">
        <f t="shared" si="155"/>
        <v>97846.175766252447</v>
      </c>
      <c r="FI34" s="155">
        <f t="shared" si="126"/>
        <v>0.12436259448734512</v>
      </c>
      <c r="FJ34" s="117">
        <f t="shared" si="127"/>
        <v>12.436259448734512</v>
      </c>
      <c r="FK34" s="61">
        <f t="shared" si="50"/>
        <v>7151.152876533788</v>
      </c>
      <c r="FL34" s="61">
        <f t="shared" si="142"/>
        <v>269.7080165427077</v>
      </c>
      <c r="FM34" s="92">
        <f t="shared" si="128"/>
        <v>33.541588691286925</v>
      </c>
      <c r="FN34" s="72">
        <f t="shared" si="129"/>
        <v>0.12436259448734512</v>
      </c>
      <c r="FO34" s="179">
        <f t="shared" si="51"/>
        <v>1.1180529563762309</v>
      </c>
      <c r="FP34" s="92">
        <f t="shared" si="160"/>
        <v>21.360470896226659</v>
      </c>
      <c r="FQ34" s="1">
        <f t="shared" si="143"/>
        <v>6.2267719012551445E-2</v>
      </c>
      <c r="FR34" s="26">
        <f t="shared" si="130"/>
        <v>1.1351087488373273</v>
      </c>
      <c r="FS34">
        <f t="shared" si="52"/>
        <v>1971</v>
      </c>
      <c r="FT34" s="5" t="e">
        <f t="shared" si="53"/>
        <v>#N/A</v>
      </c>
      <c r="FU34" s="213" t="e">
        <f t="shared" si="54"/>
        <v>#N/A</v>
      </c>
      <c r="FV34" s="213" t="e">
        <f t="shared" si="131"/>
        <v>#N/A</v>
      </c>
      <c r="FW34" s="5" t="e">
        <f t="shared" si="132"/>
        <v>#N/A</v>
      </c>
      <c r="FX34" t="e">
        <f t="shared" si="133"/>
        <v>#N/A</v>
      </c>
      <c r="FY34" t="e">
        <f t="shared" si="55"/>
        <v>#N/A</v>
      </c>
      <c r="FZ34" t="e">
        <f t="shared" si="134"/>
        <v>#N/A</v>
      </c>
      <c r="GA34" t="e">
        <f t="shared" si="56"/>
        <v>#N/A</v>
      </c>
      <c r="GB34" s="61" t="e">
        <f t="shared" si="135"/>
        <v>#N/A</v>
      </c>
      <c r="GC34" s="61" t="e">
        <f t="shared" si="57"/>
        <v>#N/A</v>
      </c>
      <c r="GD34" s="61" t="e">
        <f>NA()</f>
        <v>#N/A</v>
      </c>
      <c r="GE34" s="61" t="e">
        <f t="shared" si="136"/>
        <v>#N/A</v>
      </c>
      <c r="GF34" s="61" t="e">
        <f t="shared" si="137"/>
        <v>#N/A</v>
      </c>
      <c r="GG34" s="61" t="e">
        <f>NA()</f>
        <v>#N/A</v>
      </c>
      <c r="GH34" s="6" t="e">
        <f t="shared" si="138"/>
        <v>#N/A</v>
      </c>
      <c r="GI34" t="e">
        <f t="shared" si="58"/>
        <v>#N/A</v>
      </c>
      <c r="GJ34" s="26" t="e">
        <f t="shared" si="139"/>
        <v>#N/A</v>
      </c>
      <c r="GK34" t="e">
        <f t="shared" si="59"/>
        <v>#N/A</v>
      </c>
      <c r="GL34" s="232">
        <f t="shared" si="140"/>
        <v>1.1351087488373273</v>
      </c>
      <c r="GN34">
        <v>60</v>
      </c>
      <c r="GO34">
        <v>57</v>
      </c>
      <c r="GP34" s="46">
        <v>1</v>
      </c>
      <c r="GY34">
        <v>1971</v>
      </c>
      <c r="GZ34" s="112">
        <f t="shared" si="60"/>
        <v>1.2493146700090205</v>
      </c>
      <c r="HA34" s="26" t="e">
        <f t="shared" si="61"/>
        <v>#N/A</v>
      </c>
      <c r="HB34" s="26" t="e">
        <f t="shared" si="62"/>
        <v>#N/A</v>
      </c>
    </row>
    <row r="35" spans="1:210" x14ac:dyDescent="0.35">
      <c r="A35">
        <v>1972</v>
      </c>
      <c r="D35" s="80">
        <f>'SR + catch data Murdoch_age var'!C24</f>
        <v>423290</v>
      </c>
      <c r="E35" s="80">
        <f>'SR + catch data Murdoch_age var'!E24</f>
        <v>911324.26470989024</v>
      </c>
      <c r="F35" s="231">
        <f t="shared" si="63"/>
        <v>0.76684125428570438</v>
      </c>
      <c r="G35" s="80">
        <f>'SR + catch data Murdoch_age var'!D24</f>
        <v>1349820</v>
      </c>
      <c r="H35" s="80">
        <f>'Orig data'!Q26</f>
        <v>1349820</v>
      </c>
      <c r="I35" s="80">
        <f t="shared" si="64"/>
        <v>926530</v>
      </c>
      <c r="J35" s="150">
        <f t="shared" si="65"/>
        <v>0.68641003985716609</v>
      </c>
      <c r="K35" s="83">
        <f>'SR + catch data Murdoch_age var'!CM24</f>
        <v>1.2922928046229831</v>
      </c>
      <c r="L35" s="83">
        <f>'SR + catch data Murdoch_age var'!CN24</f>
        <v>1.2325476448777684</v>
      </c>
      <c r="M35" s="84">
        <f>'SR + catch data Murdoch_age var'!CO24</f>
        <v>1249831.4072148199</v>
      </c>
      <c r="N35" s="81">
        <f t="shared" si="66"/>
        <v>-0.31586516934571701</v>
      </c>
      <c r="O35" s="82">
        <f t="shared" si="67"/>
        <v>1972</v>
      </c>
      <c r="P35" s="81">
        <f t="shared" si="68"/>
        <v>0.10741516534518507</v>
      </c>
      <c r="Q35" s="81">
        <f t="shared" si="68"/>
        <v>0.75930233821489568</v>
      </c>
      <c r="R35" s="81">
        <f t="shared" si="68"/>
        <v>0.13183604264117066</v>
      </c>
      <c r="S35" s="85">
        <f t="shared" si="68"/>
        <v>1.4464537987485602E-3</v>
      </c>
      <c r="T35" s="80">
        <f t="shared" si="144"/>
        <v>144991.1384862377</v>
      </c>
      <c r="U35" s="80">
        <f t="shared" si="145"/>
        <v>1024921.4821692305</v>
      </c>
      <c r="V35" s="80">
        <f t="shared" si="146"/>
        <v>177954.92707790498</v>
      </c>
      <c r="W35" s="80">
        <f t="shared" si="147"/>
        <v>1952.4522666267815</v>
      </c>
      <c r="X35" s="86">
        <f t="shared" si="73"/>
        <v>1972</v>
      </c>
      <c r="Y35" s="79">
        <f t="shared" si="149"/>
        <v>148723.99647945707</v>
      </c>
      <c r="Z35" s="79">
        <f t="shared" si="152"/>
        <v>960562.00529225066</v>
      </c>
      <c r="AA35" s="79">
        <f t="shared" si="156"/>
        <v>71893.711423104469</v>
      </c>
      <c r="AB35" s="79">
        <f t="shared" si="161"/>
        <v>976.50630293239828</v>
      </c>
      <c r="AC35" s="80">
        <f t="shared" si="78"/>
        <v>1182156.2194977447</v>
      </c>
      <c r="AD35" s="84">
        <f t="shared" si="79"/>
        <v>167663.78050225531</v>
      </c>
      <c r="AE35" s="80">
        <f t="shared" si="80"/>
        <v>926530</v>
      </c>
      <c r="AF35" s="72">
        <f t="shared" si="81"/>
        <v>0.78376274194424911</v>
      </c>
      <c r="AG35" s="26">
        <f t="shared" si="82"/>
        <v>9.7352702087083021E-2</v>
      </c>
      <c r="AH35" s="61">
        <f t="shared" si="14"/>
        <v>1972</v>
      </c>
      <c r="AI35" s="26">
        <f t="shared" si="15"/>
        <v>0.78376274194424911</v>
      </c>
      <c r="AJ35" s="75">
        <f t="shared" si="150"/>
        <v>321579.43691470404</v>
      </c>
      <c r="AK35" s="75">
        <f t="shared" si="153"/>
        <v>871204.83238338016</v>
      </c>
      <c r="AL35" s="75">
        <f t="shared" si="157"/>
        <v>104573.12673856162</v>
      </c>
      <c r="AM35" s="75">
        <f t="shared" si="162"/>
        <v>599.58163775566391</v>
      </c>
      <c r="AN35" s="79">
        <f t="shared" si="84"/>
        <v>1297956.9776744014</v>
      </c>
      <c r="AO35" s="80">
        <f t="shared" si="85"/>
        <v>1017290.3197477594</v>
      </c>
      <c r="AP35" s="80">
        <f t="shared" si="86"/>
        <v>280666.65792664199</v>
      </c>
      <c r="AQ35" s="81">
        <v>1.287615101625466</v>
      </c>
      <c r="AR35" s="81">
        <v>-0.38188016440874983</v>
      </c>
      <c r="AS35" s="81">
        <f>'SR + catch data Murdoch_age var'!N24</f>
        <v>-0.15123132699901326</v>
      </c>
      <c r="AT35" s="121">
        <f>'SR + catch data Murdoch_age var'!BR24</f>
        <v>-0.70635501767622533</v>
      </c>
      <c r="AU35" s="122">
        <f t="shared" si="87"/>
        <v>1.2922928046229829</v>
      </c>
      <c r="AV35" s="122">
        <f t="shared" si="88"/>
        <v>1.082706423631421</v>
      </c>
      <c r="AW35" s="80">
        <f t="shared" si="17"/>
        <v>648477.29308255925</v>
      </c>
      <c r="AX35" s="80"/>
      <c r="AY35" s="141" t="e">
        <f t="shared" si="89"/>
        <v>#N/A</v>
      </c>
      <c r="AZ35" s="141"/>
      <c r="BA35" s="84" t="e">
        <f t="shared" si="90"/>
        <v>#N/A</v>
      </c>
      <c r="BB35" s="101">
        <v>1972</v>
      </c>
      <c r="BC35" s="72">
        <v>3.5750695088044487E-2</v>
      </c>
      <c r="BD35" s="72">
        <v>0.8358758109360519</v>
      </c>
      <c r="BE35" s="72">
        <v>0.11956904541241889</v>
      </c>
      <c r="BF35" s="72">
        <v>8.3410565338276187E-3</v>
      </c>
      <c r="BG35" s="72">
        <v>4.6339202965708991E-4</v>
      </c>
      <c r="BH35" s="78" t="e">
        <f>-NA()</f>
        <v>#N/A</v>
      </c>
      <c r="BI35" s="78" t="e">
        <f>-NA()</f>
        <v>#N/A</v>
      </c>
      <c r="BJ35" s="78" t="e">
        <f>-NA()</f>
        <v>#N/A</v>
      </c>
      <c r="BK35" s="78" t="e">
        <f>-NA()</f>
        <v>#N/A</v>
      </c>
      <c r="BL35" s="78" t="e">
        <f>-NA()</f>
        <v>#N/A</v>
      </c>
      <c r="BM35" s="56" t="e">
        <f>-NA()</f>
        <v>#N/A</v>
      </c>
      <c r="BN35" s="78" t="e">
        <f>NA()</f>
        <v>#N/A</v>
      </c>
      <c r="BO35" s="78" t="e">
        <f t="shared" si="91"/>
        <v>#N/A</v>
      </c>
      <c r="BP35" s="78" t="e">
        <v>#N/A</v>
      </c>
      <c r="BQ35" s="78" t="e">
        <f t="shared" si="18"/>
        <v>#N/A</v>
      </c>
      <c r="BR35" s="199" t="e">
        <f>-NA()</f>
        <v>#N/A</v>
      </c>
      <c r="BS35" s="78" t="e">
        <f t="shared" si="19"/>
        <v>#N/A</v>
      </c>
      <c r="BT35" s="78" t="e">
        <f t="shared" si="20"/>
        <v>#N/A</v>
      </c>
      <c r="BU35" s="78" t="e">
        <f t="shared" si="21"/>
        <v>#N/A</v>
      </c>
      <c r="BV35" s="78" t="e">
        <f t="shared" si="92"/>
        <v>#N/A</v>
      </c>
      <c r="BW35" s="78" t="e">
        <f t="shared" si="22"/>
        <v>#N/A</v>
      </c>
      <c r="BX35" s="78" t="e">
        <f t="shared" si="23"/>
        <v>#N/A</v>
      </c>
      <c r="BY35" s="78" t="e">
        <f t="shared" ref="BY35:CE35" si="178">$BF$10+SUMPRODUCT($BH$10:$BI$10,BW35:BX35)</f>
        <v>#N/A</v>
      </c>
      <c r="BZ35" s="78" t="e">
        <f t="shared" si="178"/>
        <v>#N/A</v>
      </c>
      <c r="CA35" s="78">
        <v>1972</v>
      </c>
      <c r="CB35" s="78" t="e">
        <f t="shared" si="25"/>
        <v>#N/A</v>
      </c>
      <c r="CC35" s="78" t="e">
        <f t="shared" si="26"/>
        <v>#N/A</v>
      </c>
      <c r="CD35" s="78" t="e">
        <f t="shared" si="178"/>
        <v>#N/A</v>
      </c>
      <c r="CE35" s="78" t="e">
        <f t="shared" si="178"/>
        <v>#N/A</v>
      </c>
      <c r="CF35" s="78" t="e">
        <f t="shared" si="27"/>
        <v>#N/A</v>
      </c>
      <c r="CG35" s="78" t="e">
        <f t="shared" si="28"/>
        <v>#N/A</v>
      </c>
      <c r="CH35" s="78" t="e">
        <f t="shared" si="29"/>
        <v>#N/A</v>
      </c>
      <c r="CI35" s="199" t="e">
        <f t="shared" si="30"/>
        <v>#N/A</v>
      </c>
      <c r="CJ35" s="78" t="e">
        <f t="shared" si="31"/>
        <v>#N/A</v>
      </c>
      <c r="CK35" s="78" t="e">
        <f t="shared" si="32"/>
        <v>#N/A</v>
      </c>
      <c r="CL35" s="78" t="e">
        <f t="shared" si="33"/>
        <v>#N/A</v>
      </c>
      <c r="CM35" s="78"/>
      <c r="CN35" s="180" t="e">
        <f t="shared" si="34"/>
        <v>#N/A</v>
      </c>
      <c r="CO35" s="78" t="e">
        <f t="shared" si="35"/>
        <v>#N/A</v>
      </c>
      <c r="CP35" s="78" t="e">
        <f t="shared" si="94"/>
        <v>#N/A</v>
      </c>
      <c r="CQ35" s="96" t="e">
        <f t="shared" si="36"/>
        <v>#N/A</v>
      </c>
      <c r="CR35" s="78" t="e">
        <f t="shared" si="95"/>
        <v>#N/A</v>
      </c>
      <c r="CS35" s="61" t="e">
        <f t="shared" si="96"/>
        <v>#N/A</v>
      </c>
      <c r="CT35" s="61" t="e">
        <f t="shared" si="97"/>
        <v>#N/A</v>
      </c>
      <c r="CU35" s="61" t="e">
        <f>NA()</f>
        <v>#N/A</v>
      </c>
      <c r="CV35" s="104" t="e">
        <f t="shared" si="98"/>
        <v>#N/A</v>
      </c>
      <c r="CW35" s="105">
        <f t="shared" si="99"/>
        <v>1.287615101625466</v>
      </c>
      <c r="CX35" s="105">
        <f t="shared" si="100"/>
        <v>-0.38188016440874983</v>
      </c>
      <c r="CY35" s="105">
        <f t="shared" si="101"/>
        <v>-0.15123132699901326</v>
      </c>
      <c r="CZ35" s="123">
        <f t="shared" si="102"/>
        <v>-0.70635501767622533</v>
      </c>
      <c r="DA35" s="81">
        <f t="shared" si="103"/>
        <v>1.2922928046229829</v>
      </c>
      <c r="DB35" s="9">
        <f t="shared" si="104"/>
        <v>648477.29308255925</v>
      </c>
      <c r="DD35" s="1" t="e">
        <f t="shared" si="105"/>
        <v>#N/A</v>
      </c>
      <c r="DE35" s="126">
        <v>960</v>
      </c>
      <c r="DF35" s="61">
        <v>1972</v>
      </c>
      <c r="DG35" s="26">
        <v>7.6142131979695434E-3</v>
      </c>
      <c r="DH35" s="26">
        <v>0.29512169725367693</v>
      </c>
      <c r="DI35" s="26">
        <v>0.6060236886632826</v>
      </c>
      <c r="DJ35" s="26">
        <v>8.8702329819081091E-2</v>
      </c>
      <c r="DK35" s="26">
        <v>2.5380710659898475E-3</v>
      </c>
      <c r="DL35" t="e">
        <f>NA()</f>
        <v>#N/A</v>
      </c>
      <c r="DM35" t="e">
        <f>NA()</f>
        <v>#N/A</v>
      </c>
      <c r="DN35" t="e">
        <f>NA()</f>
        <v>#N/A</v>
      </c>
      <c r="DO35" s="61" t="e">
        <f t="shared" si="107"/>
        <v>#N/A</v>
      </c>
      <c r="DP35" s="61" t="e">
        <f t="shared" si="108"/>
        <v>#N/A</v>
      </c>
      <c r="DQ35" s="61" t="e">
        <f t="shared" si="109"/>
        <v>#N/A</v>
      </c>
      <c r="DR35" s="61" t="e">
        <f>NA()</f>
        <v>#N/A</v>
      </c>
      <c r="DS35" s="61" t="e">
        <f>NA()</f>
        <v>#N/A</v>
      </c>
      <c r="DT35" s="113" t="e">
        <f t="shared" si="39"/>
        <v>#N/A</v>
      </c>
      <c r="DU35" s="76" t="e">
        <f t="shared" si="40"/>
        <v>#N/A</v>
      </c>
      <c r="DV35" s="72" t="e">
        <f t="shared" ref="DV35:DV78" si="179">LN(DM35/DU35)</f>
        <v>#N/A</v>
      </c>
      <c r="DW35" s="199">
        <v>50</v>
      </c>
      <c r="DX35" s="61">
        <v>201.75218971422595</v>
      </c>
      <c r="DY35" s="26">
        <v>0.42305018961951335</v>
      </c>
      <c r="DZ35" s="98" t="e">
        <f>EB35/EC35</f>
        <v>#N/A</v>
      </c>
      <c r="EA35" s="98" t="e">
        <f t="shared" ref="EA35" si="180">DZ35</f>
        <v>#N/A</v>
      </c>
      <c r="EB35" s="100" t="e">
        <f>EC35-DX35-DW35-1000*DL35</f>
        <v>#N/A</v>
      </c>
      <c r="EC35" s="61">
        <v>2100.2731397296066</v>
      </c>
      <c r="EF35">
        <v>1972</v>
      </c>
      <c r="EG35" s="72" t="e">
        <f t="shared" si="119"/>
        <v>#N/A</v>
      </c>
      <c r="EH35" t="e">
        <f>NA()</f>
        <v>#N/A</v>
      </c>
      <c r="EI35" t="e">
        <f>NA()</f>
        <v>#N/A</v>
      </c>
      <c r="EJ35" t="e">
        <f>NA()</f>
        <v>#N/A</v>
      </c>
      <c r="EK35" t="e">
        <f>NA()</f>
        <v>#N/A</v>
      </c>
      <c r="EL35" t="e">
        <f>NA()</f>
        <v>#N/A</v>
      </c>
      <c r="EM35" t="e">
        <f>NA()</f>
        <v>#N/A</v>
      </c>
      <c r="EN35" s="199" t="e">
        <f>NA()</f>
        <v>#N/A</v>
      </c>
      <c r="EO35" t="e">
        <f>NA()</f>
        <v>#N/A</v>
      </c>
      <c r="EP35" t="e">
        <f>NA()</f>
        <v>#N/A</v>
      </c>
      <c r="EQ35" t="e">
        <f>NA()</f>
        <v>#N/A</v>
      </c>
      <c r="ER35" s="180" t="e">
        <f>NA()</f>
        <v>#N/A</v>
      </c>
      <c r="ES35" t="e">
        <f>NA()</f>
        <v>#N/A</v>
      </c>
      <c r="ET35" t="e">
        <f>NA()</f>
        <v>#N/A</v>
      </c>
      <c r="EU35" t="e">
        <f>NA()</f>
        <v>#N/A</v>
      </c>
      <c r="EV35" t="e">
        <f>NA()</f>
        <v>#N/A</v>
      </c>
      <c r="EW35" s="61" t="e">
        <f t="shared" si="120"/>
        <v>#N/A</v>
      </c>
      <c r="EX35" s="9" t="e">
        <f t="shared" si="46"/>
        <v>#N/A</v>
      </c>
      <c r="EY35" s="9" t="e">
        <f t="shared" si="47"/>
        <v>#N/A</v>
      </c>
      <c r="EZ35" s="9" t="e">
        <f t="shared" si="48"/>
        <v>#N/A</v>
      </c>
      <c r="FA35" s="72" t="e">
        <f t="shared" si="49"/>
        <v>#N/A</v>
      </c>
      <c r="FB35">
        <v>1972</v>
      </c>
      <c r="FC35" s="116">
        <f t="shared" si="121"/>
        <v>280666.65792664199</v>
      </c>
      <c r="FD35" s="116">
        <f t="shared" si="122"/>
        <v>1023390.2104015896</v>
      </c>
      <c r="FE35" s="116">
        <f t="shared" si="159"/>
        <v>1463931.257273223</v>
      </c>
      <c r="FF35" s="116">
        <f t="shared" si="124"/>
        <v>889351.15539608907</v>
      </c>
      <c r="FG35" s="5">
        <f t="shared" si="173"/>
        <v>134039.05500550056</v>
      </c>
      <c r="FH35" s="5">
        <f t="shared" si="155"/>
        <v>162274.27155929687</v>
      </c>
      <c r="FI35" s="155">
        <f t="shared" si="126"/>
        <v>0.13097551026299359</v>
      </c>
      <c r="FJ35" s="117">
        <f t="shared" si="127"/>
        <v>13.097551026299358</v>
      </c>
      <c r="FK35" s="61">
        <f t="shared" si="50"/>
        <v>7559.3607076676144</v>
      </c>
      <c r="FL35" s="61">
        <f t="shared" si="142"/>
        <v>135.38052356246791</v>
      </c>
      <c r="FM35" s="92">
        <f>FG35/FK35</f>
        <v>17.73153315326546</v>
      </c>
      <c r="FN35" s="72">
        <f t="shared" si="129"/>
        <v>0.13097551026299359</v>
      </c>
      <c r="FO35" s="179">
        <f t="shared" si="51"/>
        <v>0.59105110510884862</v>
      </c>
      <c r="FP35" s="92">
        <f t="shared" si="160"/>
        <v>22.54344583238829</v>
      </c>
      <c r="FQ35" s="1">
        <f t="shared" si="143"/>
        <v>5.7082800239573045E-2</v>
      </c>
      <c r="FR35" s="26">
        <f t="shared" si="130"/>
        <v>1.1999039347974001</v>
      </c>
      <c r="FS35">
        <f t="shared" si="52"/>
        <v>1972</v>
      </c>
      <c r="FT35" s="5" t="e">
        <f t="shared" si="53"/>
        <v>#N/A</v>
      </c>
      <c r="FU35" s="213" t="e">
        <f t="shared" si="54"/>
        <v>#N/A</v>
      </c>
      <c r="FV35" s="213" t="e">
        <f t="shared" si="131"/>
        <v>#N/A</v>
      </c>
      <c r="FW35" s="5" t="e">
        <f t="shared" si="132"/>
        <v>#N/A</v>
      </c>
      <c r="FX35" t="e">
        <f t="shared" si="133"/>
        <v>#N/A</v>
      </c>
      <c r="FY35" t="e">
        <f t="shared" si="55"/>
        <v>#N/A</v>
      </c>
      <c r="FZ35" t="e">
        <f t="shared" si="134"/>
        <v>#N/A</v>
      </c>
      <c r="GA35" t="e">
        <f t="shared" si="56"/>
        <v>#N/A</v>
      </c>
      <c r="GB35" s="61" t="e">
        <f t="shared" si="135"/>
        <v>#N/A</v>
      </c>
      <c r="GC35" s="61" t="e">
        <f t="shared" si="57"/>
        <v>#N/A</v>
      </c>
      <c r="GD35" s="61" t="e">
        <f>NA()</f>
        <v>#N/A</v>
      </c>
      <c r="GE35" s="61" t="e">
        <f t="shared" si="136"/>
        <v>#N/A</v>
      </c>
      <c r="GF35" s="61" t="e">
        <f t="shared" si="137"/>
        <v>#N/A</v>
      </c>
      <c r="GG35" s="61" t="e">
        <f>NA()</f>
        <v>#N/A</v>
      </c>
      <c r="GH35" s="6" t="e">
        <f t="shared" si="138"/>
        <v>#N/A</v>
      </c>
      <c r="GI35" t="e">
        <f t="shared" si="58"/>
        <v>#N/A</v>
      </c>
      <c r="GJ35" s="26" t="e">
        <f t="shared" si="139"/>
        <v>#N/A</v>
      </c>
      <c r="GK35" t="e">
        <f t="shared" si="59"/>
        <v>#N/A</v>
      </c>
      <c r="GL35" s="232">
        <f t="shared" si="140"/>
        <v>1.1999039347974001</v>
      </c>
      <c r="GN35">
        <v>63</v>
      </c>
      <c r="GO35">
        <v>60</v>
      </c>
      <c r="GP35" s="46">
        <v>1</v>
      </c>
      <c r="GY35">
        <v>1972</v>
      </c>
      <c r="GZ35" s="112">
        <f t="shared" si="60"/>
        <v>1.2922928046229829</v>
      </c>
      <c r="HA35" s="26" t="e">
        <f t="shared" si="61"/>
        <v>#N/A</v>
      </c>
      <c r="HB35" s="26" t="e">
        <f t="shared" si="62"/>
        <v>#N/A</v>
      </c>
    </row>
    <row r="36" spans="1:210" ht="15" thickBot="1" x14ac:dyDescent="0.4">
      <c r="A36">
        <v>1973</v>
      </c>
      <c r="D36" s="80">
        <f>'SR + catch data Murdoch_age var'!C25</f>
        <v>267080</v>
      </c>
      <c r="E36" s="80">
        <f>'SR + catch data Murdoch_age var'!E25</f>
        <v>813139.91537652921</v>
      </c>
      <c r="F36" s="231">
        <f t="shared" si="63"/>
        <v>1.1133549533851508</v>
      </c>
      <c r="G36" s="80">
        <f>'SR + catch data Murdoch_age var'!D25</f>
        <v>1506960</v>
      </c>
      <c r="H36" s="80">
        <f>'Orig data'!Q27</f>
        <v>1506960</v>
      </c>
      <c r="I36" s="80">
        <f t="shared" si="64"/>
        <v>1239880</v>
      </c>
      <c r="J36" s="150">
        <f t="shared" si="65"/>
        <v>0.82276901842119232</v>
      </c>
      <c r="K36" s="83">
        <f>'SR + catch data Murdoch_age var'!CM25</f>
        <v>1.3247023049419031</v>
      </c>
      <c r="L36" s="83">
        <f>'SR + catch data Murdoch_age var'!CN25</f>
        <v>1.2590341261569382</v>
      </c>
      <c r="M36" s="84">
        <f>'SR + catch data Murdoch_age var'!CO25</f>
        <v>880077.04498614115</v>
      </c>
      <c r="N36" s="81">
        <f t="shared" si="66"/>
        <v>-7.9106262385672518E-2</v>
      </c>
      <c r="O36" s="82">
        <f t="shared" si="67"/>
        <v>1973</v>
      </c>
      <c r="P36" s="81">
        <f t="shared" si="68"/>
        <v>0.10741516534518507</v>
      </c>
      <c r="Q36" s="81">
        <f t="shared" si="68"/>
        <v>0.75930233821489568</v>
      </c>
      <c r="R36" s="81">
        <f t="shared" si="68"/>
        <v>0.13183604264117066</v>
      </c>
      <c r="S36" s="85">
        <f t="shared" si="68"/>
        <v>1.4464537987485602E-3</v>
      </c>
      <c r="T36" s="80">
        <f t="shared" si="144"/>
        <v>161870.3575685801</v>
      </c>
      <c r="U36" s="80">
        <f t="shared" si="145"/>
        <v>1144238.2515963193</v>
      </c>
      <c r="V36" s="80">
        <f t="shared" si="146"/>
        <v>198671.64281853853</v>
      </c>
      <c r="W36" s="80">
        <f t="shared" si="147"/>
        <v>2179.7480165621305</v>
      </c>
      <c r="X36" s="86">
        <f t="shared" si="73"/>
        <v>1973</v>
      </c>
      <c r="Y36" s="79">
        <f t="shared" si="149"/>
        <v>82977.030210161261</v>
      </c>
      <c r="Z36" s="79">
        <f t="shared" si="152"/>
        <v>1051308.5178672832</v>
      </c>
      <c r="AA36" s="79">
        <f t="shared" si="156"/>
        <v>166780.32861971407</v>
      </c>
      <c r="AB36" s="79">
        <f t="shared" si="161"/>
        <v>788.78984768317991</v>
      </c>
      <c r="AC36" s="80">
        <f t="shared" si="78"/>
        <v>1301854.6665448418</v>
      </c>
      <c r="AD36" s="84">
        <f t="shared" si="79"/>
        <v>205105.33345515816</v>
      </c>
      <c r="AE36" s="80">
        <f t="shared" si="80"/>
        <v>1239880</v>
      </c>
      <c r="AF36" s="72">
        <f t="shared" si="81"/>
        <v>0.95239509590627014</v>
      </c>
      <c r="AG36" s="26">
        <f t="shared" si="82"/>
        <v>0.12962607748507782</v>
      </c>
      <c r="AH36" s="61">
        <f t="shared" si="14"/>
        <v>1973</v>
      </c>
      <c r="AI36" s="26">
        <f t="shared" si="15"/>
        <v>0.95239509590627014</v>
      </c>
      <c r="AJ36" s="75">
        <f t="shared" si="150"/>
        <v>58105.411474775763</v>
      </c>
      <c r="AK36" s="75">
        <f t="shared" si="153"/>
        <v>2273198.7386184256</v>
      </c>
      <c r="AL36" s="75">
        <f t="shared" si="157"/>
        <v>151265.43361016616</v>
      </c>
      <c r="AM36" s="75">
        <f t="shared" si="162"/>
        <v>1147.3356859603623</v>
      </c>
      <c r="AN36" s="79">
        <f t="shared" si="84"/>
        <v>2483716.919389328</v>
      </c>
      <c r="AO36" s="80">
        <f t="shared" si="85"/>
        <v>2365479.8136458248</v>
      </c>
      <c r="AP36" s="80">
        <f t="shared" si="86"/>
        <v>118237.1057435032</v>
      </c>
      <c r="AQ36" s="81">
        <v>0.73516174994958516</v>
      </c>
      <c r="AR36" s="81">
        <v>-0.30775048543528666</v>
      </c>
      <c r="AS36" s="81">
        <f>'SR + catch data Murdoch_age var'!N25</f>
        <v>-0.93260892658417072</v>
      </c>
      <c r="AT36" s="121">
        <f>'SR + catch data Murdoch_age var'!BR25</f>
        <v>-0.67676423990970602</v>
      </c>
      <c r="AU36" s="122">
        <f t="shared" si="87"/>
        <v>1.3247023049419029</v>
      </c>
      <c r="AV36" s="122">
        <f t="shared" si="88"/>
        <v>1.1924612157708232</v>
      </c>
      <c r="AW36" s="80">
        <f t="shared" si="17"/>
        <v>387511.10267114907</v>
      </c>
      <c r="AX36" s="80"/>
      <c r="AY36" s="141" t="e">
        <f t="shared" si="89"/>
        <v>#N/A</v>
      </c>
      <c r="AZ36" s="141"/>
      <c r="BA36" s="84" t="e">
        <f t="shared" si="90"/>
        <v>#N/A</v>
      </c>
      <c r="BB36" s="101">
        <v>1973</v>
      </c>
      <c r="BC36" s="72">
        <v>3.5750695088044487E-2</v>
      </c>
      <c r="BD36" s="72">
        <v>0.8358758109360519</v>
      </c>
      <c r="BE36" s="72">
        <v>0.11956904541241889</v>
      </c>
      <c r="BF36" s="72">
        <v>8.3410565338276187E-3</v>
      </c>
      <c r="BG36" s="72">
        <v>4.6339202965708991E-4</v>
      </c>
      <c r="BH36" s="78" t="e">
        <f>-NA()</f>
        <v>#N/A</v>
      </c>
      <c r="BI36" s="78" t="e">
        <f>-NA()</f>
        <v>#N/A</v>
      </c>
      <c r="BJ36" s="78" t="e">
        <f>-NA()</f>
        <v>#N/A</v>
      </c>
      <c r="BK36" s="78" t="e">
        <f>-NA()</f>
        <v>#N/A</v>
      </c>
      <c r="BL36" s="78" t="e">
        <f>-NA()</f>
        <v>#N/A</v>
      </c>
      <c r="BM36" s="56" t="e">
        <f>-NA()</f>
        <v>#N/A</v>
      </c>
      <c r="BN36" s="78" t="e">
        <f>NA()</f>
        <v>#N/A</v>
      </c>
      <c r="BO36" s="78" t="e">
        <f t="shared" si="91"/>
        <v>#N/A</v>
      </c>
      <c r="BP36" s="78" t="e">
        <v>#N/A</v>
      </c>
      <c r="BQ36" s="78" t="e">
        <f t="shared" si="18"/>
        <v>#N/A</v>
      </c>
      <c r="BR36" s="199" t="e">
        <f>-NA()</f>
        <v>#N/A</v>
      </c>
      <c r="BS36" s="78" t="e">
        <f t="shared" si="19"/>
        <v>#N/A</v>
      </c>
      <c r="BT36" s="78" t="e">
        <f t="shared" si="20"/>
        <v>#N/A</v>
      </c>
      <c r="BU36" s="78" t="e">
        <f t="shared" si="21"/>
        <v>#N/A</v>
      </c>
      <c r="BV36" s="78" t="e">
        <f t="shared" si="92"/>
        <v>#N/A</v>
      </c>
      <c r="BW36" s="78" t="e">
        <f t="shared" si="22"/>
        <v>#N/A</v>
      </c>
      <c r="BX36" s="78" t="e">
        <f t="shared" si="23"/>
        <v>#N/A</v>
      </c>
      <c r="BY36" s="78" t="e">
        <f t="shared" ref="BY36:CE36" si="181">$BF$10+SUMPRODUCT($BH$10:$BI$10,BW36:BX36)</f>
        <v>#N/A</v>
      </c>
      <c r="BZ36" s="78" t="e">
        <f t="shared" si="181"/>
        <v>#N/A</v>
      </c>
      <c r="CA36" s="78">
        <v>1973</v>
      </c>
      <c r="CB36" s="78" t="e">
        <f t="shared" si="25"/>
        <v>#N/A</v>
      </c>
      <c r="CC36" s="78" t="e">
        <f t="shared" si="26"/>
        <v>#N/A</v>
      </c>
      <c r="CD36" s="78" t="e">
        <f t="shared" si="181"/>
        <v>#N/A</v>
      </c>
      <c r="CE36" s="78" t="e">
        <f t="shared" si="181"/>
        <v>#N/A</v>
      </c>
      <c r="CF36" s="78" t="e">
        <f t="shared" si="27"/>
        <v>#N/A</v>
      </c>
      <c r="CG36" s="78" t="e">
        <f t="shared" si="28"/>
        <v>#N/A</v>
      </c>
      <c r="CH36" s="78" t="e">
        <f t="shared" si="29"/>
        <v>#N/A</v>
      </c>
      <c r="CI36" s="199" t="e">
        <f t="shared" si="30"/>
        <v>#N/A</v>
      </c>
      <c r="CJ36" s="78" t="e">
        <f t="shared" si="31"/>
        <v>#N/A</v>
      </c>
      <c r="CK36" s="78" t="e">
        <f t="shared" si="32"/>
        <v>#N/A</v>
      </c>
      <c r="CL36" s="78" t="e">
        <f t="shared" si="33"/>
        <v>#N/A</v>
      </c>
      <c r="CM36" s="78"/>
      <c r="CN36" s="180" t="e">
        <f t="shared" si="34"/>
        <v>#N/A</v>
      </c>
      <c r="CO36" s="78" t="e">
        <f t="shared" si="35"/>
        <v>#N/A</v>
      </c>
      <c r="CP36" s="78" t="e">
        <f t="shared" si="94"/>
        <v>#N/A</v>
      </c>
      <c r="CQ36" s="96" t="e">
        <f t="shared" si="36"/>
        <v>#N/A</v>
      </c>
      <c r="CR36" s="78" t="e">
        <f t="shared" si="95"/>
        <v>#N/A</v>
      </c>
      <c r="CS36" s="61" t="e">
        <f t="shared" si="96"/>
        <v>#N/A</v>
      </c>
      <c r="CT36" s="61" t="e">
        <f t="shared" si="97"/>
        <v>#N/A</v>
      </c>
      <c r="CU36" s="61" t="e">
        <f>NA()</f>
        <v>#N/A</v>
      </c>
      <c r="CV36" s="104" t="e">
        <f t="shared" si="98"/>
        <v>#N/A</v>
      </c>
      <c r="CW36" s="105">
        <f t="shared" si="99"/>
        <v>0.73516174994958516</v>
      </c>
      <c r="CX36" s="105">
        <f t="shared" si="100"/>
        <v>-0.30775048543528666</v>
      </c>
      <c r="CY36" s="105">
        <f t="shared" si="101"/>
        <v>-0.93260892658417072</v>
      </c>
      <c r="CZ36" s="123">
        <f t="shared" si="102"/>
        <v>-0.67676423990970602</v>
      </c>
      <c r="DA36" s="81">
        <f t="shared" si="103"/>
        <v>1.3247023049419029</v>
      </c>
      <c r="DB36" s="9">
        <f t="shared" si="104"/>
        <v>387511.10267114907</v>
      </c>
      <c r="DD36" s="1">
        <f>(ES36-DE36)/DE36</f>
        <v>1.3937282229968325E-4</v>
      </c>
      <c r="DE36" s="114">
        <v>1435</v>
      </c>
      <c r="DF36" s="61">
        <v>1973</v>
      </c>
      <c r="DG36" s="26">
        <v>7.6142131979695434E-3</v>
      </c>
      <c r="DH36" s="26">
        <v>0.29512169725367693</v>
      </c>
      <c r="DI36" s="26">
        <v>0.6060236886632826</v>
      </c>
      <c r="DJ36" s="26">
        <v>8.8702329819081091E-2</v>
      </c>
      <c r="DK36" s="26">
        <v>2.5380710659898475E-3</v>
      </c>
      <c r="DL36" s="106">
        <v>1.4352</v>
      </c>
      <c r="DM36" s="106">
        <v>1.855</v>
      </c>
      <c r="DN36" s="26">
        <v>0.25658048373700376</v>
      </c>
      <c r="DO36" s="76">
        <f t="shared" si="107"/>
        <v>1.4352</v>
      </c>
      <c r="DP36" s="119">
        <v>-1.004736098</v>
      </c>
      <c r="DQ36" s="26">
        <v>-0.45436859200000002</v>
      </c>
      <c r="DR36" s="26">
        <v>0.85058438800000002</v>
      </c>
      <c r="DS36" s="26">
        <v>0.65053241699999997</v>
      </c>
      <c r="DT36" s="113" cm="1">
        <f t="array" ref="DT36">$DN$11+SUMPRODUCT(DP$11:$DS$11*DP36:DS36)</f>
        <v>2.1698452123357095</v>
      </c>
      <c r="DU36" s="76">
        <f t="shared" si="40"/>
        <v>2.897081585516466</v>
      </c>
      <c r="DV36" s="72">
        <f t="shared" si="179"/>
        <v>-0.44581918440115942</v>
      </c>
      <c r="DW36" s="199">
        <v>50</v>
      </c>
      <c r="DX36" s="61">
        <v>158.89957382278348</v>
      </c>
      <c r="DY36" s="26">
        <v>0.42305018961951335</v>
      </c>
      <c r="DZ36" s="98">
        <f t="shared" ref="DZ36:DZ39" si="182">EB36/EC36</f>
        <v>0.42305018961951324</v>
      </c>
      <c r="EA36" s="98">
        <f t="shared" ref="EA36:EA39" si="183">DZ36</f>
        <v>0.42305018961951324</v>
      </c>
      <c r="EB36" s="100">
        <f>EC36-DX36-DW36-1000*DL36</f>
        <v>1205.5409741800543</v>
      </c>
      <c r="EC36" s="61">
        <v>2849.6405480028379</v>
      </c>
      <c r="EE36" s="72">
        <f xml:space="preserve"> EN36/(EM36-EP36)</f>
        <v>3.0411783322674513E-2</v>
      </c>
      <c r="EF36">
        <v>1973</v>
      </c>
      <c r="EG36" s="110">
        <f>DY36</f>
        <v>0.42305018961951335</v>
      </c>
      <c r="EH36" s="95">
        <f>$EC36*DG36</f>
        <v>21.697770670072369</v>
      </c>
      <c r="EI36" s="95">
        <f>$EC36*DH36</f>
        <v>840.99075508949556</v>
      </c>
      <c r="EJ36" s="95">
        <f>$EC36*DI36</f>
        <v>1726.9496762651379</v>
      </c>
      <c r="EK36" s="95">
        <f>$EC36*DJ36</f>
        <v>252.76975575477471</v>
      </c>
      <c r="EL36" s="95">
        <f>$EC36*DK36</f>
        <v>7.2325902233574562</v>
      </c>
      <c r="EM36" s="111">
        <f>SUM(EH36:EL36)</f>
        <v>2849.6405480028379</v>
      </c>
      <c r="EN36" s="200">
        <f>DW36</f>
        <v>50</v>
      </c>
      <c r="EO36" s="92">
        <f>DX36</f>
        <v>158.89957382278348</v>
      </c>
      <c r="EP36" s="92">
        <f>EM36*EG36</f>
        <v>1205.5409741800545</v>
      </c>
      <c r="EQ36" s="92">
        <f>SUM(EN36:EP36)</f>
        <v>1414.4405480028379</v>
      </c>
      <c r="ER36" s="128">
        <f>EQ36/EM36</f>
        <v>0.49635753147678374</v>
      </c>
      <c r="ES36" s="111">
        <f>EM36-EQ36</f>
        <v>1435.2</v>
      </c>
      <c r="ET36" s="72">
        <f>DT36</f>
        <v>2.1698452123357095</v>
      </c>
      <c r="EU36" s="96">
        <f>IF(SSLcontrol=0,$ES36/1000*EXP($ET36+$DO$11*$ES36/1000),$ES36/1000*EXP($FA36+$DO$11*$ES36/1000))</f>
        <v>2.897081585516466</v>
      </c>
      <c r="EV36" s="92">
        <f>EU36*1000</f>
        <v>2897.081585516466</v>
      </c>
      <c r="EW36" s="120">
        <f>DP36</f>
        <v>-1.004736098</v>
      </c>
      <c r="EX36" s="9">
        <f t="shared" ref="EX36:EX80" si="184">DQ36</f>
        <v>-0.45436859200000002</v>
      </c>
      <c r="EY36" s="9">
        <f t="shared" ref="EY36:EY99" si="185">DR36</f>
        <v>0.85058438800000002</v>
      </c>
      <c r="EZ36" s="9">
        <f t="shared" ref="EZ36:EZ99" si="186">DS36</f>
        <v>0.65053241699999997</v>
      </c>
      <c r="FA36" s="113" cm="1">
        <f t="array" ref="FA36">$DN$11+SUMPRODUCT($DP$11:$DS$11*EW36:EZ36)</f>
        <v>2.1698452123357095</v>
      </c>
      <c r="FB36">
        <v>1973</v>
      </c>
      <c r="FC36" s="116">
        <f t="shared" si="121"/>
        <v>118237.1057435032</v>
      </c>
      <c r="FD36" s="116">
        <f t="shared" si="122"/>
        <v>485835.63028430799</v>
      </c>
      <c r="FE36" s="116">
        <f t="shared" si="159"/>
        <v>2483716.919389328</v>
      </c>
      <c r="FF36" s="116">
        <f t="shared" si="124"/>
        <v>419410.75538054924</v>
      </c>
      <c r="FG36" s="5">
        <f t="shared" si="173"/>
        <v>66424.874903758755</v>
      </c>
      <c r="FH36" s="5">
        <f t="shared" si="155"/>
        <v>193881.14072329504</v>
      </c>
      <c r="FI36" s="155">
        <f t="shared" si="126"/>
        <v>0.13672293830093799</v>
      </c>
      <c r="FJ36" s="117">
        <f t="shared" si="127"/>
        <v>13.672293830093798</v>
      </c>
      <c r="FK36" s="61">
        <f t="shared" si="50"/>
        <v>7916.674004561567</v>
      </c>
      <c r="FL36" s="61">
        <f t="shared" si="142"/>
        <v>61.368654311693362</v>
      </c>
      <c r="FM36" s="92">
        <f t="shared" si="128"/>
        <v>8.3905027370692427</v>
      </c>
      <c r="FN36" s="72">
        <f t="shared" si="129"/>
        <v>0.13672293830093799</v>
      </c>
      <c r="FO36" s="179">
        <f t="shared" si="51"/>
        <v>0.27968342456897477</v>
      </c>
      <c r="FP36" s="92">
        <f t="shared" si="160"/>
        <v>21.413296854863798</v>
      </c>
      <c r="FQ36" s="1">
        <f t="shared" si="143"/>
        <v>4.7267660680819529E-2</v>
      </c>
      <c r="FR36" s="26">
        <f t="shared" si="130"/>
        <v>1.2566205868369837</v>
      </c>
      <c r="FS36">
        <f t="shared" si="52"/>
        <v>1973</v>
      </c>
      <c r="FT36" s="5" t="e">
        <f t="shared" si="53"/>
        <v>#N/A</v>
      </c>
      <c r="FU36" s="213" t="e">
        <f t="shared" si="54"/>
        <v>#N/A</v>
      </c>
      <c r="FV36" s="213" t="e">
        <f t="shared" si="131"/>
        <v>#N/A</v>
      </c>
      <c r="FW36" s="5" t="e">
        <f t="shared" si="132"/>
        <v>#N/A</v>
      </c>
      <c r="FX36" t="e">
        <f t="shared" si="133"/>
        <v>#N/A</v>
      </c>
      <c r="FY36" t="e">
        <f t="shared" si="55"/>
        <v>#N/A</v>
      </c>
      <c r="FZ36" t="e">
        <f t="shared" si="134"/>
        <v>#N/A</v>
      </c>
      <c r="GA36" t="e">
        <f t="shared" si="56"/>
        <v>#N/A</v>
      </c>
      <c r="GB36" s="61">
        <f t="shared" si="135"/>
        <v>1435.2</v>
      </c>
      <c r="GC36" s="61">
        <f>$GB36*EXP($DN$11+$DO$11*$GB36/1000+$DQ$11*$DQ36+$DR$11*$DR36+$DS$11*$DS36+$DP$11*$FD$11)</f>
        <v>4349.0560548225676</v>
      </c>
      <c r="GD36" s="61" t="e">
        <f>NA()</f>
        <v>#N/A</v>
      </c>
      <c r="GE36" s="61">
        <f>$GB36*EXP($DN$11+$DO$11*$GB36/1000+$DQ$11*$DQ36+$DR$11*$DR36+$DS$11*$DS36+$DP$11*$EW36)</f>
        <v>2897.0815855164656</v>
      </c>
      <c r="GF36" s="61">
        <f>GC36-GE36</f>
        <v>1451.974469306102</v>
      </c>
      <c r="GG36" s="61" t="e">
        <f>NA()</f>
        <v>#N/A</v>
      </c>
      <c r="GH36" s="6">
        <f>GF36/GC36</f>
        <v>0.33385968150399925</v>
      </c>
      <c r="GI36">
        <f>EW36*SSLsdCH+SSLavgCH</f>
        <v>7403.9210953239963</v>
      </c>
      <c r="GJ36" s="26">
        <f>GF36/GI36</f>
        <v>0.19610885240566756</v>
      </c>
      <c r="GK36">
        <f t="shared" si="59"/>
        <v>6.5369617468555852E-3</v>
      </c>
      <c r="GL36" s="232">
        <f t="shared" si="140"/>
        <v>1.2566205868369837</v>
      </c>
      <c r="GO36">
        <v>63</v>
      </c>
      <c r="GP36" s="47">
        <v>0</v>
      </c>
      <c r="GY36">
        <v>1973</v>
      </c>
      <c r="GZ36" s="112">
        <f t="shared" si="60"/>
        <v>1.3247023049419029</v>
      </c>
      <c r="HA36" s="112">
        <f t="shared" si="61"/>
        <v>2.1698452123357095</v>
      </c>
      <c r="HB36" s="26" t="e">
        <f t="shared" si="62"/>
        <v>#N/A</v>
      </c>
    </row>
    <row r="37" spans="1:210" x14ac:dyDescent="0.35">
      <c r="A37">
        <v>1974</v>
      </c>
      <c r="D37" s="80">
        <f>'SR + catch data Murdoch_age var'!C26</f>
        <v>350315</v>
      </c>
      <c r="E37" s="80">
        <f>'SR + catch data Murdoch_age var'!E26</f>
        <v>1019571.2613318693</v>
      </c>
      <c r="F37" s="231">
        <f t="shared" si="63"/>
        <v>1.068304736160173</v>
      </c>
      <c r="G37" s="80">
        <f>'SR + catch data Murdoch_age var'!D26</f>
        <v>717854</v>
      </c>
      <c r="H37" s="80">
        <f>'Orig data'!Q28</f>
        <v>717854</v>
      </c>
      <c r="I37" s="80">
        <f t="shared" si="64"/>
        <v>367539</v>
      </c>
      <c r="J37" s="150">
        <f t="shared" si="65"/>
        <v>0.51199686844400116</v>
      </c>
      <c r="K37" s="83">
        <f>'SR + catch data Murdoch_age var'!CM26</f>
        <v>1.2616086380371405</v>
      </c>
      <c r="L37" s="83">
        <f>'SR + catch data Murdoch_age var'!CN26</f>
        <v>1.2756774009550942</v>
      </c>
      <c r="M37" s="84">
        <f>'SR + catch data Murdoch_age var'!CO26</f>
        <v>1040012.0741296161</v>
      </c>
      <c r="N37" s="81">
        <f t="shared" si="66"/>
        <v>-1.9850115921572872E-2</v>
      </c>
      <c r="O37" s="82">
        <f t="shared" si="67"/>
        <v>1974</v>
      </c>
      <c r="P37" s="81">
        <f t="shared" si="68"/>
        <v>0.10741516534518507</v>
      </c>
      <c r="Q37" s="81">
        <f t="shared" si="68"/>
        <v>0.75930233821489568</v>
      </c>
      <c r="R37" s="81">
        <f t="shared" si="68"/>
        <v>0.13183604264117066</v>
      </c>
      <c r="S37" s="85">
        <f t="shared" si="68"/>
        <v>1.4464537987485602E-3</v>
      </c>
      <c r="T37" s="80">
        <f t="shared" si="144"/>
        <v>77108.40610370248</v>
      </c>
      <c r="U37" s="80">
        <f t="shared" si="145"/>
        <v>545068.22069691576</v>
      </c>
      <c r="V37" s="80">
        <f t="shared" si="146"/>
        <v>94639.030554134923</v>
      </c>
      <c r="W37" s="80">
        <f t="shared" si="147"/>
        <v>1038.3426452468489</v>
      </c>
      <c r="X37" s="86">
        <f t="shared" si="73"/>
        <v>1974</v>
      </c>
      <c r="Y37" s="79">
        <f t="shared" si="149"/>
        <v>62263.44710748356</v>
      </c>
      <c r="Z37" s="79">
        <f t="shared" si="152"/>
        <v>586552.67954235559</v>
      </c>
      <c r="AA37" s="79">
        <f t="shared" si="156"/>
        <v>182536.45170700207</v>
      </c>
      <c r="AB37" s="79">
        <f t="shared" si="161"/>
        <v>1829.8489173034575</v>
      </c>
      <c r="AC37" s="80">
        <f t="shared" si="78"/>
        <v>833182.4272741446</v>
      </c>
      <c r="AD37" s="84">
        <f t="shared" si="79"/>
        <v>-115328.4272741446</v>
      </c>
      <c r="AE37" s="80">
        <f t="shared" si="80"/>
        <v>367539</v>
      </c>
      <c r="AF37" s="72">
        <f t="shared" si="81"/>
        <v>0.44112668242709768</v>
      </c>
      <c r="AG37" s="26">
        <f t="shared" si="82"/>
        <v>-7.087018601690348E-2</v>
      </c>
      <c r="AH37" s="61">
        <f t="shared" si="14"/>
        <v>1974</v>
      </c>
      <c r="AI37" s="26">
        <f t="shared" si="15"/>
        <v>0.44112668242709768</v>
      </c>
      <c r="AJ37" s="75">
        <f t="shared" si="150"/>
        <v>119966.17790602504</v>
      </c>
      <c r="AK37" s="75">
        <f t="shared" si="153"/>
        <v>410738.78771172557</v>
      </c>
      <c r="AL37" s="75">
        <f t="shared" si="157"/>
        <v>394690.64001688454</v>
      </c>
      <c r="AM37" s="75">
        <f t="shared" si="162"/>
        <v>1659.6255218331708</v>
      </c>
      <c r="AN37" s="79">
        <f t="shared" si="84"/>
        <v>927055.23115646839</v>
      </c>
      <c r="AO37" s="80">
        <f t="shared" si="85"/>
        <v>408948.79854673904</v>
      </c>
      <c r="AP37" s="80">
        <f t="shared" si="86"/>
        <v>518106.43260972935</v>
      </c>
      <c r="AQ37" s="81">
        <v>-0.11173288203127058</v>
      </c>
      <c r="AR37" s="81">
        <v>0.70535512720204396</v>
      </c>
      <c r="AS37" s="81">
        <f>'SR + catch data Murdoch_age var'!N26</f>
        <v>-0.10343429298183603</v>
      </c>
      <c r="AT37" s="121">
        <f>'SR + catch data Murdoch_age var'!BR26</f>
        <v>-0.67459109858987365</v>
      </c>
      <c r="AU37" s="122">
        <f t="shared" si="87"/>
        <v>1.2616086380371405</v>
      </c>
      <c r="AV37" s="122">
        <f t="shared" si="88"/>
        <v>1.0881548520817459</v>
      </c>
      <c r="AW37" s="80">
        <f t="shared" si="17"/>
        <v>1387703.8342862716</v>
      </c>
      <c r="AX37" s="80"/>
      <c r="AY37" s="141" t="e">
        <f t="shared" si="89"/>
        <v>#N/A</v>
      </c>
      <c r="AZ37" s="141"/>
      <c r="BA37" s="84" t="e">
        <f t="shared" si="90"/>
        <v>#N/A</v>
      </c>
      <c r="BB37" s="101">
        <v>1974</v>
      </c>
      <c r="BC37" s="72">
        <v>3.5750695088044487E-2</v>
      </c>
      <c r="BD37" s="72">
        <v>0.8358758109360519</v>
      </c>
      <c r="BE37" s="72">
        <v>0.11956904541241889</v>
      </c>
      <c r="BF37" s="72">
        <v>8.3410565338276187E-3</v>
      </c>
      <c r="BG37" s="72">
        <v>4.6339202965708991E-4</v>
      </c>
      <c r="BH37" s="78" t="e">
        <f>-NA()</f>
        <v>#N/A</v>
      </c>
      <c r="BI37" s="78" t="e">
        <f>-NA()</f>
        <v>#N/A</v>
      </c>
      <c r="BJ37" s="78" t="e">
        <f>-NA()</f>
        <v>#N/A</v>
      </c>
      <c r="BK37" s="78" t="e">
        <f>-NA()</f>
        <v>#N/A</v>
      </c>
      <c r="BL37" s="78" t="e">
        <f>-NA()</f>
        <v>#N/A</v>
      </c>
      <c r="BM37" s="56" t="e">
        <f>-NA()</f>
        <v>#N/A</v>
      </c>
      <c r="BN37" s="78" t="e">
        <f>NA()</f>
        <v>#N/A</v>
      </c>
      <c r="BO37" s="78" t="e">
        <f t="shared" si="91"/>
        <v>#N/A</v>
      </c>
      <c r="BP37" s="78" t="e">
        <v>#N/A</v>
      </c>
      <c r="BQ37" s="78" t="e">
        <f t="shared" si="18"/>
        <v>#N/A</v>
      </c>
      <c r="BR37" s="199" t="e">
        <f>-NA()</f>
        <v>#N/A</v>
      </c>
      <c r="BS37" s="78" t="e">
        <f t="shared" si="19"/>
        <v>#N/A</v>
      </c>
      <c r="BT37" s="78" t="e">
        <f t="shared" si="20"/>
        <v>#N/A</v>
      </c>
      <c r="BU37" s="78" t="e">
        <f t="shared" si="21"/>
        <v>#N/A</v>
      </c>
      <c r="BV37" s="78" t="e">
        <f t="shared" si="92"/>
        <v>#N/A</v>
      </c>
      <c r="BW37" s="78" t="e">
        <f t="shared" si="22"/>
        <v>#N/A</v>
      </c>
      <c r="BX37" s="78" t="e">
        <f t="shared" si="23"/>
        <v>#N/A</v>
      </c>
      <c r="BY37" s="78" t="e">
        <f t="shared" ref="BY37:CE37" si="187">$BF$10+SUMPRODUCT($BH$10:$BI$10,BW37:BX37)</f>
        <v>#N/A</v>
      </c>
      <c r="BZ37" s="78" t="e">
        <f t="shared" si="187"/>
        <v>#N/A</v>
      </c>
      <c r="CA37" s="78">
        <v>1974</v>
      </c>
      <c r="CB37" s="78" t="e">
        <f t="shared" si="25"/>
        <v>#N/A</v>
      </c>
      <c r="CC37" s="78" t="e">
        <f t="shared" si="26"/>
        <v>#N/A</v>
      </c>
      <c r="CD37" s="78" t="e">
        <f t="shared" si="187"/>
        <v>#N/A</v>
      </c>
      <c r="CE37" s="78" t="e">
        <f t="shared" si="187"/>
        <v>#N/A</v>
      </c>
      <c r="CF37" s="78" t="e">
        <f t="shared" si="27"/>
        <v>#N/A</v>
      </c>
      <c r="CG37" s="78" t="e">
        <f t="shared" si="28"/>
        <v>#N/A</v>
      </c>
      <c r="CH37" s="78" t="e">
        <f t="shared" si="29"/>
        <v>#N/A</v>
      </c>
      <c r="CI37" s="199" t="e">
        <f t="shared" si="30"/>
        <v>#N/A</v>
      </c>
      <c r="CJ37" s="78" t="e">
        <f t="shared" si="31"/>
        <v>#N/A</v>
      </c>
      <c r="CK37" s="78" t="e">
        <f t="shared" si="32"/>
        <v>#N/A</v>
      </c>
      <c r="CL37" s="78" t="e">
        <f t="shared" si="33"/>
        <v>#N/A</v>
      </c>
      <c r="CM37" s="78"/>
      <c r="CN37" s="180" t="e">
        <f t="shared" si="34"/>
        <v>#N/A</v>
      </c>
      <c r="CO37" s="78" t="e">
        <f t="shared" si="35"/>
        <v>#N/A</v>
      </c>
      <c r="CP37" s="78" t="e">
        <f t="shared" si="94"/>
        <v>#N/A</v>
      </c>
      <c r="CQ37" s="96" t="e">
        <f t="shared" si="36"/>
        <v>#N/A</v>
      </c>
      <c r="CR37" s="78" t="e">
        <f t="shared" si="95"/>
        <v>#N/A</v>
      </c>
      <c r="CS37" s="61" t="e">
        <f t="shared" si="96"/>
        <v>#N/A</v>
      </c>
      <c r="CT37" s="61" t="e">
        <f t="shared" si="97"/>
        <v>#N/A</v>
      </c>
      <c r="CU37" s="61" t="e">
        <f>NA()</f>
        <v>#N/A</v>
      </c>
      <c r="CV37" s="104" t="e">
        <f t="shared" si="98"/>
        <v>#N/A</v>
      </c>
      <c r="CW37" s="105">
        <f t="shared" si="99"/>
        <v>-0.11173288203127058</v>
      </c>
      <c r="CX37" s="105">
        <f t="shared" si="100"/>
        <v>0.70535512720204396</v>
      </c>
      <c r="CY37" s="105">
        <f t="shared" si="101"/>
        <v>-0.10343429298183603</v>
      </c>
      <c r="CZ37" s="123">
        <f t="shared" si="102"/>
        <v>-0.67459109858987365</v>
      </c>
      <c r="DA37" s="81">
        <f t="shared" si="103"/>
        <v>1.2616086380371405</v>
      </c>
      <c r="DB37" s="9">
        <f t="shared" si="104"/>
        <v>1387703.8342862716</v>
      </c>
      <c r="DD37" s="1">
        <f t="shared" si="105"/>
        <v>-2.9542097488962016E-4</v>
      </c>
      <c r="DE37" s="114">
        <v>677</v>
      </c>
      <c r="DF37" s="61">
        <v>1974</v>
      </c>
      <c r="DG37" s="26">
        <v>7.6142131979695434E-3</v>
      </c>
      <c r="DH37" s="26">
        <v>0.29512169725367693</v>
      </c>
      <c r="DI37" s="26">
        <v>0.6060236886632826</v>
      </c>
      <c r="DJ37" s="26">
        <v>8.8702329819081091E-2</v>
      </c>
      <c r="DK37" s="26">
        <v>2.5380710659898475E-3</v>
      </c>
      <c r="DL37" s="106">
        <v>0.67679999999999996</v>
      </c>
      <c r="DM37" s="106">
        <v>1.5960000000000001</v>
      </c>
      <c r="DN37" s="26">
        <v>0.85787996971774061</v>
      </c>
      <c r="DO37" s="76">
        <f t="shared" si="107"/>
        <v>0.67679999999999996</v>
      </c>
      <c r="DP37" s="119">
        <v>-0.98113719700000002</v>
      </c>
      <c r="DQ37" s="26">
        <v>-0.66768808400000002</v>
      </c>
      <c r="DR37" s="26">
        <v>0.41198033499999998</v>
      </c>
      <c r="DS37" s="26">
        <v>-0.296143718</v>
      </c>
      <c r="DT37" s="113" cm="1">
        <f t="array" ref="DT37">$DN$11+SUMPRODUCT(DP$11:$DS$11*DP37:DS37)</f>
        <v>1.9196340882901279</v>
      </c>
      <c r="DU37" s="76">
        <f t="shared" si="40"/>
        <v>2.3100023107348733</v>
      </c>
      <c r="DV37" s="72">
        <f t="shared" si="179"/>
        <v>-0.36974802582371175</v>
      </c>
      <c r="DW37" s="199">
        <v>50</v>
      </c>
      <c r="DX37" s="61">
        <v>533.03731011582602</v>
      </c>
      <c r="DY37" s="26">
        <v>0.42305018961951335</v>
      </c>
      <c r="DZ37" s="98">
        <f t="shared" si="182"/>
        <v>0.42305018961951318</v>
      </c>
      <c r="EA37" s="98">
        <f t="shared" si="183"/>
        <v>0.42305018961951318</v>
      </c>
      <c r="EB37" s="100">
        <f t="shared" ref="EB37:EB80" si="188">EC37-DX37-DW37-1000*DL37</f>
        <v>923.77950966437061</v>
      </c>
      <c r="EC37" s="61">
        <v>2183.6168197801967</v>
      </c>
      <c r="EE37" s="72">
        <f t="shared" ref="EE37:EE100" si="189" xml:space="preserve"> EN37/(EM37-EP37)</f>
        <v>3.9687664112283784E-2</v>
      </c>
      <c r="EF37">
        <v>1974</v>
      </c>
      <c r="EG37" s="110">
        <f t="shared" ref="EG37:EG53" si="190">DY37</f>
        <v>0.42305018961951335</v>
      </c>
      <c r="EH37" s="95">
        <f t="shared" ref="EH37:EH39" si="191">$EC37*DG37</f>
        <v>16.626524008478654</v>
      </c>
      <c r="EI37" s="95">
        <f t="shared" ref="EI37:EI40" si="192">$EC37*DH37</f>
        <v>644.43270200520806</v>
      </c>
      <c r="EJ37" s="95">
        <f t="shared" ref="EJ37:EJ41" si="193">$EC37*DI37</f>
        <v>1323.3235197503811</v>
      </c>
      <c r="EK37" s="95">
        <f t="shared" ref="EK37:EK42" si="194">$EC37*DJ37</f>
        <v>193.69189934663595</v>
      </c>
      <c r="EL37" s="95">
        <f t="shared" ref="EL37:EL43" si="195">$EC37*DK37</f>
        <v>5.5421746694928844</v>
      </c>
      <c r="EM37" s="111">
        <f t="shared" ref="EM37:EM100" si="196">SUM(EH37:EL37)</f>
        <v>2183.6168197801967</v>
      </c>
      <c r="EN37" s="200">
        <f t="shared" ref="EN37:EN80" si="197">DW37</f>
        <v>50</v>
      </c>
      <c r="EO37" s="92">
        <f t="shared" ref="EO37:EO80" si="198">DX37</f>
        <v>533.03731011582602</v>
      </c>
      <c r="EP37" s="92">
        <f t="shared" ref="EP37:EP59" si="199">EM37*EG37</f>
        <v>923.77950966437095</v>
      </c>
      <c r="EQ37" s="92">
        <f t="shared" ref="EQ37:EQ40" si="200">SUM(EN37:EP37)</f>
        <v>1506.816819780197</v>
      </c>
      <c r="ER37" s="128">
        <f t="shared" ref="ER37:ER80" si="201">EQ37/EM37</f>
        <v>0.69005551071541638</v>
      </c>
      <c r="ES37" s="111">
        <f t="shared" ref="ES37:ES40" si="202">EM37-EQ37</f>
        <v>676.79999999999973</v>
      </c>
      <c r="ET37" s="72">
        <f t="shared" ref="ET37:ET80" si="203">DT37</f>
        <v>1.9196340882901279</v>
      </c>
      <c r="EU37" s="96">
        <f t="shared" ref="EU37:EU67" si="204">IF(SSLcontrol=0,$ES37/1000*EXP($ET37+$DO$11*$ES37/1000),$ES37/1000*EXP($FA37+$DO$11*$ES37/1000))</f>
        <v>2.3100023107348724</v>
      </c>
      <c r="EV37" s="92">
        <f t="shared" ref="EV37:EV100" si="205">EU37*1000</f>
        <v>2310.0023107348725</v>
      </c>
      <c r="EW37" s="120">
        <f t="shared" ref="EW37:EW41" si="206">DP37</f>
        <v>-0.98113719700000002</v>
      </c>
      <c r="EX37" s="9">
        <f t="shared" si="184"/>
        <v>-0.66768808400000002</v>
      </c>
      <c r="EY37" s="9">
        <f t="shared" si="185"/>
        <v>0.41198033499999998</v>
      </c>
      <c r="EZ37" s="9">
        <f t="shared" si="186"/>
        <v>-0.296143718</v>
      </c>
      <c r="FA37" s="113" cm="1">
        <f t="array" ref="FA37">$DN$11+SUMPRODUCT($DP$11:$DS$11*EW37:EZ37)</f>
        <v>1.9196340882901279</v>
      </c>
      <c r="FB37">
        <v>1974</v>
      </c>
      <c r="FC37" s="116">
        <f t="shared" si="121"/>
        <v>518106.43260972935</v>
      </c>
      <c r="FD37" s="116">
        <f t="shared" si="122"/>
        <v>1640510.5310472115</v>
      </c>
      <c r="FE37" s="116">
        <f t="shared" si="159"/>
        <v>927055.23115646839</v>
      </c>
      <c r="FF37" s="116">
        <f t="shared" si="124"/>
        <v>1415525.1307185651</v>
      </c>
      <c r="FG37" s="5">
        <f t="shared" si="173"/>
        <v>224985.40032864641</v>
      </c>
      <c r="FH37" s="5">
        <f t="shared" si="155"/>
        <v>83416.019573508063</v>
      </c>
      <c r="FI37" s="155">
        <f t="shared" si="126"/>
        <v>0.13714352701230642</v>
      </c>
      <c r="FJ37" s="117">
        <f t="shared" si="127"/>
        <v>13.714352701230641</v>
      </c>
      <c r="FK37" s="61">
        <f t="shared" si="50"/>
        <v>7942.9150278875686</v>
      </c>
      <c r="FL37" s="61">
        <f t="shared" si="142"/>
        <v>206.53759045481164</v>
      </c>
      <c r="FM37" s="92">
        <f t="shared" si="128"/>
        <v>28.325293615596145</v>
      </c>
      <c r="FN37" s="72">
        <f t="shared" si="129"/>
        <v>0.13714352701230642</v>
      </c>
      <c r="FO37" s="179">
        <f t="shared" si="51"/>
        <v>0.94417645385320481</v>
      </c>
      <c r="FP37" s="92">
        <f t="shared" si="160"/>
        <v>21.859145081764087</v>
      </c>
      <c r="FQ37" s="1">
        <f t="shared" si="143"/>
        <v>3.3146525056964057E-3</v>
      </c>
      <c r="FR37" s="26">
        <f t="shared" si="130"/>
        <v>1.2607858474138527</v>
      </c>
      <c r="FS37">
        <f t="shared" si="52"/>
        <v>1974</v>
      </c>
      <c r="FT37" s="5" t="e">
        <f t="shared" si="53"/>
        <v>#N/A</v>
      </c>
      <c r="FU37" s="213" t="e">
        <f t="shared" si="54"/>
        <v>#N/A</v>
      </c>
      <c r="FV37" s="213" t="e">
        <f t="shared" si="131"/>
        <v>#N/A</v>
      </c>
      <c r="FW37" s="5" t="e">
        <f t="shared" si="132"/>
        <v>#N/A</v>
      </c>
      <c r="FX37" t="e">
        <f t="shared" si="133"/>
        <v>#N/A</v>
      </c>
      <c r="FY37" t="e">
        <f t="shared" si="55"/>
        <v>#N/A</v>
      </c>
      <c r="FZ37" t="e">
        <f t="shared" si="134"/>
        <v>#N/A</v>
      </c>
      <c r="GA37" t="e">
        <f t="shared" si="56"/>
        <v>#N/A</v>
      </c>
      <c r="GB37" s="61">
        <f t="shared" si="135"/>
        <v>676.79999999999973</v>
      </c>
      <c r="GC37" s="61">
        <f t="shared" ref="GC37:GC100" si="207">$GB37*EXP($DN$11+$DO$11*$GB37/1000+$DQ$11*$DQ37+$DR$11*$DR37+$DS$11*$DS37+$DP$11*$FD$11)</f>
        <v>3533.225835332546</v>
      </c>
      <c r="GD37" s="61" t="e">
        <f>NA()</f>
        <v>#N/A</v>
      </c>
      <c r="GE37" s="61">
        <f>$GB37*EXP($DN$11+$DO$11*$GB37/1000+$DQ$11*$DQ37+$DR$11*$DR37+$DS$11*$DS37+$DP$11*$EW37)</f>
        <v>2310.0023107348725</v>
      </c>
      <c r="GF37" s="61">
        <f t="shared" si="137"/>
        <v>1223.2235245976735</v>
      </c>
      <c r="GG37" s="61" t="e">
        <f>NA()</f>
        <v>#N/A</v>
      </c>
      <c r="GH37" s="6">
        <f t="shared" si="138"/>
        <v>0.34620587010468978</v>
      </c>
      <c r="GI37">
        <f t="shared" si="58"/>
        <v>7744.8676684136171</v>
      </c>
      <c r="GJ37" s="26">
        <f t="shared" ref="GJ37:GJ80" si="208">GF37/GI37</f>
        <v>0.1579398870282088</v>
      </c>
      <c r="GK37">
        <f t="shared" si="59"/>
        <v>5.2646629009402935E-3</v>
      </c>
      <c r="GL37" s="232">
        <f t="shared" si="140"/>
        <v>1.2607858474138527</v>
      </c>
      <c r="GY37">
        <v>1974</v>
      </c>
      <c r="GZ37" s="112">
        <f t="shared" si="60"/>
        <v>1.2616086380371405</v>
      </c>
      <c r="HA37" s="112">
        <f t="shared" si="61"/>
        <v>1.9196340882901279</v>
      </c>
      <c r="HB37" s="26" t="e">
        <f t="shared" si="62"/>
        <v>#N/A</v>
      </c>
    </row>
    <row r="38" spans="1:210" x14ac:dyDescent="0.35">
      <c r="A38">
        <v>1975</v>
      </c>
      <c r="D38" s="80">
        <f>'SR + catch data Murdoch_age var'!C27</f>
        <v>191420</v>
      </c>
      <c r="E38" s="80">
        <f>'SR + catch data Murdoch_age var'!E27</f>
        <v>482340.97376990766</v>
      </c>
      <c r="F38" s="231">
        <f t="shared" si="63"/>
        <v>0.92418131164356232</v>
      </c>
      <c r="G38" s="80">
        <f>'SR + catch data Murdoch_age var'!D27</f>
        <v>486199</v>
      </c>
      <c r="H38" s="80">
        <f>'Orig data'!Q29</f>
        <v>486199</v>
      </c>
      <c r="I38" s="80">
        <f t="shared" si="64"/>
        <v>294779</v>
      </c>
      <c r="J38" s="150">
        <f t="shared" si="65"/>
        <v>0.60629289653002161</v>
      </c>
      <c r="K38" s="83">
        <f>'SR + catch data Murdoch_age var'!CM27</f>
        <v>1.501764940870687</v>
      </c>
      <c r="L38" s="83">
        <f>'SR + catch data Murdoch_age var'!CN27</f>
        <v>1.2895822987450007</v>
      </c>
      <c r="M38" s="84">
        <f>'SR + catch data Murdoch_age var'!CO27</f>
        <v>781688.13396926981</v>
      </c>
      <c r="N38" s="81">
        <f t="shared" si="66"/>
        <v>-0.48280457692396417</v>
      </c>
      <c r="O38" s="82">
        <f t="shared" si="67"/>
        <v>1975</v>
      </c>
      <c r="P38" s="81">
        <f t="shared" si="68"/>
        <v>0.10741516534518507</v>
      </c>
      <c r="Q38" s="81">
        <f t="shared" si="68"/>
        <v>0.75930233821489568</v>
      </c>
      <c r="R38" s="81">
        <f t="shared" si="68"/>
        <v>0.13183604264117066</v>
      </c>
      <c r="S38" s="85">
        <f t="shared" si="68"/>
        <v>1.4464537987485602E-3</v>
      </c>
      <c r="T38" s="80">
        <f t="shared" si="144"/>
        <v>52225.145975663632</v>
      </c>
      <c r="U38" s="80">
        <f t="shared" si="145"/>
        <v>369172.03753774404</v>
      </c>
      <c r="V38" s="80">
        <f t="shared" si="146"/>
        <v>64098.552096094536</v>
      </c>
      <c r="W38" s="80">
        <f t="shared" si="147"/>
        <v>703.26439049775126</v>
      </c>
      <c r="X38" s="86">
        <f t="shared" si="73"/>
        <v>1975</v>
      </c>
      <c r="Y38" s="79">
        <f t="shared" si="149"/>
        <v>97890.046576892069</v>
      </c>
      <c r="Z38" s="79">
        <f t="shared" si="152"/>
        <v>440131.34292634553</v>
      </c>
      <c r="AA38" s="79">
        <f t="shared" si="156"/>
        <v>101841.88850680653</v>
      </c>
      <c r="AB38" s="79">
        <f t="shared" si="161"/>
        <v>2002.7189734472734</v>
      </c>
      <c r="AC38" s="80">
        <f t="shared" si="78"/>
        <v>641865.99698349135</v>
      </c>
      <c r="AD38" s="84">
        <f t="shared" si="79"/>
        <v>-155666.99698349135</v>
      </c>
      <c r="AE38" s="80">
        <f t="shared" si="80"/>
        <v>294779</v>
      </c>
      <c r="AF38" s="72">
        <f t="shared" si="81"/>
        <v>0.45925317961278705</v>
      </c>
      <c r="AG38" s="26">
        <f t="shared" si="82"/>
        <v>-0.14703971691723455</v>
      </c>
      <c r="AH38" s="61">
        <f t="shared" si="14"/>
        <v>1975</v>
      </c>
      <c r="AI38" s="26">
        <f t="shared" si="15"/>
        <v>0.45925317961278705</v>
      </c>
      <c r="AJ38" s="75">
        <f t="shared" si="150"/>
        <v>69656.295659061143</v>
      </c>
      <c r="AK38" s="75">
        <f t="shared" si="153"/>
        <v>848023.63891563984</v>
      </c>
      <c r="AL38" s="75">
        <f t="shared" si="157"/>
        <v>71315.698116315238</v>
      </c>
      <c r="AM38" s="75">
        <f t="shared" si="162"/>
        <v>4330.3922367936584</v>
      </c>
      <c r="AN38" s="79">
        <f t="shared" si="84"/>
        <v>993326.02492780983</v>
      </c>
      <c r="AO38" s="80">
        <f t="shared" si="85"/>
        <v>456188.13534022722</v>
      </c>
      <c r="AP38" s="80">
        <f t="shared" si="86"/>
        <v>537137.88958758255</v>
      </c>
      <c r="AQ38" s="81">
        <v>0.73195731274107856</v>
      </c>
      <c r="AR38" s="81">
        <v>1.2242628800162865</v>
      </c>
      <c r="AS38" s="81">
        <f>'SR + catch data Murdoch_age var'!N27</f>
        <v>-1.1113282711701378</v>
      </c>
      <c r="AT38" s="121">
        <f>'SR + catch data Murdoch_age var'!BR27</f>
        <v>-0.68217551350500072</v>
      </c>
      <c r="AU38" s="122">
        <f t="shared" si="87"/>
        <v>1.501764940870687</v>
      </c>
      <c r="AV38" s="122">
        <f t="shared" si="88"/>
        <v>1.4069858885675266</v>
      </c>
      <c r="AW38" s="80">
        <f t="shared" si="17"/>
        <v>1140541.6528069086</v>
      </c>
      <c r="AX38" s="80"/>
      <c r="AY38" s="141" t="e">
        <f t="shared" si="89"/>
        <v>#N/A</v>
      </c>
      <c r="AZ38" s="141"/>
      <c r="BA38" s="84" t="e">
        <f t="shared" si="90"/>
        <v>#N/A</v>
      </c>
      <c r="BB38" s="101">
        <v>1975</v>
      </c>
      <c r="BC38" s="72">
        <v>3.5750695088044487E-2</v>
      </c>
      <c r="BD38" s="72">
        <v>0.8358758109360519</v>
      </c>
      <c r="BE38" s="72">
        <v>0.11956904541241889</v>
      </c>
      <c r="BF38" s="72">
        <v>8.3410565338276187E-3</v>
      </c>
      <c r="BG38" s="72">
        <v>4.6339202965708991E-4</v>
      </c>
      <c r="BH38" s="78" t="e">
        <f>-NA()</f>
        <v>#N/A</v>
      </c>
      <c r="BI38" s="78" t="e">
        <f>-NA()</f>
        <v>#N/A</v>
      </c>
      <c r="BJ38" s="78" t="e">
        <f>-NA()</f>
        <v>#N/A</v>
      </c>
      <c r="BK38" s="78" t="e">
        <f>-NA()</f>
        <v>#N/A</v>
      </c>
      <c r="BL38" s="78" t="e">
        <f>-NA()</f>
        <v>#N/A</v>
      </c>
      <c r="BM38" s="56" t="e">
        <f>-NA()</f>
        <v>#N/A</v>
      </c>
      <c r="BN38" s="78" t="e">
        <f>NA()</f>
        <v>#N/A</v>
      </c>
      <c r="BO38" s="78" t="e">
        <f t="shared" si="91"/>
        <v>#N/A</v>
      </c>
      <c r="BP38" s="78" t="e">
        <v>#N/A</v>
      </c>
      <c r="BQ38" s="78" t="e">
        <f t="shared" si="18"/>
        <v>#N/A</v>
      </c>
      <c r="BR38" s="199" t="e">
        <f>-NA()</f>
        <v>#N/A</v>
      </c>
      <c r="BS38" s="78" t="e">
        <f t="shared" si="19"/>
        <v>#N/A</v>
      </c>
      <c r="BT38" s="78" t="e">
        <f t="shared" si="20"/>
        <v>#N/A</v>
      </c>
      <c r="BU38" s="78" t="e">
        <f t="shared" si="21"/>
        <v>#N/A</v>
      </c>
      <c r="BV38" s="78" t="e">
        <f t="shared" si="92"/>
        <v>#N/A</v>
      </c>
      <c r="BW38" s="78" t="e">
        <f t="shared" si="22"/>
        <v>#N/A</v>
      </c>
      <c r="BX38" s="78" t="e">
        <f t="shared" si="23"/>
        <v>#N/A</v>
      </c>
      <c r="BY38" s="78" t="e">
        <f t="shared" ref="BY38:CE38" si="209">$BF$10+SUMPRODUCT($BH$10:$BI$10,BW38:BX38)</f>
        <v>#N/A</v>
      </c>
      <c r="BZ38" s="78" t="e">
        <f t="shared" si="209"/>
        <v>#N/A</v>
      </c>
      <c r="CA38" s="78">
        <v>1975</v>
      </c>
      <c r="CB38" s="78" t="e">
        <f t="shared" si="25"/>
        <v>#N/A</v>
      </c>
      <c r="CC38" s="78" t="e">
        <f t="shared" si="26"/>
        <v>#N/A</v>
      </c>
      <c r="CD38" s="78" t="e">
        <f t="shared" si="209"/>
        <v>#N/A</v>
      </c>
      <c r="CE38" s="78" t="e">
        <f t="shared" si="209"/>
        <v>#N/A</v>
      </c>
      <c r="CF38" s="78" t="e">
        <f t="shared" si="27"/>
        <v>#N/A</v>
      </c>
      <c r="CG38" s="78" t="e">
        <f t="shared" si="28"/>
        <v>#N/A</v>
      </c>
      <c r="CH38" s="78" t="e">
        <f t="shared" si="29"/>
        <v>#N/A</v>
      </c>
      <c r="CI38" s="199" t="e">
        <f t="shared" si="30"/>
        <v>#N/A</v>
      </c>
      <c r="CJ38" s="78" t="e">
        <f t="shared" si="31"/>
        <v>#N/A</v>
      </c>
      <c r="CK38" s="78" t="e">
        <f t="shared" si="32"/>
        <v>#N/A</v>
      </c>
      <c r="CL38" s="78" t="e">
        <f t="shared" si="33"/>
        <v>#N/A</v>
      </c>
      <c r="CM38" s="78"/>
      <c r="CN38" s="180" t="e">
        <f t="shared" si="34"/>
        <v>#N/A</v>
      </c>
      <c r="CO38" s="78" t="e">
        <f t="shared" si="35"/>
        <v>#N/A</v>
      </c>
      <c r="CP38" s="78" t="e">
        <f t="shared" si="94"/>
        <v>#N/A</v>
      </c>
      <c r="CQ38" s="96" t="e">
        <f t="shared" si="36"/>
        <v>#N/A</v>
      </c>
      <c r="CR38" s="78" t="e">
        <f t="shared" si="95"/>
        <v>#N/A</v>
      </c>
      <c r="CS38" s="61" t="e">
        <f t="shared" si="96"/>
        <v>#N/A</v>
      </c>
      <c r="CT38" s="61" t="e">
        <f t="shared" si="97"/>
        <v>#N/A</v>
      </c>
      <c r="CU38" s="61" t="e">
        <f>NA()</f>
        <v>#N/A</v>
      </c>
      <c r="CV38" s="104" t="e">
        <f t="shared" si="98"/>
        <v>#N/A</v>
      </c>
      <c r="CW38" s="105">
        <f t="shared" si="99"/>
        <v>0.73195731274107856</v>
      </c>
      <c r="CX38" s="105">
        <f t="shared" si="100"/>
        <v>1.2242628800162865</v>
      </c>
      <c r="CY38" s="105">
        <f t="shared" si="101"/>
        <v>-1.1113282711701378</v>
      </c>
      <c r="CZ38" s="123">
        <f t="shared" si="102"/>
        <v>-0.68217551350500072</v>
      </c>
      <c r="DA38" s="81">
        <f t="shared" si="103"/>
        <v>1.501764940870687</v>
      </c>
      <c r="DB38" s="9">
        <f t="shared" si="104"/>
        <v>1140541.6528069086</v>
      </c>
      <c r="DD38" s="1">
        <f t="shared" si="105"/>
        <v>-3.4423407917391646E-4</v>
      </c>
      <c r="DE38" s="114">
        <v>581</v>
      </c>
      <c r="DF38" s="61">
        <v>1975</v>
      </c>
      <c r="DG38" s="26">
        <v>7.6142131979695434E-3</v>
      </c>
      <c r="DH38" s="26">
        <v>0.29512169725367693</v>
      </c>
      <c r="DI38" s="26">
        <v>0.6060236886632826</v>
      </c>
      <c r="DJ38" s="26">
        <v>8.8702329819081091E-2</v>
      </c>
      <c r="DK38" s="26">
        <v>2.5380710659898475E-3</v>
      </c>
      <c r="DL38" s="106">
        <v>0.58079999999999998</v>
      </c>
      <c r="DM38" s="106">
        <v>1.3979999999999999</v>
      </c>
      <c r="DN38" s="26">
        <v>0.87839145928316908</v>
      </c>
      <c r="DO38" s="76">
        <f t="shared" si="107"/>
        <v>0.58079999999999998</v>
      </c>
      <c r="DP38" s="119">
        <v>-0.95661425600000005</v>
      </c>
      <c r="DQ38" s="26">
        <v>0.67791839499999995</v>
      </c>
      <c r="DR38" s="26">
        <v>-0.82605873500000004</v>
      </c>
      <c r="DS38" s="26">
        <v>0.63491713999999999</v>
      </c>
      <c r="DT38" s="113" cm="1">
        <f t="array" ref="DT38">$DN$11+SUMPRODUCT(DP$11:$DS$11*DP38:DS38)</f>
        <v>1.7279246571406723</v>
      </c>
      <c r="DU38" s="76">
        <f t="shared" si="40"/>
        <v>1.8052997446375081</v>
      </c>
      <c r="DV38" s="72">
        <f t="shared" si="179"/>
        <v>-0.25568399769729205</v>
      </c>
      <c r="DW38" s="199">
        <v>50</v>
      </c>
      <c r="DX38" s="61">
        <v>277.99356812299004</v>
      </c>
      <c r="DY38" s="26">
        <v>0.42305018961951335</v>
      </c>
      <c r="DZ38" s="98">
        <f t="shared" si="182"/>
        <v>0.42305018961951341</v>
      </c>
      <c r="EA38" s="98">
        <f t="shared" si="183"/>
        <v>0.42305018961951341</v>
      </c>
      <c r="EB38" s="100">
        <f t="shared" si="188"/>
        <v>666.37562644466084</v>
      </c>
      <c r="EC38" s="61">
        <v>1575.1691945676507</v>
      </c>
      <c r="EE38" s="72">
        <f t="shared" si="189"/>
        <v>5.5017995014279564E-2</v>
      </c>
      <c r="EF38">
        <v>1975</v>
      </c>
      <c r="EG38" s="110">
        <f t="shared" si="190"/>
        <v>0.42305018961951335</v>
      </c>
      <c r="EH38" s="95">
        <f t="shared" si="191"/>
        <v>11.993674070312062</v>
      </c>
      <c r="EI38" s="95">
        <f t="shared" si="192"/>
        <v>464.86660616251237</v>
      </c>
      <c r="EJ38" s="95">
        <f t="shared" si="193"/>
        <v>954.58984556065957</v>
      </c>
      <c r="EK38" s="95">
        <f t="shared" si="194"/>
        <v>139.72117741739606</v>
      </c>
      <c r="EL38" s="95">
        <f t="shared" si="195"/>
        <v>3.9978913567706869</v>
      </c>
      <c r="EM38" s="111">
        <f t="shared" si="196"/>
        <v>1575.1691945676507</v>
      </c>
      <c r="EN38" s="200">
        <f t="shared" si="197"/>
        <v>50</v>
      </c>
      <c r="EO38" s="92">
        <f t="shared" si="198"/>
        <v>277.99356812299004</v>
      </c>
      <c r="EP38" s="92">
        <f t="shared" si="199"/>
        <v>666.37562644466072</v>
      </c>
      <c r="EQ38" s="92">
        <f t="shared" si="200"/>
        <v>994.36919456765077</v>
      </c>
      <c r="ER38" s="128">
        <f t="shared" si="201"/>
        <v>0.63127770527570737</v>
      </c>
      <c r="ES38" s="111">
        <f t="shared" si="202"/>
        <v>580.79999999999995</v>
      </c>
      <c r="ET38" s="72">
        <f t="shared" si="203"/>
        <v>1.7279246571406723</v>
      </c>
      <c r="EU38" s="96">
        <f t="shared" si="204"/>
        <v>1.8052997446375081</v>
      </c>
      <c r="EV38" s="92">
        <f t="shared" si="205"/>
        <v>1805.2997446375082</v>
      </c>
      <c r="EW38" s="120">
        <f t="shared" si="206"/>
        <v>-0.95661425600000005</v>
      </c>
      <c r="EX38" s="9">
        <f t="shared" si="184"/>
        <v>0.67791839499999995</v>
      </c>
      <c r="EY38" s="9">
        <f t="shared" si="185"/>
        <v>-0.82605873500000004</v>
      </c>
      <c r="EZ38" s="9">
        <f t="shared" si="186"/>
        <v>0.63491713999999999</v>
      </c>
      <c r="FA38" s="113" cm="1">
        <f t="array" ref="FA38">$DN$11+SUMPRODUCT($DP$11:$DS$11*EW38:EZ38)</f>
        <v>1.7279246571406723</v>
      </c>
      <c r="FB38">
        <v>1975</v>
      </c>
      <c r="FC38" s="116">
        <f t="shared" si="121"/>
        <v>537137.88958758255</v>
      </c>
      <c r="FD38" s="116">
        <f t="shared" si="122"/>
        <v>2138519.9917023615</v>
      </c>
      <c r="FE38" s="116">
        <f t="shared" si="159"/>
        <v>1928723.2583236066</v>
      </c>
      <c r="FF38" s="116">
        <f t="shared" si="124"/>
        <v>1848376.822165136</v>
      </c>
      <c r="FG38" s="5">
        <f t="shared" si="173"/>
        <v>290143.16953722551</v>
      </c>
      <c r="FH38" s="5">
        <f t="shared" si="155"/>
        <v>239861.02845320967</v>
      </c>
      <c r="FI38" s="155">
        <f t="shared" si="126"/>
        <v>0.1356747520074657</v>
      </c>
      <c r="FJ38" s="117">
        <f t="shared" si="127"/>
        <v>13.567475200746571</v>
      </c>
      <c r="FK38" s="61">
        <f t="shared" si="50"/>
        <v>7851.3320245708401</v>
      </c>
      <c r="FL38" s="61">
        <f t="shared" si="142"/>
        <v>272.3767107300821</v>
      </c>
      <c r="FM38" s="92">
        <f t="shared" si="128"/>
        <v>36.954642680913111</v>
      </c>
      <c r="FN38" s="72">
        <f t="shared" si="129"/>
        <v>0.1356747520074657</v>
      </c>
      <c r="FO38" s="179">
        <f t="shared" si="51"/>
        <v>1.2318214226971036</v>
      </c>
      <c r="FP38" s="92">
        <f t="shared" si="160"/>
        <v>22.889098363477387</v>
      </c>
      <c r="FQ38" s="1">
        <f t="shared" si="143"/>
        <v>-1.1530150202435842E-2</v>
      </c>
      <c r="FR38" s="26">
        <f t="shared" si="130"/>
        <v>1.2462487972200655</v>
      </c>
      <c r="FS38">
        <f t="shared" si="52"/>
        <v>1975</v>
      </c>
      <c r="FT38" s="5" t="e">
        <f t="shared" si="53"/>
        <v>#N/A</v>
      </c>
      <c r="FU38" s="213" t="e">
        <f t="shared" si="54"/>
        <v>#N/A</v>
      </c>
      <c r="FV38" s="213" t="e">
        <f t="shared" si="131"/>
        <v>#N/A</v>
      </c>
      <c r="FW38" s="5" t="e">
        <f t="shared" si="132"/>
        <v>#N/A</v>
      </c>
      <c r="FX38" t="e">
        <f t="shared" si="133"/>
        <v>#N/A</v>
      </c>
      <c r="FY38" t="e">
        <f t="shared" si="55"/>
        <v>#N/A</v>
      </c>
      <c r="FZ38" t="e">
        <f t="shared" si="134"/>
        <v>#N/A</v>
      </c>
      <c r="GA38" t="e">
        <f t="shared" si="56"/>
        <v>#N/A</v>
      </c>
      <c r="GB38" s="61">
        <f t="shared" si="135"/>
        <v>580.79999999999995</v>
      </c>
      <c r="GC38" s="61">
        <f t="shared" si="207"/>
        <v>2815.471519997358</v>
      </c>
      <c r="GD38" s="61" t="e">
        <f>NA()</f>
        <v>#N/A</v>
      </c>
      <c r="GE38" s="61">
        <f t="shared" ref="GE38:GE101" si="210">$GB38*EXP($DN$11+$DO$11*$GB38/1000+$DQ$11*$DQ38+$DR$11*$DR38+$DS$11*$DS38+$DP$11*$EW38)</f>
        <v>1805.299744637508</v>
      </c>
      <c r="GF38" s="61">
        <f t="shared" si="137"/>
        <v>1010.17177535985</v>
      </c>
      <c r="GG38" s="61" t="e">
        <f>NA()</f>
        <v>#N/A</v>
      </c>
      <c r="GH38" s="6">
        <f t="shared" si="138"/>
        <v>0.35879310736583048</v>
      </c>
      <c r="GI38">
        <f t="shared" si="58"/>
        <v>8099.1643662144597</v>
      </c>
      <c r="GJ38" s="26">
        <f t="shared" si="208"/>
        <v>0.12472543211664726</v>
      </c>
      <c r="GK38">
        <f t="shared" si="59"/>
        <v>4.1575144038882416E-3</v>
      </c>
      <c r="GL38" s="232">
        <f t="shared" si="140"/>
        <v>1.2462487972200655</v>
      </c>
      <c r="GY38">
        <v>1975</v>
      </c>
      <c r="GZ38" s="112">
        <f t="shared" si="60"/>
        <v>1.501764940870687</v>
      </c>
      <c r="HA38" s="112">
        <f t="shared" si="61"/>
        <v>1.7279246571406723</v>
      </c>
      <c r="HB38" s="26" t="e">
        <f t="shared" si="62"/>
        <v>#N/A</v>
      </c>
    </row>
    <row r="39" spans="1:210" x14ac:dyDescent="0.35">
      <c r="A39">
        <v>1976</v>
      </c>
      <c r="D39" s="80">
        <f>'SR + catch data Murdoch_age var'!C28</f>
        <v>340517</v>
      </c>
      <c r="E39" s="80">
        <f>'SR + catch data Murdoch_age var'!E28</f>
        <v>790637.35533950652</v>
      </c>
      <c r="F39" s="231">
        <f t="shared" si="63"/>
        <v>0.84237434817882784</v>
      </c>
      <c r="G39" s="80">
        <f>'SR + catch data Murdoch_age var'!D28</f>
        <v>1003722</v>
      </c>
      <c r="H39" s="80">
        <f>'Orig data'!Q30</f>
        <v>1003722</v>
      </c>
      <c r="I39" s="80">
        <f t="shared" si="64"/>
        <v>663205</v>
      </c>
      <c r="J39" s="150">
        <f t="shared" si="65"/>
        <v>0.66074570448789605</v>
      </c>
      <c r="K39" s="83">
        <f>'SR + catch data Murdoch_age var'!CM28</f>
        <v>1.3028563400297026</v>
      </c>
      <c r="L39" s="83">
        <f>'SR + catch data Murdoch_age var'!CN28</f>
        <v>1.268669710201705</v>
      </c>
      <c r="M39" s="84">
        <f>'SR + catch data Murdoch_age var'!CO28</f>
        <v>1058617.3550431777</v>
      </c>
      <c r="N39" s="81">
        <f t="shared" si="66"/>
        <v>-0.2918795545239744</v>
      </c>
      <c r="O39" s="82">
        <f t="shared" si="67"/>
        <v>1976</v>
      </c>
      <c r="P39" s="81">
        <f t="shared" si="68"/>
        <v>0.10741516534518507</v>
      </c>
      <c r="Q39" s="81">
        <f t="shared" si="68"/>
        <v>0.75930233821489568</v>
      </c>
      <c r="R39" s="81">
        <f t="shared" si="68"/>
        <v>0.13183604264117066</v>
      </c>
      <c r="S39" s="85">
        <f t="shared" si="68"/>
        <v>1.4464537987485602E-3</v>
      </c>
      <c r="T39" s="80">
        <f t="shared" si="144"/>
        <v>107814.96459059985</v>
      </c>
      <c r="U39" s="80">
        <f t="shared" si="145"/>
        <v>762128.46151773154</v>
      </c>
      <c r="V39" s="80">
        <f t="shared" si="146"/>
        <v>132326.7363918811</v>
      </c>
      <c r="W39" s="80">
        <f t="shared" si="147"/>
        <v>1451.8374997875023</v>
      </c>
      <c r="X39" s="86">
        <f t="shared" si="73"/>
        <v>1976</v>
      </c>
      <c r="Y39" s="79">
        <f t="shared" si="149"/>
        <v>87343.558458939675</v>
      </c>
      <c r="Z39" s="79">
        <f t="shared" si="152"/>
        <v>691970.64506619016</v>
      </c>
      <c r="AA39" s="79">
        <f t="shared" si="156"/>
        <v>76419.064677410846</v>
      </c>
      <c r="AB39" s="79">
        <f t="shared" si="161"/>
        <v>1117.3696020544444</v>
      </c>
      <c r="AC39" s="80">
        <f t="shared" si="78"/>
        <v>856850.63780459517</v>
      </c>
      <c r="AD39" s="84">
        <f t="shared" si="79"/>
        <v>146871.36219540483</v>
      </c>
      <c r="AE39" s="80">
        <f t="shared" si="80"/>
        <v>663205</v>
      </c>
      <c r="AF39" s="72">
        <f t="shared" si="81"/>
        <v>0.77400304176612389</v>
      </c>
      <c r="AG39" s="26">
        <f t="shared" si="82"/>
        <v>0.11325733727822784</v>
      </c>
      <c r="AH39" s="61">
        <f t="shared" si="14"/>
        <v>1976</v>
      </c>
      <c r="AI39" s="26">
        <f t="shared" si="15"/>
        <v>0.77400304176612389</v>
      </c>
      <c r="AJ39" s="75">
        <f t="shared" si="150"/>
        <v>41624.569166516463</v>
      </c>
      <c r="AK39" s="75">
        <f t="shared" si="153"/>
        <v>492390.32491685345</v>
      </c>
      <c r="AL39" s="75">
        <f t="shared" si="157"/>
        <v>147240.53251784094</v>
      </c>
      <c r="AM39" s="75">
        <f t="shared" si="162"/>
        <v>782.44811042694187</v>
      </c>
      <c r="AN39" s="79">
        <f t="shared" si="84"/>
        <v>682037.87471163773</v>
      </c>
      <c r="AO39" s="80">
        <f t="shared" si="85"/>
        <v>527899.38962651009</v>
      </c>
      <c r="AP39" s="80">
        <f t="shared" si="86"/>
        <v>154138.48508512764</v>
      </c>
      <c r="AQ39" s="81">
        <v>1.2394640264143406</v>
      </c>
      <c r="AR39" s="81">
        <v>1.4960717029189849</v>
      </c>
      <c r="AS39" s="81">
        <f>'SR + catch data Murdoch_age var'!N28</f>
        <v>1.490492884895334</v>
      </c>
      <c r="AT39" s="121">
        <f>'SR + catch data Murdoch_age var'!BR28</f>
        <v>-0.68972168413232626</v>
      </c>
      <c r="AU39" s="122">
        <f t="shared" si="87"/>
        <v>1.3028563400297026</v>
      </c>
      <c r="AV39" s="122">
        <f t="shared" si="88"/>
        <v>1.1342539027028022</v>
      </c>
      <c r="AW39" s="80">
        <f t="shared" si="17"/>
        <v>392489.04606195254</v>
      </c>
      <c r="AX39" s="80"/>
      <c r="AY39" s="141" t="e">
        <f t="shared" si="89"/>
        <v>#N/A</v>
      </c>
      <c r="AZ39" s="141"/>
      <c r="BA39" s="84" t="e">
        <f t="shared" si="90"/>
        <v>#N/A</v>
      </c>
      <c r="BB39" s="101">
        <v>1976</v>
      </c>
      <c r="BC39" s="72">
        <v>3.5750695088044487E-2</v>
      </c>
      <c r="BD39" s="72">
        <v>0.8358758109360519</v>
      </c>
      <c r="BE39" s="72">
        <v>0.11956904541241889</v>
      </c>
      <c r="BF39" s="72">
        <v>8.3410565338276187E-3</v>
      </c>
      <c r="BG39" s="72">
        <v>4.6339202965708991E-4</v>
      </c>
      <c r="BH39" s="78" t="e">
        <f>-NA()</f>
        <v>#N/A</v>
      </c>
      <c r="BI39" s="78" t="e">
        <f>-NA()</f>
        <v>#N/A</v>
      </c>
      <c r="BJ39" s="78" t="e">
        <f>-NA()</f>
        <v>#N/A</v>
      </c>
      <c r="BK39" s="78" t="e">
        <f>-NA()</f>
        <v>#N/A</v>
      </c>
      <c r="BL39" s="78" t="e">
        <f>-NA()</f>
        <v>#N/A</v>
      </c>
      <c r="BM39" s="56" t="e">
        <f>-NA()</f>
        <v>#N/A</v>
      </c>
      <c r="BN39" s="78" t="e">
        <f>NA()</f>
        <v>#N/A</v>
      </c>
      <c r="BO39" s="78" t="e">
        <f t="shared" si="91"/>
        <v>#N/A</v>
      </c>
      <c r="BP39" s="78" t="e">
        <v>#N/A</v>
      </c>
      <c r="BQ39" s="78" t="e">
        <f t="shared" si="18"/>
        <v>#N/A</v>
      </c>
      <c r="BR39" s="199" t="e">
        <f>-NA()</f>
        <v>#N/A</v>
      </c>
      <c r="BS39" s="78" t="e">
        <f t="shared" si="19"/>
        <v>#N/A</v>
      </c>
      <c r="BT39" s="78" t="e">
        <f t="shared" si="20"/>
        <v>#N/A</v>
      </c>
      <c r="BU39" s="78" t="e">
        <f t="shared" si="21"/>
        <v>#N/A</v>
      </c>
      <c r="BV39" s="78" t="e">
        <f t="shared" si="92"/>
        <v>#N/A</v>
      </c>
      <c r="BW39" s="78" t="e">
        <f t="shared" si="22"/>
        <v>#N/A</v>
      </c>
      <c r="BX39" s="78" t="e">
        <f t="shared" si="23"/>
        <v>#N/A</v>
      </c>
      <c r="BY39" s="78" t="e">
        <f t="shared" ref="BY39:CE39" si="211">$BF$10+SUMPRODUCT($BH$10:$BI$10,BW39:BX39)</f>
        <v>#N/A</v>
      </c>
      <c r="BZ39" s="78" t="e">
        <f t="shared" si="211"/>
        <v>#N/A</v>
      </c>
      <c r="CA39" s="78">
        <v>1976</v>
      </c>
      <c r="CB39" s="78" t="e">
        <f t="shared" si="25"/>
        <v>#N/A</v>
      </c>
      <c r="CC39" s="78" t="e">
        <f t="shared" si="26"/>
        <v>#N/A</v>
      </c>
      <c r="CD39" s="78" t="e">
        <f t="shared" si="211"/>
        <v>#N/A</v>
      </c>
      <c r="CE39" s="78" t="e">
        <f t="shared" si="211"/>
        <v>#N/A</v>
      </c>
      <c r="CF39" s="78" t="e">
        <f t="shared" si="27"/>
        <v>#N/A</v>
      </c>
      <c r="CG39" s="78" t="e">
        <f t="shared" si="28"/>
        <v>#N/A</v>
      </c>
      <c r="CH39" s="78" t="e">
        <f t="shared" si="29"/>
        <v>#N/A</v>
      </c>
      <c r="CI39" s="199" t="e">
        <f t="shared" si="30"/>
        <v>#N/A</v>
      </c>
      <c r="CJ39" s="78" t="e">
        <f t="shared" si="31"/>
        <v>#N/A</v>
      </c>
      <c r="CK39" s="78" t="e">
        <f t="shared" si="32"/>
        <v>#N/A</v>
      </c>
      <c r="CL39" s="78" t="e">
        <f t="shared" si="33"/>
        <v>#N/A</v>
      </c>
      <c r="CM39" s="78"/>
      <c r="CN39" s="180" t="e">
        <f t="shared" si="34"/>
        <v>#N/A</v>
      </c>
      <c r="CO39" s="78" t="e">
        <f t="shared" si="35"/>
        <v>#N/A</v>
      </c>
      <c r="CP39" s="78" t="e">
        <f t="shared" si="94"/>
        <v>#N/A</v>
      </c>
      <c r="CQ39" s="96" t="e">
        <f t="shared" si="36"/>
        <v>#N/A</v>
      </c>
      <c r="CR39" s="78" t="e">
        <f t="shared" si="95"/>
        <v>#N/A</v>
      </c>
      <c r="CS39" s="61" t="e">
        <f t="shared" si="96"/>
        <v>#N/A</v>
      </c>
      <c r="CT39" s="61" t="e">
        <f t="shared" si="97"/>
        <v>#N/A</v>
      </c>
      <c r="CU39" s="61" t="e">
        <f>NA()</f>
        <v>#N/A</v>
      </c>
      <c r="CV39" s="104" t="e">
        <f t="shared" si="98"/>
        <v>#N/A</v>
      </c>
      <c r="CW39" s="105">
        <f t="shared" si="99"/>
        <v>1.2394640264143406</v>
      </c>
      <c r="CX39" s="105">
        <f t="shared" si="100"/>
        <v>1.4960717029189849</v>
      </c>
      <c r="CY39" s="105">
        <f t="shared" si="101"/>
        <v>1.490492884895334</v>
      </c>
      <c r="CZ39" s="123">
        <f t="shared" si="102"/>
        <v>-0.68972168413232626</v>
      </c>
      <c r="DA39" s="81">
        <f t="shared" si="103"/>
        <v>1.3028563400297026</v>
      </c>
      <c r="DB39" s="9">
        <f t="shared" si="104"/>
        <v>392489.04606195254</v>
      </c>
      <c r="DD39" s="1">
        <f t="shared" si="105"/>
        <v>3.9138943248518939E-4</v>
      </c>
      <c r="DE39" s="114">
        <v>1022</v>
      </c>
      <c r="DF39" s="61">
        <v>1976</v>
      </c>
      <c r="DG39" s="26">
        <v>7.6142131979695434E-3</v>
      </c>
      <c r="DH39" s="26">
        <v>0.29512169725367693</v>
      </c>
      <c r="DI39" s="26">
        <v>0.6060236886632826</v>
      </c>
      <c r="DJ39" s="26">
        <v>8.8702329819081091E-2</v>
      </c>
      <c r="DK39" s="26">
        <v>2.5380710659898475E-3</v>
      </c>
      <c r="DL39" s="106">
        <v>1.0224</v>
      </c>
      <c r="DM39" s="106">
        <v>1.7729999999999999</v>
      </c>
      <c r="DN39" s="26">
        <v>0.55052022245093746</v>
      </c>
      <c r="DO39" s="76">
        <f t="shared" si="107"/>
        <v>1.0224</v>
      </c>
      <c r="DP39" s="119">
        <v>-0.93112346800000001</v>
      </c>
      <c r="DQ39" s="26">
        <v>-0.18766196099999999</v>
      </c>
      <c r="DR39" s="26">
        <v>-0.30968159200000001</v>
      </c>
      <c r="DS39" s="26">
        <v>1.1716922679999999</v>
      </c>
      <c r="DT39" s="113" cm="1">
        <f t="array" ref="DT39">$DN$11+SUMPRODUCT(DP$11:$DS$11*DP39:DS39)</f>
        <v>2.0060370233422886</v>
      </c>
      <c r="DU39" s="76">
        <f t="shared" si="40"/>
        <v>2.6719777322910749</v>
      </c>
      <c r="DV39" s="72">
        <f t="shared" si="179"/>
        <v>-0.41014589482420272</v>
      </c>
      <c r="DW39" s="199">
        <v>50</v>
      </c>
      <c r="DX39" s="61">
        <v>179.17556932569875</v>
      </c>
      <c r="DY39" s="26">
        <v>0.42305018961951335</v>
      </c>
      <c r="DZ39" s="98">
        <f t="shared" si="182"/>
        <v>0.42305018961951335</v>
      </c>
      <c r="EA39" s="98">
        <f t="shared" si="183"/>
        <v>0.42305018961951335</v>
      </c>
      <c r="EB39" s="100">
        <f t="shared" si="188"/>
        <v>917.72156329717211</v>
      </c>
      <c r="EC39" s="61">
        <v>2169.2971326228708</v>
      </c>
      <c r="EE39" s="72">
        <f t="shared" si="189"/>
        <v>3.9949645251495358E-2</v>
      </c>
      <c r="EF39">
        <v>1976</v>
      </c>
      <c r="EG39" s="110">
        <f t="shared" si="190"/>
        <v>0.42305018961951335</v>
      </c>
      <c r="EH39" s="95">
        <f t="shared" si="191"/>
        <v>16.51749085753455</v>
      </c>
      <c r="EI39" s="95">
        <f t="shared" si="192"/>
        <v>640.20665162719627</v>
      </c>
      <c r="EJ39" s="95">
        <f t="shared" si="193"/>
        <v>1314.6454501187943</v>
      </c>
      <c r="EK39" s="95">
        <f t="shared" si="194"/>
        <v>192.42170973350079</v>
      </c>
      <c r="EL39" s="95">
        <f t="shared" si="195"/>
        <v>5.5058302858448496</v>
      </c>
      <c r="EM39" s="111">
        <f t="shared" si="196"/>
        <v>2169.2971326228708</v>
      </c>
      <c r="EN39" s="200">
        <f t="shared" si="197"/>
        <v>50</v>
      </c>
      <c r="EO39" s="92">
        <f t="shared" si="198"/>
        <v>179.17556932569875</v>
      </c>
      <c r="EP39" s="92">
        <f t="shared" si="199"/>
        <v>917.72156329717211</v>
      </c>
      <c r="EQ39" s="92">
        <f t="shared" si="200"/>
        <v>1146.8971326228709</v>
      </c>
      <c r="ER39" s="128">
        <f t="shared" si="201"/>
        <v>0.52869526971446812</v>
      </c>
      <c r="ES39" s="111">
        <f t="shared" si="202"/>
        <v>1022.3999999999999</v>
      </c>
      <c r="ET39" s="72">
        <f t="shared" si="203"/>
        <v>2.0060370233422886</v>
      </c>
      <c r="EU39" s="96">
        <f t="shared" si="204"/>
        <v>2.6719777322910745</v>
      </c>
      <c r="EV39" s="92">
        <f t="shared" si="205"/>
        <v>2671.9777322910745</v>
      </c>
      <c r="EW39" s="120">
        <f t="shared" si="206"/>
        <v>-0.93112346800000001</v>
      </c>
      <c r="EX39" s="9">
        <f t="shared" si="184"/>
        <v>-0.18766196099999999</v>
      </c>
      <c r="EY39" s="9">
        <f t="shared" si="185"/>
        <v>-0.30968159200000001</v>
      </c>
      <c r="EZ39" s="9">
        <f t="shared" si="186"/>
        <v>1.1716922679999999</v>
      </c>
      <c r="FA39" s="113" cm="1">
        <f t="array" ref="FA39">$DN$11+SUMPRODUCT($DP$11:$DS$11*EW39:EZ39)</f>
        <v>2.0060370233422886</v>
      </c>
      <c r="FB39">
        <v>1976</v>
      </c>
      <c r="FC39" s="116">
        <f t="shared" si="121"/>
        <v>154138.48508512764</v>
      </c>
      <c r="FD39" s="116">
        <f t="shared" si="122"/>
        <v>606983.8103278724</v>
      </c>
      <c r="FE39" s="116">
        <f t="shared" si="159"/>
        <v>1023390.2104015896</v>
      </c>
      <c r="FF39" s="116">
        <f t="shared" si="124"/>
        <v>525519.96565746213</v>
      </c>
      <c r="FG39" s="5">
        <f t="shared" si="173"/>
        <v>81463.844670410268</v>
      </c>
      <c r="FH39" s="5">
        <f t="shared" si="155"/>
        <v>134039.05500550056</v>
      </c>
      <c r="FI39" s="155">
        <f t="shared" si="126"/>
        <v>0.13421090197843369</v>
      </c>
      <c r="FJ39" s="117">
        <f t="shared" si="127"/>
        <v>13.42109019784337</v>
      </c>
      <c r="FK39" s="61">
        <f t="shared" si="50"/>
        <v>7760.2108270460903</v>
      </c>
      <c r="FL39" s="61">
        <f t="shared" si="142"/>
        <v>78.217438141293343</v>
      </c>
      <c r="FM39" s="92">
        <f t="shared" si="128"/>
        <v>10.497632923385321</v>
      </c>
      <c r="FN39" s="72">
        <f t="shared" si="129"/>
        <v>0.13421090197843369</v>
      </c>
      <c r="FO39" s="179">
        <f t="shared" si="51"/>
        <v>0.34992109744617739</v>
      </c>
      <c r="FP39" s="92">
        <f t="shared" si="160"/>
        <v>22.573532300252698</v>
      </c>
      <c r="FQ39" s="1">
        <f t="shared" si="143"/>
        <v>-1.1605826532311311E-2</v>
      </c>
      <c r="FR39" s="26">
        <f t="shared" si="130"/>
        <v>1.231785049863428</v>
      </c>
      <c r="FS39">
        <f t="shared" si="52"/>
        <v>1976</v>
      </c>
      <c r="FT39" s="5" t="e">
        <f t="shared" si="53"/>
        <v>#N/A</v>
      </c>
      <c r="FU39" s="213" t="e">
        <f t="shared" si="54"/>
        <v>#N/A</v>
      </c>
      <c r="FV39" s="213" t="e">
        <f t="shared" si="131"/>
        <v>#N/A</v>
      </c>
      <c r="FW39" s="5" t="e">
        <f t="shared" si="132"/>
        <v>#N/A</v>
      </c>
      <c r="FX39" t="e">
        <f t="shared" si="133"/>
        <v>#N/A</v>
      </c>
      <c r="FY39" t="e">
        <f t="shared" si="55"/>
        <v>#N/A</v>
      </c>
      <c r="FZ39" t="e">
        <f t="shared" si="134"/>
        <v>#N/A</v>
      </c>
      <c r="GA39" t="e">
        <f t="shared" si="56"/>
        <v>#N/A</v>
      </c>
      <c r="GB39" s="61">
        <f t="shared" si="135"/>
        <v>1022.3999999999999</v>
      </c>
      <c r="GC39" s="61">
        <f t="shared" si="207"/>
        <v>4252.1707972923941</v>
      </c>
      <c r="GD39" s="61" t="e">
        <f>NA()</f>
        <v>#N/A</v>
      </c>
      <c r="GE39" s="61">
        <f t="shared" si="210"/>
        <v>2671.9777322910741</v>
      </c>
      <c r="GF39" s="61">
        <f t="shared" si="137"/>
        <v>1580.1930650013201</v>
      </c>
      <c r="GG39" s="61" t="e">
        <f>NA()</f>
        <v>#N/A</v>
      </c>
      <c r="GH39" s="6">
        <f t="shared" si="138"/>
        <v>0.37162031826367875</v>
      </c>
      <c r="GI39">
        <f t="shared" si="58"/>
        <v>8467.444093052336</v>
      </c>
      <c r="GJ39" s="26">
        <f t="shared" si="208"/>
        <v>0.18661984037165263</v>
      </c>
      <c r="GK39">
        <f t="shared" si="59"/>
        <v>6.2206613457217548E-3</v>
      </c>
      <c r="GL39" s="232">
        <f t="shared" si="140"/>
        <v>1.231785049863428</v>
      </c>
      <c r="GY39">
        <v>1976</v>
      </c>
      <c r="GZ39" s="112">
        <f t="shared" si="60"/>
        <v>1.3028563400297026</v>
      </c>
      <c r="HA39" s="112">
        <f t="shared" si="61"/>
        <v>2.0060370233422886</v>
      </c>
      <c r="HB39" s="26" t="e">
        <f t="shared" si="62"/>
        <v>#N/A</v>
      </c>
    </row>
    <row r="40" spans="1:210" x14ac:dyDescent="0.35">
      <c r="A40">
        <v>1977</v>
      </c>
      <c r="D40" s="80">
        <f>'SR + catch data Murdoch_age var'!C29</f>
        <v>599341</v>
      </c>
      <c r="E40" s="80">
        <f>'SR + catch data Murdoch_age var'!E29</f>
        <v>573665.96733916632</v>
      </c>
      <c r="F40" s="231">
        <f t="shared" si="63"/>
        <v>-4.3783429778572559E-2</v>
      </c>
      <c r="G40" s="80">
        <f>'SR + catch data Murdoch_age var'!D29</f>
        <v>722536</v>
      </c>
      <c r="H40" s="80">
        <f>'Orig data'!Q31</f>
        <v>722536</v>
      </c>
      <c r="I40" s="80">
        <f t="shared" si="64"/>
        <v>123195</v>
      </c>
      <c r="J40" s="150">
        <f t="shared" si="65"/>
        <v>0.1705036150447867</v>
      </c>
      <c r="K40" s="83">
        <f>'SR + catch data Murdoch_age var'!CM29</f>
        <v>1.2757703955584772</v>
      </c>
      <c r="L40" s="83">
        <f>'SR + catch data Murdoch_age var'!CN29</f>
        <v>1.265827515300243</v>
      </c>
      <c r="M40" s="84">
        <f>'SR + catch data Murdoch_age var'!CO29</f>
        <v>1595345.2273684794</v>
      </c>
      <c r="N40" s="81">
        <f t="shared" si="66"/>
        <v>-1.0227981467954739</v>
      </c>
      <c r="O40" s="82">
        <f t="shared" si="67"/>
        <v>1977</v>
      </c>
      <c r="P40" s="81">
        <f t="shared" si="68"/>
        <v>0.10741516534518507</v>
      </c>
      <c r="Q40" s="81">
        <f t="shared" si="68"/>
        <v>0.75930233821489568</v>
      </c>
      <c r="R40" s="81">
        <f t="shared" si="68"/>
        <v>0.13183604264117066</v>
      </c>
      <c r="S40" s="85">
        <f t="shared" si="68"/>
        <v>1.4464537987485602E-3</v>
      </c>
      <c r="T40" s="80">
        <f t="shared" si="144"/>
        <v>77611.323907848637</v>
      </c>
      <c r="U40" s="80">
        <f t="shared" si="145"/>
        <v>548623.27424443781</v>
      </c>
      <c r="V40" s="80">
        <f t="shared" si="146"/>
        <v>95256.286905780886</v>
      </c>
      <c r="W40" s="80">
        <f t="shared" si="147"/>
        <v>1045.1149419325898</v>
      </c>
      <c r="X40" s="86">
        <f t="shared" si="73"/>
        <v>1977</v>
      </c>
      <c r="Y40" s="79">
        <f t="shared" si="149"/>
        <v>109517.41561716163</v>
      </c>
      <c r="Z40" s="79">
        <f t="shared" si="152"/>
        <v>617419.03904126107</v>
      </c>
      <c r="AA40" s="79">
        <f t="shared" si="156"/>
        <v>120145.38462222659</v>
      </c>
      <c r="AB40" s="79">
        <f t="shared" si="161"/>
        <v>838.44026402028612</v>
      </c>
      <c r="AC40" s="80">
        <f t="shared" si="78"/>
        <v>847920.27954466955</v>
      </c>
      <c r="AD40" s="84">
        <f t="shared" si="79"/>
        <v>-125384.27954466955</v>
      </c>
      <c r="AE40" s="80">
        <f t="shared" si="80"/>
        <v>123195</v>
      </c>
      <c r="AF40" s="72">
        <f t="shared" si="81"/>
        <v>0.14529078142364435</v>
      </c>
      <c r="AG40" s="26">
        <f t="shared" si="82"/>
        <v>-2.521283362114235E-2</v>
      </c>
      <c r="AH40" s="61">
        <f t="shared" si="14"/>
        <v>1977</v>
      </c>
      <c r="AI40" s="26">
        <f t="shared" si="15"/>
        <v>0.14529078142364435</v>
      </c>
      <c r="AJ40" s="75">
        <f t="shared" si="150"/>
        <v>149060.43681000717</v>
      </c>
      <c r="AK40" s="75">
        <f t="shared" si="153"/>
        <v>294238.08634243597</v>
      </c>
      <c r="AL40" s="75">
        <f t="shared" si="157"/>
        <v>85492.680062663203</v>
      </c>
      <c r="AM40" s="75">
        <f t="shared" si="162"/>
        <v>1615.4658720291573</v>
      </c>
      <c r="AN40" s="79">
        <f t="shared" si="84"/>
        <v>530406.66908713547</v>
      </c>
      <c r="AO40" s="80">
        <f t="shared" si="85"/>
        <v>77063.199423982252</v>
      </c>
      <c r="AP40" s="80">
        <f t="shared" si="86"/>
        <v>453343.46966315323</v>
      </c>
      <c r="AQ40" s="81">
        <v>0.64127989854472345</v>
      </c>
      <c r="AR40" s="81">
        <v>0.92774416412243355</v>
      </c>
      <c r="AS40" s="81">
        <f>'SR + catch data Murdoch_age var'!N29</f>
        <v>0.67586517468953122</v>
      </c>
      <c r="AT40" s="121">
        <f>'SR + catch data Murdoch_age var'!BR29</f>
        <v>-0.69205874739779571</v>
      </c>
      <c r="AU40" s="122">
        <f t="shared" si="87"/>
        <v>1.2757703955584772</v>
      </c>
      <c r="AV40" s="122">
        <f t="shared" si="88"/>
        <v>0.97901471701690124</v>
      </c>
      <c r="AW40" s="80">
        <f t="shared" si="17"/>
        <v>466452.10381568025</v>
      </c>
      <c r="AX40" s="80"/>
      <c r="AY40" s="141" t="e">
        <f t="shared" si="89"/>
        <v>#N/A</v>
      </c>
      <c r="AZ40" s="141"/>
      <c r="BA40" s="84" t="e">
        <f t="shared" si="90"/>
        <v>#N/A</v>
      </c>
      <c r="BB40" s="101">
        <v>1977</v>
      </c>
      <c r="BC40" s="72">
        <v>3.5750695088044487E-2</v>
      </c>
      <c r="BD40" s="72">
        <v>0.8358758109360519</v>
      </c>
      <c r="BE40" s="72">
        <v>0.11956904541241889</v>
      </c>
      <c r="BF40" s="72">
        <v>8.3410565338276187E-3</v>
      </c>
      <c r="BG40" s="72">
        <v>4.6339202965708991E-4</v>
      </c>
      <c r="BH40" s="78" t="e">
        <f>-NA()</f>
        <v>#N/A</v>
      </c>
      <c r="BI40" s="78" t="e">
        <f>-NA()</f>
        <v>#N/A</v>
      </c>
      <c r="BJ40" s="78" t="e">
        <f>-NA()</f>
        <v>#N/A</v>
      </c>
      <c r="BK40" s="78" t="e">
        <f>-NA()</f>
        <v>#N/A</v>
      </c>
      <c r="BL40" s="78" t="e">
        <f>-NA()</f>
        <v>#N/A</v>
      </c>
      <c r="BM40" s="56" t="e">
        <f>-NA()</f>
        <v>#N/A</v>
      </c>
      <c r="BN40" s="78" t="e">
        <f>NA()</f>
        <v>#N/A</v>
      </c>
      <c r="BO40" s="78" t="e">
        <f t="shared" si="91"/>
        <v>#N/A</v>
      </c>
      <c r="BP40" s="78" t="e">
        <v>#N/A</v>
      </c>
      <c r="BQ40" s="78" t="e">
        <f t="shared" si="18"/>
        <v>#N/A</v>
      </c>
      <c r="BR40" s="199" t="e">
        <f>-NA()</f>
        <v>#N/A</v>
      </c>
      <c r="BS40" s="78" t="e">
        <f t="shared" si="19"/>
        <v>#N/A</v>
      </c>
      <c r="BT40" s="78" t="e">
        <f t="shared" si="20"/>
        <v>#N/A</v>
      </c>
      <c r="BU40" s="78" t="e">
        <f t="shared" si="21"/>
        <v>#N/A</v>
      </c>
      <c r="BV40" s="78" t="e">
        <f t="shared" si="92"/>
        <v>#N/A</v>
      </c>
      <c r="BW40" s="78" t="e">
        <f t="shared" si="22"/>
        <v>#N/A</v>
      </c>
      <c r="BX40" s="78" t="e">
        <f t="shared" si="23"/>
        <v>#N/A</v>
      </c>
      <c r="BY40" s="78" t="e">
        <f t="shared" ref="BY40:CE40" si="212">$BF$10+SUMPRODUCT($BH$10:$BI$10,BW40:BX40)</f>
        <v>#N/A</v>
      </c>
      <c r="BZ40" s="78" t="e">
        <f t="shared" si="212"/>
        <v>#N/A</v>
      </c>
      <c r="CA40" s="78">
        <v>1977</v>
      </c>
      <c r="CB40" s="78" t="e">
        <f t="shared" si="25"/>
        <v>#N/A</v>
      </c>
      <c r="CC40" s="78" t="e">
        <f t="shared" si="26"/>
        <v>#N/A</v>
      </c>
      <c r="CD40" s="78" t="e">
        <f t="shared" si="212"/>
        <v>#N/A</v>
      </c>
      <c r="CE40" s="78" t="e">
        <f t="shared" si="212"/>
        <v>#N/A</v>
      </c>
      <c r="CF40" s="78" t="e">
        <f t="shared" si="27"/>
        <v>#N/A</v>
      </c>
      <c r="CG40" s="78" t="e">
        <f t="shared" si="28"/>
        <v>#N/A</v>
      </c>
      <c r="CH40" s="78" t="e">
        <f t="shared" si="29"/>
        <v>#N/A</v>
      </c>
      <c r="CI40" s="199" t="e">
        <f t="shared" si="30"/>
        <v>#N/A</v>
      </c>
      <c r="CJ40" s="78" t="e">
        <f t="shared" si="31"/>
        <v>#N/A</v>
      </c>
      <c r="CK40" s="78" t="e">
        <f t="shared" si="32"/>
        <v>#N/A</v>
      </c>
      <c r="CL40" s="78" t="e">
        <f t="shared" si="33"/>
        <v>#N/A</v>
      </c>
      <c r="CM40" s="78"/>
      <c r="CN40" s="180" t="e">
        <f t="shared" si="34"/>
        <v>#N/A</v>
      </c>
      <c r="CO40" s="78" t="e">
        <f t="shared" si="35"/>
        <v>#N/A</v>
      </c>
      <c r="CP40" s="78" t="e">
        <f t="shared" si="94"/>
        <v>#N/A</v>
      </c>
      <c r="CQ40" s="96" t="e">
        <f t="shared" si="36"/>
        <v>#N/A</v>
      </c>
      <c r="CR40" s="78" t="e">
        <f t="shared" si="95"/>
        <v>#N/A</v>
      </c>
      <c r="CS40" s="61" t="e">
        <f t="shared" si="96"/>
        <v>#N/A</v>
      </c>
      <c r="CT40" s="61" t="e">
        <f t="shared" si="97"/>
        <v>#N/A</v>
      </c>
      <c r="CU40" s="61" t="e">
        <f>NA()</f>
        <v>#N/A</v>
      </c>
      <c r="CV40" s="104" t="e">
        <f t="shared" si="98"/>
        <v>#N/A</v>
      </c>
      <c r="CW40" s="105">
        <f t="shared" si="99"/>
        <v>0.64127989854472345</v>
      </c>
      <c r="CX40" s="105">
        <f t="shared" si="100"/>
        <v>0.92774416412243355</v>
      </c>
      <c r="CY40" s="105">
        <f t="shared" si="101"/>
        <v>0.67586517468953122</v>
      </c>
      <c r="CZ40" s="123">
        <f t="shared" si="102"/>
        <v>-0.69205874739779571</v>
      </c>
      <c r="DA40" s="81">
        <f t="shared" si="103"/>
        <v>1.2757703955584772</v>
      </c>
      <c r="DB40" s="9">
        <f t="shared" si="104"/>
        <v>466452.10381568025</v>
      </c>
      <c r="DD40" s="1">
        <f t="shared" si="105"/>
        <v>1.0678798250810617E-2</v>
      </c>
      <c r="DE40" s="114">
        <v>494</v>
      </c>
      <c r="DF40" s="61">
        <v>1977</v>
      </c>
      <c r="DG40" s="26">
        <v>7.6142131979695434E-3</v>
      </c>
      <c r="DH40" s="26">
        <v>0.29512169725367693</v>
      </c>
      <c r="DI40" s="26">
        <v>0.6060236886632826</v>
      </c>
      <c r="DJ40" s="26">
        <v>8.8702329819081091E-2</v>
      </c>
      <c r="DK40" s="26">
        <v>2.5380710659898475E-3</v>
      </c>
      <c r="DL40" s="106">
        <v>0.49440000000000001</v>
      </c>
      <c r="DM40" s="106">
        <v>2.4860000000000002</v>
      </c>
      <c r="DN40" s="26">
        <v>1.6150853659271756</v>
      </c>
      <c r="DO40" s="76">
        <f t="shared" si="107"/>
        <v>0.49440000000000001</v>
      </c>
      <c r="DP40" s="119">
        <v>-0.90461819600000004</v>
      </c>
      <c r="DQ40" s="26">
        <v>-0.104851871</v>
      </c>
      <c r="DR40" s="26">
        <v>6.2001431000000003E-2</v>
      </c>
      <c r="DS40" s="26">
        <v>0.39678417500000002</v>
      </c>
      <c r="DT40" s="113" cm="1">
        <f t="array" ref="DT40">$DN$11+SUMPRODUCT(DP$11:$DS$11*DP40:DS40)</f>
        <v>1.8740409739469639</v>
      </c>
      <c r="DU40" s="76">
        <f t="shared" si="40"/>
        <v>1.9427851819095465</v>
      </c>
      <c r="DV40" s="72">
        <f t="shared" si="179"/>
        <v>0.24655238881080432</v>
      </c>
      <c r="DW40" s="199">
        <v>50</v>
      </c>
      <c r="DX40" s="61">
        <v>486.77781263889977</v>
      </c>
      <c r="DY40" s="26">
        <v>0.42305018961951335</v>
      </c>
      <c r="DZ40" s="98">
        <f t="shared" ref="DZ40:DZ80" si="213">EB40/EC40</f>
        <v>0.42305018961951324</v>
      </c>
      <c r="EA40" s="98">
        <f t="shared" ref="EA40:EA80" si="214">DZ40</f>
        <v>0.42305018961951324</v>
      </c>
      <c r="EB40" s="100">
        <f t="shared" si="188"/>
        <v>756.11424307537254</v>
      </c>
      <c r="EC40" s="61">
        <v>1787.2920557142725</v>
      </c>
      <c r="EE40" s="72">
        <f t="shared" si="189"/>
        <v>4.8260072885331164E-2</v>
      </c>
      <c r="EF40">
        <v>1977</v>
      </c>
      <c r="EG40" s="110">
        <f t="shared" si="190"/>
        <v>0.42305018961951335</v>
      </c>
      <c r="EH40" s="97">
        <f>DG40*EV36</f>
        <v>22.058996844034006</v>
      </c>
      <c r="EI40" s="95">
        <f t="shared" si="192"/>
        <v>527.46866497040935</v>
      </c>
      <c r="EJ40" s="95">
        <f t="shared" si="193"/>
        <v>1083.1413243225445</v>
      </c>
      <c r="EK40" s="95">
        <f t="shared" si="194"/>
        <v>158.53696940899084</v>
      </c>
      <c r="EL40" s="95">
        <f>$EC40*DK40</f>
        <v>4.5362742530819098</v>
      </c>
      <c r="EM40" s="111">
        <f t="shared" si="196"/>
        <v>1795.7422297990606</v>
      </c>
      <c r="EN40" s="200">
        <f t="shared" si="197"/>
        <v>50</v>
      </c>
      <c r="EO40" s="92">
        <f t="shared" si="198"/>
        <v>486.77781263889977</v>
      </c>
      <c r="EP40" s="92">
        <f t="shared" si="199"/>
        <v>759.68909082426035</v>
      </c>
      <c r="EQ40" s="92">
        <f t="shared" si="200"/>
        <v>1296.4669034631602</v>
      </c>
      <c r="ER40" s="128">
        <f t="shared" si="201"/>
        <v>0.7219671520495633</v>
      </c>
      <c r="ES40" s="111">
        <f t="shared" si="202"/>
        <v>499.27532633590044</v>
      </c>
      <c r="ET40" s="72">
        <f t="shared" si="203"/>
        <v>1.8740409739469639</v>
      </c>
      <c r="EU40" s="96">
        <f t="shared" si="204"/>
        <v>1.9521874918653159</v>
      </c>
      <c r="EV40" s="92">
        <f t="shared" si="205"/>
        <v>1952.1874918653159</v>
      </c>
      <c r="EW40" s="120">
        <f t="shared" si="206"/>
        <v>-0.90461819600000004</v>
      </c>
      <c r="EX40" s="9">
        <f t="shared" si="184"/>
        <v>-0.104851871</v>
      </c>
      <c r="EY40" s="9">
        <f t="shared" si="185"/>
        <v>6.2001431000000003E-2</v>
      </c>
      <c r="EZ40" s="9">
        <f t="shared" si="186"/>
        <v>0.39678417500000002</v>
      </c>
      <c r="FA40" s="113" cm="1">
        <f t="array" ref="FA40">$DN$11+SUMPRODUCT($DP$11:$DS$11*EW40:EZ40)</f>
        <v>1.8740409739469639</v>
      </c>
      <c r="FB40">
        <v>1977</v>
      </c>
      <c r="FC40" s="116">
        <f t="shared" si="121"/>
        <v>453343.46966315323</v>
      </c>
      <c r="FD40" s="116">
        <f t="shared" si="122"/>
        <v>1497486.5503682415</v>
      </c>
      <c r="FE40" s="116">
        <f t="shared" si="159"/>
        <v>722536</v>
      </c>
      <c r="FF40" s="116">
        <f t="shared" si="124"/>
        <v>1297187.1785769889</v>
      </c>
      <c r="FG40" s="5">
        <f t="shared" si="173"/>
        <v>200299.37179125263</v>
      </c>
      <c r="FH40" s="5">
        <f t="shared" si="155"/>
        <v>66424.874903758755</v>
      </c>
      <c r="FI40" s="155">
        <f t="shared" si="126"/>
        <v>0.13375704225323276</v>
      </c>
      <c r="FJ40" s="117">
        <f t="shared" si="127"/>
        <v>13.375704225323275</v>
      </c>
      <c r="FK40" s="61">
        <f t="shared" si="50"/>
        <v>7731.9904204375325</v>
      </c>
      <c r="FL40" s="61">
        <f t="shared" si="142"/>
        <v>193.67413420611854</v>
      </c>
      <c r="FM40" s="92">
        <f t="shared" si="128"/>
        <v>25.905279352366065</v>
      </c>
      <c r="FN40" s="72">
        <f t="shared" si="129"/>
        <v>0.13375704225323276</v>
      </c>
      <c r="FO40" s="179">
        <f t="shared" si="51"/>
        <v>0.86350931174553547</v>
      </c>
      <c r="FP40" s="92">
        <f t="shared" si="160"/>
        <v>21.300814077099222</v>
      </c>
      <c r="FQ40" s="1">
        <f t="shared" si="143"/>
        <v>-3.636551536744765E-3</v>
      </c>
      <c r="FR40" s="26">
        <f t="shared" si="130"/>
        <v>1.2273056000474079</v>
      </c>
      <c r="FS40">
        <f t="shared" si="52"/>
        <v>1977</v>
      </c>
      <c r="FT40" s="5" t="e">
        <f t="shared" si="53"/>
        <v>#N/A</v>
      </c>
      <c r="FU40" s="213" t="e">
        <f t="shared" si="54"/>
        <v>#N/A</v>
      </c>
      <c r="FV40" s="213" t="e">
        <f t="shared" si="131"/>
        <v>#N/A</v>
      </c>
      <c r="FW40" s="5" t="e">
        <f t="shared" si="132"/>
        <v>#N/A</v>
      </c>
      <c r="FX40" t="e">
        <f t="shared" si="133"/>
        <v>#N/A</v>
      </c>
      <c r="FY40" t="e">
        <f t="shared" si="55"/>
        <v>#N/A</v>
      </c>
      <c r="FZ40" t="e">
        <f t="shared" si="134"/>
        <v>#N/A</v>
      </c>
      <c r="GA40" t="e">
        <f t="shared" si="56"/>
        <v>#N/A</v>
      </c>
      <c r="GB40" s="61">
        <f t="shared" si="135"/>
        <v>499.27532633590044</v>
      </c>
      <c r="GC40" s="61">
        <f t="shared" si="207"/>
        <v>3172.6685954931659</v>
      </c>
      <c r="GD40" s="61" t="e">
        <f>NA()</f>
        <v>#N/A</v>
      </c>
      <c r="GE40" s="61">
        <f t="shared" si="210"/>
        <v>1952.1874918653159</v>
      </c>
      <c r="GF40" s="61">
        <f t="shared" si="137"/>
        <v>1220.48110362785</v>
      </c>
      <c r="GG40" s="61" t="e">
        <f>NA()</f>
        <v>#N/A</v>
      </c>
      <c r="GH40" s="6">
        <f t="shared" si="138"/>
        <v>0.38468597235827462</v>
      </c>
      <c r="GI40">
        <f t="shared" si="58"/>
        <v>8850.3806398520501</v>
      </c>
      <c r="GJ40" s="26">
        <f t="shared" si="208"/>
        <v>0.13790153817025574</v>
      </c>
      <c r="GK40">
        <f t="shared" si="59"/>
        <v>4.5967179390085247E-3</v>
      </c>
      <c r="GL40" s="232">
        <f t="shared" si="140"/>
        <v>1.2273056000474079</v>
      </c>
      <c r="GY40">
        <v>1977</v>
      </c>
      <c r="GZ40" s="112">
        <f t="shared" si="60"/>
        <v>1.2757703955584772</v>
      </c>
      <c r="HA40" s="112">
        <f t="shared" si="61"/>
        <v>1.8740409739469639</v>
      </c>
      <c r="HB40" s="26" t="e">
        <f t="shared" si="62"/>
        <v>#N/A</v>
      </c>
    </row>
    <row r="41" spans="1:210" x14ac:dyDescent="0.35">
      <c r="A41">
        <v>1978</v>
      </c>
      <c r="D41" s="80">
        <f>'SR + catch data Murdoch_age var'!C30</f>
        <v>358990</v>
      </c>
      <c r="E41" s="80">
        <f>'SR + catch data Murdoch_age var'!E30</f>
        <v>666342.58408459742</v>
      </c>
      <c r="F41" s="231">
        <f t="shared" si="63"/>
        <v>0.6185093958572383</v>
      </c>
      <c r="G41" s="80">
        <f>'SR + catch data Murdoch_age var'!D30</f>
        <v>1185223</v>
      </c>
      <c r="H41" s="80">
        <f>'Orig data'!Q32</f>
        <v>1185223</v>
      </c>
      <c r="I41" s="80">
        <f t="shared" si="64"/>
        <v>826233</v>
      </c>
      <c r="J41" s="150">
        <f t="shared" si="65"/>
        <v>0.69711185152498734</v>
      </c>
      <c r="K41" s="83">
        <f>'SR + catch data Murdoch_age var'!CM30</f>
        <v>1.2596042982800164</v>
      </c>
      <c r="L41" s="83">
        <f>'SR + catch data Murdoch_age var'!CN30</f>
        <v>1.2656469822027749</v>
      </c>
      <c r="M41" s="84">
        <f>'SR + catch data Murdoch_age var'!CO30</f>
        <v>1059073.4859972654</v>
      </c>
      <c r="N41" s="81">
        <f t="shared" si="66"/>
        <v>-0.46334580626609873</v>
      </c>
      <c r="O41" s="82">
        <f t="shared" si="67"/>
        <v>1978</v>
      </c>
      <c r="P41" s="81">
        <f t="shared" si="68"/>
        <v>0.10741516534518507</v>
      </c>
      <c r="Q41" s="81">
        <f t="shared" si="68"/>
        <v>0.75930233821489568</v>
      </c>
      <c r="R41" s="81">
        <f t="shared" si="68"/>
        <v>0.13183604264117066</v>
      </c>
      <c r="S41" s="85">
        <f t="shared" si="68"/>
        <v>1.4464537987485602E-3</v>
      </c>
      <c r="T41" s="80">
        <f t="shared" si="144"/>
        <v>127310.92451591628</v>
      </c>
      <c r="U41" s="80">
        <f t="shared" si="145"/>
        <v>899942.59520607325</v>
      </c>
      <c r="V41" s="80">
        <f t="shared" si="146"/>
        <v>156255.10996729622</v>
      </c>
      <c r="W41" s="80">
        <f t="shared" si="147"/>
        <v>1714.3703107141648</v>
      </c>
      <c r="X41" s="86">
        <f t="shared" si="73"/>
        <v>1978</v>
      </c>
      <c r="Y41" s="79">
        <f t="shared" si="149"/>
        <v>51810.735450252207</v>
      </c>
      <c r="Z41" s="79">
        <f t="shared" si="152"/>
        <v>774162.8427059988</v>
      </c>
      <c r="AA41" s="79">
        <f t="shared" si="156"/>
        <v>107201.14855681801</v>
      </c>
      <c r="AB41" s="79">
        <f t="shared" si="161"/>
        <v>1318.1884445813591</v>
      </c>
      <c r="AC41" s="80">
        <f t="shared" si="78"/>
        <v>934492.91515765036</v>
      </c>
      <c r="AD41" s="84">
        <f t="shared" si="79"/>
        <v>250730.08484234964</v>
      </c>
      <c r="AE41" s="80">
        <f t="shared" si="80"/>
        <v>826233</v>
      </c>
      <c r="AF41" s="72">
        <f t="shared" si="81"/>
        <v>0.88415116540569305</v>
      </c>
      <c r="AG41" s="26">
        <f t="shared" si="82"/>
        <v>0.18703931388070572</v>
      </c>
      <c r="AH41" s="61">
        <f t="shared" si="14"/>
        <v>1978</v>
      </c>
      <c r="AI41" s="26">
        <f t="shared" si="15"/>
        <v>0.88415116540569305</v>
      </c>
      <c r="AJ41" s="75">
        <f t="shared" si="150"/>
        <v>122511.47021932475</v>
      </c>
      <c r="AK41" s="75">
        <f t="shared" si="153"/>
        <v>1053686.7661233421</v>
      </c>
      <c r="AL41" s="75">
        <f t="shared" si="157"/>
        <v>51087.930255680672</v>
      </c>
      <c r="AM41" s="75">
        <f t="shared" si="162"/>
        <v>937.99244398145129</v>
      </c>
      <c r="AN41" s="79">
        <f t="shared" si="84"/>
        <v>1228224.1590423288</v>
      </c>
      <c r="AO41" s="80">
        <f t="shared" si="85"/>
        <v>1085935.8215967023</v>
      </c>
      <c r="AP41" s="80">
        <f t="shared" si="86"/>
        <v>142288.3374456265</v>
      </c>
      <c r="AQ41" s="81">
        <v>1.0457396123553988</v>
      </c>
      <c r="AR41" s="81">
        <v>-0.62897909432029397</v>
      </c>
      <c r="AS41" s="81">
        <f>'SR + catch data Murdoch_age var'!N30</f>
        <v>-0.33202880349877045</v>
      </c>
      <c r="AT41" s="121">
        <f>'SR + catch data Murdoch_age var'!BR30</f>
        <v>-0.68849257550252763</v>
      </c>
      <c r="AU41" s="122">
        <f t="shared" si="87"/>
        <v>1.2596042982800164</v>
      </c>
      <c r="AV41" s="122">
        <f t="shared" si="88"/>
        <v>1.0818552021233372</v>
      </c>
      <c r="AW41" s="115">
        <f>IF(SSLcontrol=0,AP41*EXP(AU41+$AQ$11*AP41)*EXP(N41),AP41*EXP(DA41+$AQ$11*AP41)*EXP(N41))</f>
        <v>294024.13899522083</v>
      </c>
      <c r="AX41" s="115"/>
      <c r="AY41" s="141">
        <f t="shared" si="89"/>
        <v>0</v>
      </c>
      <c r="AZ41" s="141"/>
      <c r="BA41" s="84">
        <v>1666</v>
      </c>
      <c r="BB41" s="101">
        <v>1978</v>
      </c>
      <c r="BC41" s="72">
        <v>3.5750695088044487E-2</v>
      </c>
      <c r="BD41" s="72">
        <v>0.8358758109360519</v>
      </c>
      <c r="BE41" s="72">
        <v>0.11956904541241889</v>
      </c>
      <c r="BF41" s="72">
        <v>8.3410565338276187E-3</v>
      </c>
      <c r="BG41" s="72">
        <v>4.6339202965708991E-4</v>
      </c>
      <c r="BH41" s="76">
        <v>1.6659999999999999</v>
      </c>
      <c r="BI41" s="76">
        <v>6.7530000000000001</v>
      </c>
      <c r="BJ41" s="72">
        <f t="shared" ref="BJ41:BJ81" si="215">LN(BI41/BH41)</f>
        <v>1.3995613068480541</v>
      </c>
      <c r="BK41">
        <v>1.6659999999999999</v>
      </c>
      <c r="BL41" s="120">
        <v>-0.90461819600000004</v>
      </c>
      <c r="BM41" s="125">
        <v>-0.18766196099999999</v>
      </c>
      <c r="BN41" s="4">
        <v>6.2001431000000003E-2</v>
      </c>
      <c r="BO41" s="98">
        <f>$BF$10+SUMPRODUCT($BH$10:$BJ$10,BL41:BN41)</f>
        <v>2.2991771484105246</v>
      </c>
      <c r="BP41" s="98">
        <f t="shared" ref="BP41:BP81" si="216">BK41*EXP($BG$10*BK41+BO41)</f>
        <v>4.3466596938395456</v>
      </c>
      <c r="BQ41" s="99">
        <f t="shared" ref="BQ41:BQ81" si="217">LN(BI41/BP41)</f>
        <v>0.44057918694161297</v>
      </c>
      <c r="BR41" s="200">
        <v>50</v>
      </c>
      <c r="BS41" s="100">
        <v>746.59403681892934</v>
      </c>
      <c r="BT41" s="98">
        <v>0.42305018961951335</v>
      </c>
      <c r="BU41" s="98">
        <f>BW41/BX41</f>
        <v>0.42305018961951335</v>
      </c>
      <c r="BV41" s="99">
        <f t="shared" si="92"/>
        <v>0.42305018961951335</v>
      </c>
      <c r="BW41" s="100">
        <f t="shared" ref="BW41:BW81" si="218">BX41-BS41-BR41-1000*BH41</f>
        <v>1805.7045092797316</v>
      </c>
      <c r="BX41" s="100">
        <v>4268.2985460986611</v>
      </c>
      <c r="BY41" s="99" t="e">
        <f>NA()</f>
        <v>#N/A</v>
      </c>
      <c r="BZ41" s="89" t="e">
        <f>NA()</f>
        <v>#N/A</v>
      </c>
      <c r="CA41" s="78">
        <v>1978</v>
      </c>
      <c r="CB41" s="90">
        <f>BU41</f>
        <v>0.42305018961951335</v>
      </c>
      <c r="CC41" s="95">
        <f t="shared" ref="CC41:CG44" si="219">$BX41*BC41</f>
        <v>152.59463986631684</v>
      </c>
      <c r="CD41" s="95">
        <f t="shared" si="219"/>
        <v>3567.7675085373894</v>
      </c>
      <c r="CE41" s="95">
        <f t="shared" si="219"/>
        <v>510.35638269223233</v>
      </c>
      <c r="CF41" s="95">
        <f t="shared" si="219"/>
        <v>35.602119476263162</v>
      </c>
      <c r="CG41" s="95">
        <f t="shared" si="219"/>
        <v>1.9778955264590645</v>
      </c>
      <c r="CH41" s="92">
        <f>SUM(CC41:CG41)</f>
        <v>4268.2985460986611</v>
      </c>
      <c r="CI41" s="200">
        <f>BR41</f>
        <v>50</v>
      </c>
      <c r="CJ41" s="92">
        <f>BS41</f>
        <v>746.59403681892934</v>
      </c>
      <c r="CK41" s="92">
        <f>CH41*CB41</f>
        <v>1805.7045092797316</v>
      </c>
      <c r="CL41" s="92">
        <f>SUM(CI41:CK41)</f>
        <v>2602.2985460986611</v>
      </c>
      <c r="CM41" s="72">
        <f>CI41/(CH41-CK41)</f>
        <v>2.0303793175990875E-2</v>
      </c>
      <c r="CN41" s="128">
        <f>CL41/CH41</f>
        <v>0.60968053616522011</v>
      </c>
      <c r="CO41" s="111">
        <f>CH41-CL41</f>
        <v>1666</v>
      </c>
      <c r="CP41" s="72">
        <f>BO41</f>
        <v>2.2991771484105246</v>
      </c>
      <c r="CQ41" s="96">
        <f>IF(SSLcontrol=0,$CO41/1000*EXP($CP41+$BG$10*$CO41/1000),$CO41/1000*EXP($CV41+$BG$10*$CO41/1000))</f>
        <v>4.3466596938395456</v>
      </c>
      <c r="CR41" s="92">
        <f>CQ41*1000</f>
        <v>4346.659693839546</v>
      </c>
      <c r="CS41" s="120">
        <f>BL41</f>
        <v>-0.90461819600000004</v>
      </c>
      <c r="CT41" s="72">
        <f>BM41</f>
        <v>-0.18766196099999999</v>
      </c>
      <c r="CU41" s="72">
        <f>BN41</f>
        <v>6.2001431000000003E-2</v>
      </c>
      <c r="CV41" s="104">
        <f>$BF$10+SUMPRODUCT($BH$10:$BJ$10,CS41:CU41)</f>
        <v>2.2991771484105246</v>
      </c>
      <c r="CW41" s="105">
        <f t="shared" si="99"/>
        <v>1.0457396123553988</v>
      </c>
      <c r="CX41" s="105">
        <f t="shared" si="100"/>
        <v>-0.62897909432029397</v>
      </c>
      <c r="CY41" s="105">
        <f t="shared" si="101"/>
        <v>-0.33202880349877045</v>
      </c>
      <c r="CZ41" s="123">
        <f t="shared" si="102"/>
        <v>-0.68849257550252763</v>
      </c>
      <c r="DA41" s="81">
        <f t="shared" si="103"/>
        <v>1.2596042982800164</v>
      </c>
      <c r="DB41" s="9">
        <f t="shared" si="104"/>
        <v>294024.13899522083</v>
      </c>
      <c r="DD41" s="1">
        <f t="shared" si="105"/>
        <v>2.5276756265908022E-2</v>
      </c>
      <c r="DE41" s="114">
        <v>1152</v>
      </c>
      <c r="DF41" s="61">
        <v>1978</v>
      </c>
      <c r="DG41" s="26">
        <v>7.6142131979695434E-3</v>
      </c>
      <c r="DH41" s="26">
        <v>0.29512169725367693</v>
      </c>
      <c r="DI41" s="26">
        <v>0.6060236886632826</v>
      </c>
      <c r="DJ41" s="26">
        <v>8.8702329819081091E-2</v>
      </c>
      <c r="DK41" s="26">
        <v>2.5380710659898475E-3</v>
      </c>
      <c r="DL41" s="106">
        <v>1.1519999999999999</v>
      </c>
      <c r="DM41" s="106">
        <v>2.7829999999999999</v>
      </c>
      <c r="DN41" s="26">
        <v>0.88202992027005422</v>
      </c>
      <c r="DO41" s="76">
        <f t="shared" si="107"/>
        <v>1.1519999999999999</v>
      </c>
      <c r="DP41" s="119">
        <v>-0.87704872899999997</v>
      </c>
      <c r="DQ41" s="26">
        <v>-1.0396338789999999</v>
      </c>
      <c r="DR41" s="26">
        <v>-1.0168741059999999</v>
      </c>
      <c r="DS41" s="26">
        <v>0.78326226700000001</v>
      </c>
      <c r="DT41" s="113" cm="1">
        <f t="array" ref="DT41">$DN$11+SUMPRODUCT(DP$11:$DS$11*DP41:DS41)</f>
        <v>1.8855757922111653</v>
      </c>
      <c r="DU41" s="76">
        <f t="shared" si="40"/>
        <v>2.3377586849674765</v>
      </c>
      <c r="DV41" s="72">
        <f t="shared" si="179"/>
        <v>0.17433683912046449</v>
      </c>
      <c r="DW41" s="199">
        <v>50</v>
      </c>
      <c r="DX41" s="61">
        <v>364.76596857269851</v>
      </c>
      <c r="DY41" s="26">
        <v>0.42305018961951335</v>
      </c>
      <c r="DZ41" s="98">
        <f t="shared" si="213"/>
        <v>0.42305018961951329</v>
      </c>
      <c r="EA41" s="98">
        <f t="shared" si="214"/>
        <v>0.42305018961951329</v>
      </c>
      <c r="EB41" s="100">
        <f t="shared" si="188"/>
        <v>1148.8358747478637</v>
      </c>
      <c r="EC41" s="61">
        <v>2715.6018433205622</v>
      </c>
      <c r="EE41" s="72">
        <f t="shared" si="189"/>
        <v>3.1330582418725952E-2</v>
      </c>
      <c r="EF41">
        <v>1978</v>
      </c>
      <c r="EG41" s="110">
        <f t="shared" si="190"/>
        <v>0.42305018961951335</v>
      </c>
      <c r="EH41" s="97">
        <f t="shared" ref="EH41:EH102" si="220">DG41*EV37</f>
        <v>17.588850081737608</v>
      </c>
      <c r="EI41" s="97">
        <f>DH41*EV36</f>
        <v>854.99163459999284</v>
      </c>
      <c r="EJ41" s="95">
        <f t="shared" si="193"/>
        <v>1645.7190460299366</v>
      </c>
      <c r="EK41" s="95">
        <f t="shared" si="194"/>
        <v>240.88021036352509</v>
      </c>
      <c r="EL41" s="95">
        <f t="shared" si="195"/>
        <v>6.8923904652806147</v>
      </c>
      <c r="EM41" s="111">
        <f t="shared" si="196"/>
        <v>2766.072131540473</v>
      </c>
      <c r="EN41" s="200">
        <f t="shared" si="197"/>
        <v>50</v>
      </c>
      <c r="EO41" s="92">
        <f t="shared" si="198"/>
        <v>364.76596857269851</v>
      </c>
      <c r="EP41" s="92">
        <f t="shared" si="199"/>
        <v>1170.1873397494485</v>
      </c>
      <c r="EQ41" s="92">
        <f>SUM(EN41:EP41)</f>
        <v>1584.953308322147</v>
      </c>
      <c r="ER41" s="128">
        <f t="shared" si="201"/>
        <v>0.57299782252585707</v>
      </c>
      <c r="ES41" s="111">
        <f>EM41-EQ41</f>
        <v>1181.118823218326</v>
      </c>
      <c r="ET41" s="72">
        <f t="shared" si="203"/>
        <v>1.8855757922111653</v>
      </c>
      <c r="EU41" s="96">
        <f t="shared" si="204"/>
        <v>2.3265399677096572</v>
      </c>
      <c r="EV41" s="92">
        <f t="shared" si="205"/>
        <v>2326.539967709657</v>
      </c>
      <c r="EW41" s="120">
        <f t="shared" si="206"/>
        <v>-0.87704872899999997</v>
      </c>
      <c r="EX41" s="9">
        <f t="shared" si="184"/>
        <v>-1.0396338789999999</v>
      </c>
      <c r="EY41" s="9">
        <f t="shared" si="185"/>
        <v>-1.0168741059999999</v>
      </c>
      <c r="EZ41" s="9">
        <f t="shared" si="186"/>
        <v>0.78326226700000001</v>
      </c>
      <c r="FA41" s="113" cm="1">
        <f t="array" ref="FA41">$DN$11+SUMPRODUCT($DP$11:$DS$11*EW41:EZ41)</f>
        <v>1.8855757922111653</v>
      </c>
      <c r="FB41">
        <v>1978</v>
      </c>
      <c r="FC41" s="116">
        <f t="shared" si="121"/>
        <v>142288.3374456265</v>
      </c>
      <c r="FD41" s="116">
        <f t="shared" si="122"/>
        <v>539907.17927684577</v>
      </c>
      <c r="FE41" s="116">
        <f t="shared" si="159"/>
        <v>1640510.5310472115</v>
      </c>
      <c r="FF41" s="116">
        <f t="shared" si="124"/>
        <v>467316.92869486363</v>
      </c>
      <c r="FG41" s="5">
        <f t="shared" si="173"/>
        <v>72590.250581982138</v>
      </c>
      <c r="FH41" s="5">
        <f t="shared" si="155"/>
        <v>224985.40032864641</v>
      </c>
      <c r="FI41" s="155">
        <f t="shared" si="126"/>
        <v>0.13444950052194132</v>
      </c>
      <c r="FJ41" s="117">
        <f t="shared" si="127"/>
        <v>13.444950052194132</v>
      </c>
      <c r="FK41" s="61">
        <f t="shared" si="50"/>
        <v>7775.0525071201791</v>
      </c>
      <c r="FL41" s="61">
        <f t="shared" si="142"/>
        <v>69.440968891517272</v>
      </c>
      <c r="FM41" s="92">
        <f t="shared" si="128"/>
        <v>9.3363035832241632</v>
      </c>
      <c r="FN41" s="72">
        <f t="shared" si="129"/>
        <v>0.13444950052194132</v>
      </c>
      <c r="FO41" s="179">
        <f t="shared" si="51"/>
        <v>0.31121011944080545</v>
      </c>
      <c r="FP41" s="92">
        <f t="shared" si="160"/>
        <v>19.901609148759011</v>
      </c>
      <c r="FQ41" s="1">
        <f t="shared" si="143"/>
        <v>5.5693404079786551E-3</v>
      </c>
      <c r="FR41" s="26">
        <f t="shared" si="130"/>
        <v>1.2341408827186904</v>
      </c>
      <c r="FS41">
        <f t="shared" si="52"/>
        <v>1978</v>
      </c>
      <c r="FT41" s="5">
        <f>CO41</f>
        <v>1666</v>
      </c>
      <c r="FU41" s="214">
        <f>$FT41*EXP($BF$10+$BG$10*$FT41/1000+$BI$10*$CT41+$BH$10*$FD$10)</f>
        <v>7561.2126649950542</v>
      </c>
      <c r="FV41" s="213">
        <f t="shared" si="131"/>
        <v>4357.5062337728896</v>
      </c>
      <c r="FW41" s="5">
        <f t="shared" si="132"/>
        <v>3203.7064312221646</v>
      </c>
      <c r="FX41" s="1">
        <f>FW41/FU41</f>
        <v>0.42370272774549189</v>
      </c>
      <c r="FY41">
        <f t="shared" si="55"/>
        <v>10472.734003675469</v>
      </c>
      <c r="FZ41" s="26">
        <f>FW41/FY41</f>
        <v>0.30590927164748044</v>
      </c>
      <c r="GA41" s="106">
        <f t="shared" si="56"/>
        <v>1.0196975721582681E-2</v>
      </c>
      <c r="GB41" s="61">
        <f t="shared" si="135"/>
        <v>1181.118823218326</v>
      </c>
      <c r="GC41" s="61">
        <f t="shared" si="207"/>
        <v>3864.6076029715623</v>
      </c>
      <c r="GD41" s="61" t="e">
        <f>NA()</f>
        <v>#N/A</v>
      </c>
      <c r="GE41" s="61">
        <f t="shared" si="210"/>
        <v>2326.539967709658</v>
      </c>
      <c r="GF41" s="61">
        <f t="shared" si="137"/>
        <v>1538.0676352619043</v>
      </c>
      <c r="GG41" s="61" t="e">
        <f>NA()</f>
        <v>#N/A</v>
      </c>
      <c r="GH41" s="6">
        <f t="shared" si="138"/>
        <v>0.39798804775917174</v>
      </c>
      <c r="GI41">
        <f t="shared" si="58"/>
        <v>9248.6922093424037</v>
      </c>
      <c r="GJ41" s="26">
        <f t="shared" si="208"/>
        <v>0.16630109430047335</v>
      </c>
      <c r="GK41">
        <f t="shared" si="59"/>
        <v>5.5433698100157787E-3</v>
      </c>
      <c r="GL41" s="232">
        <f t="shared" si="140"/>
        <v>1.2341408827186904</v>
      </c>
      <c r="GY41">
        <v>1978</v>
      </c>
      <c r="GZ41" s="112">
        <f t="shared" si="60"/>
        <v>1.2596042982800164</v>
      </c>
      <c r="HA41" s="112">
        <f t="shared" si="61"/>
        <v>1.8855757922111653</v>
      </c>
      <c r="HB41" s="112">
        <f t="shared" si="62"/>
        <v>2.2991771484105246</v>
      </c>
    </row>
    <row r="42" spans="1:210" x14ac:dyDescent="0.35">
      <c r="A42">
        <v>1979</v>
      </c>
      <c r="D42" s="80">
        <f>'SR + catch data Murdoch_age var'!C31</f>
        <v>255634</v>
      </c>
      <c r="E42" s="80">
        <f>'SR + catch data Murdoch_age var'!E31</f>
        <v>518168.16439239652</v>
      </c>
      <c r="F42" s="231">
        <f t="shared" si="63"/>
        <v>0.70655309725769067</v>
      </c>
      <c r="G42" s="80">
        <f>'SR + catch data Murdoch_age var'!D31</f>
        <v>308732</v>
      </c>
      <c r="H42" s="80">
        <f>'Orig data'!Q33</f>
        <v>308732</v>
      </c>
      <c r="I42" s="80">
        <f t="shared" si="64"/>
        <v>53098</v>
      </c>
      <c r="J42" s="150">
        <f t="shared" si="65"/>
        <v>0.17198735472837282</v>
      </c>
      <c r="K42" s="83">
        <f>'SR + catch data Murdoch_age var'!CM31</f>
        <v>1.1407422139854011</v>
      </c>
      <c r="L42" s="83">
        <f>'SR + catch data Murdoch_age var'!CN31</f>
        <v>1.2396845121984124</v>
      </c>
      <c r="M42" s="84">
        <f>'SR + catch data Murdoch_age var'!CO31</f>
        <v>704800.78795005241</v>
      </c>
      <c r="N42" s="81">
        <f t="shared" si="66"/>
        <v>-0.30761536133921336</v>
      </c>
      <c r="O42" s="82">
        <f t="shared" si="67"/>
        <v>1979</v>
      </c>
      <c r="P42" s="81">
        <f t="shared" si="68"/>
        <v>0.10741516534518507</v>
      </c>
      <c r="Q42" s="81">
        <f t="shared" si="68"/>
        <v>0.75930233821489568</v>
      </c>
      <c r="R42" s="81">
        <f t="shared" si="68"/>
        <v>0.13183604264117066</v>
      </c>
      <c r="S42" s="85">
        <f t="shared" si="68"/>
        <v>1.4464537987485602E-3</v>
      </c>
      <c r="T42" s="80">
        <f t="shared" si="144"/>
        <v>33162.498827349678</v>
      </c>
      <c r="U42" s="80">
        <f t="shared" si="145"/>
        <v>234420.92948176118</v>
      </c>
      <c r="V42" s="80">
        <f t="shared" si="146"/>
        <v>40702.005116693901</v>
      </c>
      <c r="W42" s="80">
        <f t="shared" si="147"/>
        <v>446.56657419524049</v>
      </c>
      <c r="X42" s="86">
        <f t="shared" si="73"/>
        <v>1979</v>
      </c>
      <c r="Y42" s="79">
        <f t="shared" si="149"/>
        <v>84926.442251872941</v>
      </c>
      <c r="Z42" s="79">
        <f t="shared" si="152"/>
        <v>366242.62920034054</v>
      </c>
      <c r="AA42" s="79">
        <f t="shared" si="156"/>
        <v>134416.24028466048</v>
      </c>
      <c r="AB42" s="79">
        <f t="shared" si="161"/>
        <v>1176.1693195104635</v>
      </c>
      <c r="AC42" s="80">
        <f t="shared" si="78"/>
        <v>586761.48105638439</v>
      </c>
      <c r="AD42" s="84">
        <f t="shared" si="79"/>
        <v>-278029.48105638439</v>
      </c>
      <c r="AE42" s="80">
        <f t="shared" si="80"/>
        <v>53098</v>
      </c>
      <c r="AF42" s="72">
        <f t="shared" si="81"/>
        <v>9.0493329426471994E-2</v>
      </c>
      <c r="AG42" s="26">
        <f t="shared" si="82"/>
        <v>-8.1494025301900822E-2</v>
      </c>
      <c r="AH42" s="61">
        <f t="shared" si="14"/>
        <v>1979</v>
      </c>
      <c r="AI42" s="26">
        <f t="shared" si="15"/>
        <v>9.0493329426471994E-2</v>
      </c>
      <c r="AJ42" s="75">
        <f t="shared" si="150"/>
        <v>42159.275778918593</v>
      </c>
      <c r="AK42" s="75">
        <f t="shared" si="153"/>
        <v>866015.94380776747</v>
      </c>
      <c r="AL42" s="75">
        <f t="shared" si="157"/>
        <v>182949.38187028092</v>
      </c>
      <c r="AM42" s="75">
        <f t="shared" si="162"/>
        <v>560.51690651592696</v>
      </c>
      <c r="AN42" s="79">
        <f t="shared" si="84"/>
        <v>1091685.1183634829</v>
      </c>
      <c r="AO42" s="80">
        <f t="shared" si="85"/>
        <v>98790.22104604372</v>
      </c>
      <c r="AP42" s="80">
        <f t="shared" si="86"/>
        <v>992894.8973174392</v>
      </c>
      <c r="AQ42" s="81">
        <v>1.7608580065748596</v>
      </c>
      <c r="AR42" s="81">
        <v>-1.3455659910637718</v>
      </c>
      <c r="AS42" s="81">
        <f>'SR + catch data Murdoch_age var'!N31</f>
        <v>0.65924011937920879</v>
      </c>
      <c r="AT42" s="121">
        <f>'SR + catch data Murdoch_age var'!BR31</f>
        <v>-0.6582991024123237</v>
      </c>
      <c r="AU42" s="122">
        <f t="shared" si="87"/>
        <v>1.1407422139854011</v>
      </c>
      <c r="AV42" s="122">
        <f t="shared" si="88"/>
        <v>1.014168458596904</v>
      </c>
      <c r="AW42" s="115">
        <f t="shared" si="17"/>
        <v>1406562.151317219</v>
      </c>
      <c r="AX42" s="115"/>
      <c r="AY42" s="141">
        <f t="shared" si="89"/>
        <v>0</v>
      </c>
      <c r="AZ42" s="141"/>
      <c r="BA42" s="84">
        <v>1666</v>
      </c>
      <c r="BB42" s="101">
        <v>1979</v>
      </c>
      <c r="BC42" s="72">
        <v>3.5750695088044487E-2</v>
      </c>
      <c r="BD42" s="72">
        <v>0.8358758109360519</v>
      </c>
      <c r="BE42" s="72">
        <v>0.11956904541241889</v>
      </c>
      <c r="BF42" s="72">
        <v>8.3410565338276187E-3</v>
      </c>
      <c r="BG42" s="72">
        <v>4.6339202965708991E-4</v>
      </c>
      <c r="BH42" s="76">
        <v>1.6659999999999999</v>
      </c>
      <c r="BI42" s="76">
        <v>2.9079999999999999</v>
      </c>
      <c r="BJ42" s="72">
        <f t="shared" si="215"/>
        <v>0.557040015926622</v>
      </c>
      <c r="BK42">
        <v>1.6659999999999999</v>
      </c>
      <c r="BL42" s="120">
        <v>-0.87704872899999997</v>
      </c>
      <c r="BM42" s="125">
        <v>-0.104851871</v>
      </c>
      <c r="BN42" s="4">
        <v>-1.0168741059999999</v>
      </c>
      <c r="BO42" s="98">
        <f t="shared" ref="BO42:BO81" si="221">$BF$10+SUMPRODUCT($BH$10:$BJ$10,BL42:BN42)</f>
        <v>2.3046250758416464</v>
      </c>
      <c r="BP42" s="98">
        <f t="shared" si="216"/>
        <v>4.37040460195864</v>
      </c>
      <c r="BQ42" s="99">
        <f t="shared" si="217"/>
        <v>-0.40739003141094088</v>
      </c>
      <c r="BR42" s="200">
        <v>50</v>
      </c>
      <c r="BS42" s="100">
        <v>580.55689957026891</v>
      </c>
      <c r="BT42" s="98">
        <v>0.42305018961951335</v>
      </c>
      <c r="BU42" s="98">
        <f t="shared" ref="BU42:BU80" si="222">BW42/BX42</f>
        <v>0.42305018961951329</v>
      </c>
      <c r="BV42" s="99">
        <f t="shared" si="92"/>
        <v>0.42305018961951329</v>
      </c>
      <c r="BW42" s="100">
        <f t="shared" si="218"/>
        <v>1683.9572773140881</v>
      </c>
      <c r="BX42" s="100">
        <v>3980.5141768843569</v>
      </c>
      <c r="BY42" s="99" t="e">
        <f>NA()</f>
        <v>#N/A</v>
      </c>
      <c r="BZ42" s="89" t="e">
        <f>NA()</f>
        <v>#N/A</v>
      </c>
      <c r="CA42" s="78">
        <v>1979</v>
      </c>
      <c r="CB42" s="90">
        <f t="shared" ref="CB42:CB53" si="223">BU42</f>
        <v>0.42305018961951329</v>
      </c>
      <c r="CC42" s="95">
        <f t="shared" si="219"/>
        <v>142.30614863143103</v>
      </c>
      <c r="CD42" s="95">
        <f t="shared" si="219"/>
        <v>3327.215515545663</v>
      </c>
      <c r="CE42" s="95">
        <f t="shared" si="219"/>
        <v>475.94628038066287</v>
      </c>
      <c r="CF42" s="95">
        <f t="shared" si="219"/>
        <v>33.201693783094733</v>
      </c>
      <c r="CG42" s="95">
        <f t="shared" si="219"/>
        <v>1.8445385435052628</v>
      </c>
      <c r="CH42" s="92">
        <f t="shared" ref="CH42:CH81" si="224">SUM(CC42:CG42)</f>
        <v>3980.5141768843569</v>
      </c>
      <c r="CI42" s="200">
        <f t="shared" ref="CI42:CI81" si="225">BR42</f>
        <v>50</v>
      </c>
      <c r="CJ42" s="92">
        <f t="shared" ref="CJ42:CJ81" si="226">BS42</f>
        <v>580.55689957026891</v>
      </c>
      <c r="CK42" s="92">
        <f t="shared" ref="CK42:CK81" si="227">CH42*CB42</f>
        <v>1683.9572773140881</v>
      </c>
      <c r="CL42" s="92">
        <f t="shared" ref="CL42:CL81" si="228">SUM(CI42:CK42)</f>
        <v>2314.5141768843569</v>
      </c>
      <c r="CM42" s="72">
        <f t="shared" ref="CM42:CM103" si="229">CI42/(CH42-CK42)</f>
        <v>2.1771722707743923E-2</v>
      </c>
      <c r="CN42" s="128">
        <f t="shared" ref="CN42:CN81" si="230">CL42/CH42</f>
        <v>0.58146110628752545</v>
      </c>
      <c r="CO42" s="111">
        <f t="shared" ref="CO42:CO67" si="231">CH42-CL42</f>
        <v>1666</v>
      </c>
      <c r="CP42" s="72">
        <f t="shared" ref="CP42:CP103" si="232">BO42</f>
        <v>2.3046250758416464</v>
      </c>
      <c r="CQ42" s="96">
        <f t="shared" ref="CQ42:CQ72" si="233">IF(SSLcontrol=0,$CO42/1000*EXP($CP42+$BG$10*$CO42/1000),$CO42/1000*EXP($CV42+$BG$10*$CO42/1000))</f>
        <v>4.463469236097044</v>
      </c>
      <c r="CR42" s="92">
        <f t="shared" ref="CR42:CR102" si="234">CQ42*1000</f>
        <v>4463.4692360970439</v>
      </c>
      <c r="CS42" s="120">
        <f t="shared" ref="CS42:CS73" si="235">(1-SSLcontrol)*BL42+SSLcontrol*$CS$41</f>
        <v>-0.90461819600000004</v>
      </c>
      <c r="CT42" s="72">
        <f t="shared" si="97"/>
        <v>-0.104851871</v>
      </c>
      <c r="CU42" s="72">
        <f t="shared" ref="CU42:CU81" si="236">BN42</f>
        <v>-1.0168741059999999</v>
      </c>
      <c r="CV42" s="104">
        <f t="shared" ref="CV42:CV81" si="237">$BF$10+SUMPRODUCT($BH$10:$BJ$10,CS42:CU42)</f>
        <v>2.3256958040456484</v>
      </c>
      <c r="CW42" s="105">
        <f t="shared" si="99"/>
        <v>1.7608580065748596</v>
      </c>
      <c r="CX42" s="105">
        <f t="shared" si="100"/>
        <v>-1.3455659910637718</v>
      </c>
      <c r="CY42" s="105">
        <f t="shared" si="101"/>
        <v>0.65924011937920879</v>
      </c>
      <c r="CZ42" s="123">
        <f>(1-SSLcontrol)*AT42+SSLcontrol*$CZ$41</f>
        <v>-0.68849257550252763</v>
      </c>
      <c r="DA42" s="81">
        <f t="shared" si="103"/>
        <v>1.147512988154473</v>
      </c>
      <c r="DB42" s="9">
        <f t="shared" si="104"/>
        <v>1406562.151317219</v>
      </c>
      <c r="DD42" s="1">
        <f t="shared" si="105"/>
        <v>0.82565779087408497</v>
      </c>
      <c r="DE42" s="114">
        <v>715</v>
      </c>
      <c r="DF42" s="61">
        <v>1979</v>
      </c>
      <c r="DG42" s="26">
        <v>7.6142131979695434E-3</v>
      </c>
      <c r="DH42" s="26">
        <v>0.29512169725367693</v>
      </c>
      <c r="DI42" s="112">
        <v>0.6060236886632826</v>
      </c>
      <c r="DJ42" s="26">
        <v>8.8702329819081091E-2</v>
      </c>
      <c r="DK42" s="26">
        <v>2.5380710659898475E-3</v>
      </c>
      <c r="DL42" s="106">
        <v>0.71499999999999997</v>
      </c>
      <c r="DM42" s="106">
        <v>4.5490000000000004</v>
      </c>
      <c r="DN42" s="26">
        <v>1.8503801648759965</v>
      </c>
      <c r="DO42" s="76">
        <f t="shared" si="107"/>
        <v>0.71499999999999997</v>
      </c>
      <c r="DP42" s="119">
        <v>-0.84836201700000002</v>
      </c>
      <c r="DQ42" s="26">
        <v>-9.2941430000000005E-2</v>
      </c>
      <c r="DR42" s="26">
        <v>-0.79169388100000004</v>
      </c>
      <c r="DS42" s="26">
        <v>1.653813929</v>
      </c>
      <c r="DT42" s="113" cm="1">
        <f t="array" ref="DT42">$DN$11+SUMPRODUCT(DP$11:$DS$11*DP42:DS42)</f>
        <v>1.9525196834005532</v>
      </c>
      <c r="DU42" s="76">
        <f t="shared" si="40"/>
        <v>2.4253663638499172</v>
      </c>
      <c r="DV42" s="72">
        <f t="shared" si="179"/>
        <v>0.62892483773327912</v>
      </c>
      <c r="DW42" s="199">
        <v>50</v>
      </c>
      <c r="DX42" s="61">
        <v>141.59785081182838</v>
      </c>
      <c r="DY42" s="26">
        <v>0.42305018961951335</v>
      </c>
      <c r="DZ42" s="98">
        <f t="shared" si="213"/>
        <v>0.42317743954845038</v>
      </c>
      <c r="EA42" s="98">
        <f t="shared" si="214"/>
        <v>0.42317743954845038</v>
      </c>
      <c r="EB42" s="100">
        <f t="shared" si="188"/>
        <v>665.11226070344128</v>
      </c>
      <c r="EC42" s="61">
        <v>1571.7101115152698</v>
      </c>
      <c r="EE42" s="72">
        <f t="shared" si="189"/>
        <v>3.3401401575598288E-2</v>
      </c>
      <c r="EF42">
        <v>1979</v>
      </c>
      <c r="EG42" s="110">
        <f t="shared" si="190"/>
        <v>0.42305018961951335</v>
      </c>
      <c r="EH42" s="97">
        <f t="shared" si="220"/>
        <v>13.745937141909961</v>
      </c>
      <c r="EI42" s="97">
        <f t="shared" ref="EI42:EI102" si="238">DH42*EV37</f>
        <v>681.73180260399113</v>
      </c>
      <c r="EJ42" s="97">
        <f>DI42*EV36</f>
        <v>1755.70006881316</v>
      </c>
      <c r="EK42" s="95">
        <f t="shared" si="194"/>
        <v>139.41434869161219</v>
      </c>
      <c r="EL42" s="95">
        <f t="shared" si="195"/>
        <v>3.9891119581605827</v>
      </c>
      <c r="EM42" s="111">
        <f t="shared" si="196"/>
        <v>2594.5812692088343</v>
      </c>
      <c r="EN42" s="200">
        <f t="shared" si="197"/>
        <v>50</v>
      </c>
      <c r="EO42" s="92">
        <f t="shared" si="198"/>
        <v>141.59785081182838</v>
      </c>
      <c r="EP42" s="92">
        <f t="shared" si="199"/>
        <v>1097.6380979220351</v>
      </c>
      <c r="EQ42" s="92">
        <f t="shared" ref="EQ42:EQ103" si="239">SUM(EN42:EP42)</f>
        <v>1289.2359487338636</v>
      </c>
      <c r="ER42" s="128">
        <f t="shared" si="201"/>
        <v>0.49689557387693245</v>
      </c>
      <c r="ES42" s="111">
        <f t="shared" ref="ES42:ES80" si="240">EM42-EQ42</f>
        <v>1305.3453204749708</v>
      </c>
      <c r="ET42" s="72">
        <f t="shared" si="203"/>
        <v>1.9525196834005532</v>
      </c>
      <c r="EU42" s="96">
        <f t="shared" si="204"/>
        <v>2.4770172220591733</v>
      </c>
      <c r="EV42" s="92">
        <f t="shared" si="205"/>
        <v>2477.0172220591735</v>
      </c>
      <c r="EW42" s="120">
        <f>(1-SSLcontrol)*DP42+SSLcontrol*$EW$41</f>
        <v>-0.87704872899999997</v>
      </c>
      <c r="EX42" s="9">
        <f t="shared" si="184"/>
        <v>-9.2941430000000005E-2</v>
      </c>
      <c r="EY42" s="9">
        <f t="shared" si="185"/>
        <v>-0.79169388100000004</v>
      </c>
      <c r="EZ42" s="9">
        <f t="shared" si="186"/>
        <v>1.653813929</v>
      </c>
      <c r="FA42" s="113" cm="1">
        <f t="array" ref="FA42">$DN$11+SUMPRODUCT($DP$11:$DS$11*EW42:EZ42)</f>
        <v>1.9752608217433578</v>
      </c>
      <c r="FB42">
        <v>1979</v>
      </c>
      <c r="FC42" s="116">
        <f t="shared" si="121"/>
        <v>992894.8973174392</v>
      </c>
      <c r="FD42" s="116">
        <f t="shared" si="122"/>
        <v>2210355.7089244896</v>
      </c>
      <c r="FE42" s="116">
        <f t="shared" si="159"/>
        <v>2138519.9917023615</v>
      </c>
      <c r="FF42" s="116">
        <f t="shared" si="124"/>
        <v>1913174.4878837706</v>
      </c>
      <c r="FG42" s="5">
        <f t="shared" si="173"/>
        <v>297181.22104071896</v>
      </c>
      <c r="FH42" s="5">
        <f t="shared" si="155"/>
        <v>290143.16953722551</v>
      </c>
      <c r="FI42" s="155">
        <f t="shared" si="126"/>
        <v>0.13444950052194124</v>
      </c>
      <c r="FJ42" s="117">
        <f t="shared" si="127"/>
        <v>13.444950052194123</v>
      </c>
      <c r="FK42" s="61">
        <f t="shared" si="50"/>
        <v>7775.0525071201791</v>
      </c>
      <c r="FL42" s="61">
        <f t="shared" si="142"/>
        <v>284.2882034430387</v>
      </c>
      <c r="FM42" s="92">
        <f t="shared" si="128"/>
        <v>38.222406957196569</v>
      </c>
      <c r="FN42" s="72">
        <f t="shared" si="129"/>
        <v>0.13444950052194124</v>
      </c>
      <c r="FO42" s="179">
        <f t="shared" si="51"/>
        <v>1.2740802319065523</v>
      </c>
      <c r="FP42" s="92">
        <f t="shared" si="160"/>
        <v>24.873593185446897</v>
      </c>
      <c r="FQ42" s="1">
        <f t="shared" si="143"/>
        <v>0</v>
      </c>
      <c r="FR42" s="26">
        <f t="shared" si="130"/>
        <v>1.2341408827186904</v>
      </c>
      <c r="FS42">
        <f t="shared" si="52"/>
        <v>1979</v>
      </c>
      <c r="FT42" s="5">
        <f t="shared" ref="FT42:FT103" si="241">CO42</f>
        <v>1666</v>
      </c>
      <c r="FU42" s="214">
        <f t="shared" si="54"/>
        <v>7434.8825725540682</v>
      </c>
      <c r="FV42" s="213">
        <f t="shared" si="131"/>
        <v>4284.7025460954892</v>
      </c>
      <c r="FW42" s="5">
        <f t="shared" si="132"/>
        <v>3150.1800264585791</v>
      </c>
      <c r="FX42" s="1">
        <f t="shared" si="133"/>
        <v>0.42370272774549195</v>
      </c>
      <c r="FY42">
        <f t="shared" si="55"/>
        <v>10873.124963332531</v>
      </c>
      <c r="FZ42" s="26">
        <f t="shared" si="134"/>
        <v>0.28972167956148204</v>
      </c>
      <c r="GA42" s="106">
        <f t="shared" si="56"/>
        <v>9.657389318716068E-3</v>
      </c>
      <c r="GB42" s="61">
        <f t="shared" si="135"/>
        <v>1305.3453204749708</v>
      </c>
      <c r="GC42" s="61">
        <f t="shared" si="207"/>
        <v>4114.5648567925273</v>
      </c>
      <c r="GD42" s="61">
        <f>MAX(GC36,EM36)</f>
        <v>4349.0560548225676</v>
      </c>
      <c r="GE42" s="61">
        <f t="shared" si="210"/>
        <v>2477.0172220591735</v>
      </c>
      <c r="GF42" s="61">
        <f t="shared" si="137"/>
        <v>1637.5476347333538</v>
      </c>
      <c r="GG42" s="61">
        <f>GF36</f>
        <v>1451.974469306102</v>
      </c>
      <c r="GH42" s="6">
        <f t="shared" si="138"/>
        <v>0.39798804775917168</v>
      </c>
      <c r="GI42">
        <f t="shared" si="58"/>
        <v>9248.6922093424037</v>
      </c>
      <c r="GJ42" s="26">
        <f t="shared" si="208"/>
        <v>0.17705720956733903</v>
      </c>
      <c r="GK42">
        <f t="shared" si="59"/>
        <v>5.9019069855779675E-3</v>
      </c>
      <c r="GL42" s="232">
        <f t="shared" si="140"/>
        <v>1.2341408827186904</v>
      </c>
      <c r="GY42">
        <v>1979</v>
      </c>
      <c r="GZ42" s="112">
        <f t="shared" si="60"/>
        <v>1.1407422139854011</v>
      </c>
      <c r="HA42" s="112">
        <f t="shared" si="61"/>
        <v>1.9525196834005532</v>
      </c>
      <c r="HB42" s="112">
        <f t="shared" si="62"/>
        <v>2.3256958040456484</v>
      </c>
    </row>
    <row r="43" spans="1:210" x14ac:dyDescent="0.35">
      <c r="A43">
        <v>1980</v>
      </c>
      <c r="D43" s="80">
        <f>'SR + catch data Murdoch_age var'!C32</f>
        <v>314011</v>
      </c>
      <c r="E43" s="80">
        <f>'SR + catch data Murdoch_age var'!E32</f>
        <v>760537.66313594871</v>
      </c>
      <c r="F43" s="231">
        <f t="shared" si="63"/>
        <v>0.88459761750741206</v>
      </c>
      <c r="G43" s="80">
        <f>'SR + catch data Murdoch_age var'!D32</f>
        <v>909353</v>
      </c>
      <c r="H43" s="80">
        <f>'Orig data'!Q34</f>
        <v>909353</v>
      </c>
      <c r="I43" s="80">
        <f t="shared" si="64"/>
        <v>595342</v>
      </c>
      <c r="J43" s="150">
        <f t="shared" si="65"/>
        <v>0.6546874536071251</v>
      </c>
      <c r="K43" s="83">
        <f>'SR + catch data Murdoch_age var'!CM32</f>
        <v>1.0780404956817184</v>
      </c>
      <c r="L43" s="83">
        <f>'SR + catch data Murdoch_age var'!CN32</f>
        <v>1.2187531763014419</v>
      </c>
      <c r="M43" s="84">
        <f>'SR + catch data Murdoch_age var'!CO32</f>
        <v>789966.20559319551</v>
      </c>
      <c r="N43" s="81">
        <f t="shared" si="66"/>
        <v>-3.7964532166743281E-2</v>
      </c>
      <c r="O43" s="82">
        <f t="shared" si="67"/>
        <v>1980</v>
      </c>
      <c r="P43" s="81">
        <f t="shared" si="68"/>
        <v>0.10741516534518507</v>
      </c>
      <c r="Q43" s="81">
        <f t="shared" si="68"/>
        <v>0.75930233821489568</v>
      </c>
      <c r="R43" s="81">
        <f t="shared" si="68"/>
        <v>0.13183604264117066</v>
      </c>
      <c r="S43" s="85">
        <f t="shared" si="68"/>
        <v>1.4464537987485602E-3</v>
      </c>
      <c r="T43" s="80">
        <f t="shared" si="144"/>
        <v>97678.30285214007</v>
      </c>
      <c r="U43" s="80">
        <f t="shared" si="145"/>
        <v>690473.85916273005</v>
      </c>
      <c r="V43" s="80">
        <f t="shared" si="146"/>
        <v>119885.50088387646</v>
      </c>
      <c r="W43" s="80">
        <f t="shared" si="147"/>
        <v>1315.3371012533994</v>
      </c>
      <c r="X43" s="86">
        <f t="shared" si="73"/>
        <v>1980</v>
      </c>
      <c r="Y43" s="79">
        <f t="shared" si="149"/>
        <v>61620.424734642082</v>
      </c>
      <c r="Z43" s="79">
        <f t="shared" si="152"/>
        <v>600332.79258932872</v>
      </c>
      <c r="AA43" s="79">
        <f t="shared" si="156"/>
        <v>63589.925185513326</v>
      </c>
      <c r="AB43" s="79">
        <f t="shared" si="161"/>
        <v>1474.7627240483432</v>
      </c>
      <c r="AC43" s="80">
        <f t="shared" si="78"/>
        <v>727017.90523353242</v>
      </c>
      <c r="AD43" s="84">
        <f t="shared" si="79"/>
        <v>182335.09476646758</v>
      </c>
      <c r="AE43" s="80">
        <f t="shared" si="80"/>
        <v>595342</v>
      </c>
      <c r="AF43" s="72">
        <f t="shared" si="81"/>
        <v>0.8188821701836414</v>
      </c>
      <c r="AG43" s="26">
        <f t="shared" si="82"/>
        <v>0.1641947165765163</v>
      </c>
      <c r="AH43" s="61">
        <f t="shared" si="14"/>
        <v>1980</v>
      </c>
      <c r="AI43" s="26">
        <f t="shared" si="15"/>
        <v>0.8188821701836414</v>
      </c>
      <c r="AJ43" s="75">
        <f t="shared" si="150"/>
        <v>50104.029856970723</v>
      </c>
      <c r="AK43" s="75">
        <f t="shared" si="153"/>
        <v>298017.85039857443</v>
      </c>
      <c r="AL43" s="75">
        <f t="shared" si="157"/>
        <v>150364.49797348285</v>
      </c>
      <c r="AM43" s="75">
        <f t="shared" si="162"/>
        <v>2007.2494826413201</v>
      </c>
      <c r="AN43" s="79">
        <f t="shared" si="84"/>
        <v>500493.62771166931</v>
      </c>
      <c r="AO43" s="80">
        <f t="shared" si="85"/>
        <v>409845.30802361527</v>
      </c>
      <c r="AP43" s="80">
        <f t="shared" si="86"/>
        <v>90648.319688054034</v>
      </c>
      <c r="AQ43" s="81">
        <v>0.99525166266150833</v>
      </c>
      <c r="AR43" s="81">
        <v>-0.62897909432029397</v>
      </c>
      <c r="AS43" s="81">
        <f>'SR + catch data Murdoch_age var'!N32</f>
        <v>1.2307263956715448</v>
      </c>
      <c r="AT43" s="121">
        <f>'SR + catch data Murdoch_age var'!BR32</f>
        <v>-0.63811957898072502</v>
      </c>
      <c r="AU43" s="122">
        <f t="shared" si="87"/>
        <v>1.0780404956817184</v>
      </c>
      <c r="AV43" s="122">
        <f t="shared" si="88"/>
        <v>0.92256214967415551</v>
      </c>
      <c r="AW43" s="115">
        <f t="shared" si="17"/>
        <v>248011.72387994887</v>
      </c>
      <c r="AX43" s="115"/>
      <c r="AY43" s="141">
        <f t="shared" si="89"/>
        <v>0</v>
      </c>
      <c r="AZ43" s="141"/>
      <c r="BA43" s="84">
        <v>952</v>
      </c>
      <c r="BB43" s="101">
        <v>1980</v>
      </c>
      <c r="BC43" s="72">
        <v>3.5750695088044487E-2</v>
      </c>
      <c r="BD43" s="72">
        <v>0.8358758109360519</v>
      </c>
      <c r="BE43" s="72">
        <v>0.11956904541241889</v>
      </c>
      <c r="BF43" s="72">
        <v>8.3410565338276187E-3</v>
      </c>
      <c r="BG43" s="72">
        <v>4.6339202965708991E-4</v>
      </c>
      <c r="BH43" s="76">
        <v>0.95199999999999996</v>
      </c>
      <c r="BI43" s="76">
        <v>10.539</v>
      </c>
      <c r="BJ43" s="72">
        <f t="shared" si="215"/>
        <v>2.4042729061425714</v>
      </c>
      <c r="BK43">
        <v>0.95199999999999996</v>
      </c>
      <c r="BL43" s="120">
        <v>-0.84836201700000002</v>
      </c>
      <c r="BM43" s="125">
        <v>-1.0396338789999999</v>
      </c>
      <c r="BN43" s="4">
        <v>-0.79169388100000004</v>
      </c>
      <c r="BO43" s="98">
        <f t="shared" si="221"/>
        <v>2.4638425514477218</v>
      </c>
      <c r="BP43" s="98">
        <f t="shared" si="216"/>
        <v>5.2008734190419821</v>
      </c>
      <c r="BQ43" s="99">
        <f t="shared" si="217"/>
        <v>0.70625608526861161</v>
      </c>
      <c r="BR43" s="200">
        <v>50</v>
      </c>
      <c r="BS43" s="100">
        <v>1008.3658284259112</v>
      </c>
      <c r="BT43" s="98">
        <v>0.42305018961951335</v>
      </c>
      <c r="BU43" s="98">
        <f t="shared" si="222"/>
        <v>0.42305018961951335</v>
      </c>
      <c r="BV43" s="99">
        <f t="shared" si="92"/>
        <v>0.42305018961951335</v>
      </c>
      <c r="BW43" s="100">
        <f t="shared" si="218"/>
        <v>1474.1068107107858</v>
      </c>
      <c r="BX43" s="100">
        <v>3484.4726391366971</v>
      </c>
      <c r="BY43" s="99" t="e">
        <f>NA()</f>
        <v>#N/A</v>
      </c>
      <c r="BZ43" s="89" t="e">
        <f>NA()</f>
        <v>#N/A</v>
      </c>
      <c r="CA43" s="78">
        <v>1980</v>
      </c>
      <c r="CB43" s="90">
        <f t="shared" si="223"/>
        <v>0.42305018961951335</v>
      </c>
      <c r="CC43" s="95">
        <f t="shared" si="219"/>
        <v>124.57231886440972</v>
      </c>
      <c r="CD43" s="95">
        <f t="shared" si="219"/>
        <v>2912.5863929228717</v>
      </c>
      <c r="CE43" s="95">
        <f t="shared" si="219"/>
        <v>416.63506722726686</v>
      </c>
      <c r="CF43" s="95">
        <f t="shared" si="219"/>
        <v>29.064183273614713</v>
      </c>
      <c r="CG43" s="95">
        <f t="shared" si="219"/>
        <v>1.6146768485341507</v>
      </c>
      <c r="CH43" s="92">
        <f t="shared" si="224"/>
        <v>3484.4726391366971</v>
      </c>
      <c r="CI43" s="200">
        <f t="shared" si="225"/>
        <v>50</v>
      </c>
      <c r="CJ43" s="92">
        <f t="shared" si="226"/>
        <v>1008.3658284259112</v>
      </c>
      <c r="CK43" s="92">
        <f t="shared" si="227"/>
        <v>1474.1068107107858</v>
      </c>
      <c r="CL43" s="92">
        <f t="shared" si="228"/>
        <v>2532.4726391366971</v>
      </c>
      <c r="CM43" s="72">
        <f t="shared" si="229"/>
        <v>2.4871095246952794E-2</v>
      </c>
      <c r="CN43" s="128">
        <f t="shared" si="230"/>
        <v>0.72678792500552836</v>
      </c>
      <c r="CO43" s="111">
        <f t="shared" si="231"/>
        <v>952</v>
      </c>
      <c r="CP43" s="72">
        <f t="shared" si="232"/>
        <v>2.4638425514477218</v>
      </c>
      <c r="CQ43" s="96">
        <f t="shared" si="233"/>
        <v>5.4293635574563117</v>
      </c>
      <c r="CR43" s="92">
        <f t="shared" si="234"/>
        <v>5429.3635574563114</v>
      </c>
      <c r="CS43" s="120">
        <f t="shared" si="235"/>
        <v>-0.90461819600000004</v>
      </c>
      <c r="CT43" s="72">
        <f t="shared" si="97"/>
        <v>-1.0396338789999999</v>
      </c>
      <c r="CU43" s="72">
        <f t="shared" si="236"/>
        <v>-0.79169388100000004</v>
      </c>
      <c r="CV43" s="104">
        <f t="shared" si="237"/>
        <v>2.5068378932693349</v>
      </c>
      <c r="CW43" s="105">
        <f t="shared" si="99"/>
        <v>0.99525166266150833</v>
      </c>
      <c r="CX43" s="105">
        <f t="shared" si="100"/>
        <v>-0.62897909432029397</v>
      </c>
      <c r="CY43" s="105">
        <f t="shared" si="101"/>
        <v>1.2307263956715448</v>
      </c>
      <c r="CZ43" s="123">
        <f t="shared" ref="CZ43:CZ73" si="242">(1-SSLcontrol)*AT43+SSLcontrol*$CZ$41</f>
        <v>-0.68849257550252763</v>
      </c>
      <c r="DA43" s="81">
        <f t="shared" si="103"/>
        <v>1.089336453011623</v>
      </c>
      <c r="DB43" s="9">
        <f t="shared" si="104"/>
        <v>248011.72387994887</v>
      </c>
      <c r="DD43" s="1">
        <f t="shared" si="105"/>
        <v>0.35073834809164278</v>
      </c>
      <c r="DE43" s="114">
        <v>893</v>
      </c>
      <c r="DF43" s="61">
        <v>1980</v>
      </c>
      <c r="DG43" s="26">
        <v>7.6142131979695434E-3</v>
      </c>
      <c r="DH43" s="26">
        <v>0.29512169725367693</v>
      </c>
      <c r="DI43" s="26">
        <v>0.6060236886632826</v>
      </c>
      <c r="DJ43" s="112">
        <v>8.8702329819081091E-2</v>
      </c>
      <c r="DK43" s="26">
        <v>2.5380710659898475E-3</v>
      </c>
      <c r="DL43" s="106">
        <v>0.89300000000000002</v>
      </c>
      <c r="DM43" s="106">
        <v>4.1849999999999996</v>
      </c>
      <c r="DN43" s="26">
        <v>1.5446754020470765</v>
      </c>
      <c r="DO43" s="76">
        <f t="shared" si="107"/>
        <v>0.89300000000000002</v>
      </c>
      <c r="DP43" s="119">
        <v>-0.81850136900000003</v>
      </c>
      <c r="DQ43" s="26">
        <v>-0.61505355299999998</v>
      </c>
      <c r="DR43" s="26">
        <v>0.76919394500000005</v>
      </c>
      <c r="DS43" s="26">
        <v>0.66029196499999998</v>
      </c>
      <c r="DT43" s="113" cm="1">
        <f t="array" ref="DT43">$DN$11+SUMPRODUCT(DP$11:$DS$11*DP43:DS43)</f>
        <v>2.03233297180613</v>
      </c>
      <c r="DU43" s="76">
        <f t="shared" si="40"/>
        <v>2.7349158815211001</v>
      </c>
      <c r="DV43" s="72">
        <f t="shared" si="179"/>
        <v>0.4254060248398937</v>
      </c>
      <c r="DW43" s="199">
        <v>50</v>
      </c>
      <c r="DX43" s="61">
        <v>21.309488325881766</v>
      </c>
      <c r="DY43" s="26">
        <v>0.42305018961951335</v>
      </c>
      <c r="DZ43" s="98">
        <f t="shared" si="213"/>
        <v>0.42293050408226529</v>
      </c>
      <c r="EA43" s="98">
        <f t="shared" si="214"/>
        <v>0.42293050408226529</v>
      </c>
      <c r="EB43" s="100">
        <f t="shared" si="188"/>
        <v>706.73619186954284</v>
      </c>
      <c r="EC43" s="61">
        <v>1671.0456801954247</v>
      </c>
      <c r="EE43" s="72">
        <f t="shared" si="189"/>
        <v>3.913836626256547E-2</v>
      </c>
      <c r="EF43">
        <v>1980</v>
      </c>
      <c r="EG43" s="110">
        <f t="shared" si="190"/>
        <v>0.42305018961951335</v>
      </c>
      <c r="EH43" s="97">
        <f t="shared" si="220"/>
        <v>20.345008113891431</v>
      </c>
      <c r="EI43" s="97">
        <f t="shared" si="238"/>
        <v>532.78312468905096</v>
      </c>
      <c r="EJ43" s="97">
        <f t="shared" ref="EJ43:EJ102" si="243">DI43*EV37</f>
        <v>1399.9161211722537</v>
      </c>
      <c r="EK43" s="97">
        <f>DJ43*EV36</f>
        <v>256.97788631126792</v>
      </c>
      <c r="EL43" s="95">
        <f t="shared" si="195"/>
        <v>4.2412326908513309</v>
      </c>
      <c r="EM43" s="111">
        <f t="shared" si="196"/>
        <v>2214.2633729773152</v>
      </c>
      <c r="EN43" s="200">
        <f t="shared" si="197"/>
        <v>50</v>
      </c>
      <c r="EO43" s="92">
        <f t="shared" si="198"/>
        <v>21.309488325881766</v>
      </c>
      <c r="EP43" s="92">
        <f t="shared" si="199"/>
        <v>936.74453980559645</v>
      </c>
      <c r="EQ43" s="92">
        <f t="shared" si="239"/>
        <v>1008.0540281314782</v>
      </c>
      <c r="ER43" s="128">
        <f t="shared" si="201"/>
        <v>0.45525479960228993</v>
      </c>
      <c r="ES43" s="111">
        <f t="shared" si="240"/>
        <v>1206.209344845837</v>
      </c>
      <c r="ET43" s="72">
        <f t="shared" si="203"/>
        <v>2.03233297180613</v>
      </c>
      <c r="EU43" s="96">
        <f t="shared" si="204"/>
        <v>2.8092527811311507</v>
      </c>
      <c r="EV43" s="92">
        <f t="shared" si="205"/>
        <v>2809.2527811311506</v>
      </c>
      <c r="EW43" s="120">
        <f t="shared" ref="EW43:EW73" si="244">(1-SSLcontrol)*DP43+SSLcontrol*$EW$41</f>
        <v>-0.87704872899999997</v>
      </c>
      <c r="EX43" s="9">
        <f t="shared" si="184"/>
        <v>-0.61505355299999998</v>
      </c>
      <c r="EY43" s="9">
        <f t="shared" si="185"/>
        <v>0.76919394500000005</v>
      </c>
      <c r="EZ43" s="9">
        <f t="shared" si="186"/>
        <v>0.66029196499999998</v>
      </c>
      <c r="FA43" s="113" cm="1">
        <f t="array" ref="FA43">$DN$11+SUMPRODUCT($DP$11:$DS$11*EW43:EZ43)</f>
        <v>2.0787458759188766</v>
      </c>
      <c r="FB43">
        <v>1980</v>
      </c>
      <c r="FC43" s="116">
        <f t="shared" si="121"/>
        <v>90648.319688054034</v>
      </c>
      <c r="FD43" s="116">
        <f t="shared" si="122"/>
        <v>297623.75146931713</v>
      </c>
      <c r="FE43" s="116">
        <f t="shared" si="159"/>
        <v>909353</v>
      </c>
      <c r="FF43" s="116">
        <f t="shared" si="124"/>
        <v>257608.38674080104</v>
      </c>
      <c r="FG43" s="5">
        <f t="shared" si="173"/>
        <v>40015.364728516084</v>
      </c>
      <c r="FH43" s="5">
        <f t="shared" si="155"/>
        <v>81463.844670410268</v>
      </c>
      <c r="FI43" s="155">
        <f t="shared" si="126"/>
        <v>0.13444950052194132</v>
      </c>
      <c r="FJ43" s="117">
        <f t="shared" si="127"/>
        <v>13.444950052194132</v>
      </c>
      <c r="FK43" s="61">
        <f t="shared" si="50"/>
        <v>7775.0525071201791</v>
      </c>
      <c r="FL43" s="61">
        <f t="shared" si="142"/>
        <v>38.279323669745189</v>
      </c>
      <c r="FM43" s="92">
        <f t="shared" si="128"/>
        <v>5.1466359477149659</v>
      </c>
      <c r="FN43" s="72">
        <f t="shared" si="129"/>
        <v>0.13444950052194132</v>
      </c>
      <c r="FO43" s="179">
        <f t="shared" si="51"/>
        <v>0.17155453159049885</v>
      </c>
      <c r="FP43" s="92">
        <f t="shared" si="160"/>
        <v>21.010483574133367</v>
      </c>
      <c r="FQ43" s="1">
        <f t="shared" si="143"/>
        <v>0</v>
      </c>
      <c r="FR43" s="26">
        <f t="shared" si="130"/>
        <v>1.2341408827186904</v>
      </c>
      <c r="FS43">
        <f t="shared" si="52"/>
        <v>1980</v>
      </c>
      <c r="FT43" s="5">
        <f t="shared" si="241"/>
        <v>952</v>
      </c>
      <c r="FU43" s="214">
        <f t="shared" si="54"/>
        <v>9126.0223559632905</v>
      </c>
      <c r="FV43" s="213">
        <f t="shared" si="131"/>
        <v>5259.3017902753045</v>
      </c>
      <c r="FW43" s="5">
        <f t="shared" si="132"/>
        <v>3866.720565687986</v>
      </c>
      <c r="FX43" s="1">
        <f t="shared" si="133"/>
        <v>0.42370272774549184</v>
      </c>
      <c r="FY43">
        <f t="shared" si="55"/>
        <v>11289.741655526319</v>
      </c>
      <c r="FZ43" s="26">
        <f t="shared" si="134"/>
        <v>0.34249858709523523</v>
      </c>
      <c r="GA43" s="106">
        <f t="shared" si="56"/>
        <v>1.1416619569841174E-2</v>
      </c>
      <c r="GB43" s="61">
        <f t="shared" si="135"/>
        <v>1206.209344845837</v>
      </c>
      <c r="GC43" s="61">
        <f t="shared" si="207"/>
        <v>4666.4402104882802</v>
      </c>
      <c r="GD43" s="61">
        <f>MAX(GC37,EM37)</f>
        <v>3533.225835332546</v>
      </c>
      <c r="GE43" s="61">
        <f t="shared" si="210"/>
        <v>2809.2527811311516</v>
      </c>
      <c r="GF43" s="61">
        <f t="shared" si="137"/>
        <v>1857.1874293571286</v>
      </c>
      <c r="GG43" s="61">
        <f t="shared" ref="GG43:GG103" si="245">GF37</f>
        <v>1223.2235245976735</v>
      </c>
      <c r="GH43" s="6">
        <f>GF43/GC43</f>
        <v>0.39798804775917163</v>
      </c>
      <c r="GI43">
        <f t="shared" si="58"/>
        <v>9248.6922093424037</v>
      </c>
      <c r="GJ43" s="26">
        <f t="shared" si="208"/>
        <v>0.20080540981579248</v>
      </c>
      <c r="GK43">
        <f t="shared" si="59"/>
        <v>6.6935136605264156E-3</v>
      </c>
      <c r="GL43" s="232">
        <f t="shared" si="140"/>
        <v>1.2341408827186904</v>
      </c>
      <c r="GY43">
        <v>1980</v>
      </c>
      <c r="GZ43" s="112">
        <f t="shared" si="60"/>
        <v>1.0780404956817184</v>
      </c>
      <c r="HA43" s="112">
        <f t="shared" si="61"/>
        <v>2.03233297180613</v>
      </c>
      <c r="HB43" s="112">
        <f t="shared" si="62"/>
        <v>2.5068378932693349</v>
      </c>
    </row>
    <row r="44" spans="1:210" x14ac:dyDescent="0.35">
      <c r="A44">
        <v>1981</v>
      </c>
      <c r="D44" s="80">
        <f>'SR + catch data Murdoch_age var'!C33</f>
        <v>436996</v>
      </c>
      <c r="E44" s="80">
        <f>'SR + catch data Murdoch_age var'!E33</f>
        <v>1671325.9801148491</v>
      </c>
      <c r="F44" s="231">
        <f t="shared" si="63"/>
        <v>1.3414485486926537</v>
      </c>
      <c r="G44" s="80">
        <f>'SR + catch data Murdoch_age var'!D33</f>
        <v>500271</v>
      </c>
      <c r="H44" s="80">
        <f>'Orig data'!Q35</f>
        <v>500271</v>
      </c>
      <c r="I44" s="80">
        <f t="shared" si="64"/>
        <v>63275</v>
      </c>
      <c r="J44" s="150">
        <f t="shared" si="65"/>
        <v>0.12648144705569581</v>
      </c>
      <c r="K44" s="83">
        <f>'SR + catch data Murdoch_age var'!CM33</f>
        <v>1.2208927209944005</v>
      </c>
      <c r="L44" s="83">
        <f>'SR + catch data Murdoch_age var'!CN33</f>
        <v>1.1540172360211352</v>
      </c>
      <c r="M44" s="84">
        <f>'SR + catch data Murdoch_age var'!CO33</f>
        <v>1193259.6454399715</v>
      </c>
      <c r="N44" s="81">
        <f t="shared" si="66"/>
        <v>0.33692855123953369</v>
      </c>
      <c r="O44" s="82">
        <f t="shared" si="67"/>
        <v>1981</v>
      </c>
      <c r="P44" s="81">
        <f t="shared" si="68"/>
        <v>0.10741516534518507</v>
      </c>
      <c r="Q44" s="81">
        <f t="shared" si="68"/>
        <v>0.75930233821489568</v>
      </c>
      <c r="R44" s="81">
        <f t="shared" si="68"/>
        <v>0.13183604264117066</v>
      </c>
      <c r="S44" s="85">
        <f t="shared" si="68"/>
        <v>1.4464537987485602E-3</v>
      </c>
      <c r="T44" s="80">
        <f t="shared" si="144"/>
        <v>53736.692182401079</v>
      </c>
      <c r="U44" s="80">
        <f t="shared" si="145"/>
        <v>379856.9400411041</v>
      </c>
      <c r="V44" s="80">
        <f t="shared" si="146"/>
        <v>65953.748888141083</v>
      </c>
      <c r="W44" s="80">
        <f t="shared" si="147"/>
        <v>723.618888353741</v>
      </c>
      <c r="X44" s="86">
        <f t="shared" si="73"/>
        <v>1981</v>
      </c>
      <c r="Y44" s="79">
        <f t="shared" si="149"/>
        <v>71575.298845984929</v>
      </c>
      <c r="Z44" s="79">
        <f t="shared" si="152"/>
        <v>435585.910354939</v>
      </c>
      <c r="AA44" s="79">
        <f t="shared" si="156"/>
        <v>104234.50009224158</v>
      </c>
      <c r="AB44" s="79">
        <f t="shared" si="161"/>
        <v>697.6839338015626</v>
      </c>
      <c r="AC44" s="80">
        <f t="shared" si="78"/>
        <v>612093.39322696708</v>
      </c>
      <c r="AD44" s="84">
        <f t="shared" si="79"/>
        <v>-111822.39322696708</v>
      </c>
      <c r="AE44" s="80">
        <f t="shared" si="80"/>
        <v>63275</v>
      </c>
      <c r="AF44" s="72">
        <f t="shared" si="81"/>
        <v>0.10337474754696027</v>
      </c>
      <c r="AG44" s="26">
        <f t="shared" si="82"/>
        <v>-2.3106699508735534E-2</v>
      </c>
      <c r="AH44" s="61">
        <f t="shared" si="14"/>
        <v>1981</v>
      </c>
      <c r="AI44" s="26">
        <f t="shared" si="15"/>
        <v>0.10337474754696027</v>
      </c>
      <c r="AJ44" s="75">
        <f t="shared" si="150"/>
        <v>31582.651505647322</v>
      </c>
      <c r="AK44" s="75">
        <f t="shared" si="153"/>
        <v>354178.17309250328</v>
      </c>
      <c r="AL44" s="75">
        <f t="shared" si="157"/>
        <v>51744.20261281597</v>
      </c>
      <c r="AM44" s="75">
        <f t="shared" si="162"/>
        <v>1649.7408063335145</v>
      </c>
      <c r="AN44" s="79">
        <f t="shared" si="84"/>
        <v>439154.76801730006</v>
      </c>
      <c r="AO44" s="80">
        <f t="shared" si="85"/>
        <v>45397.513277832295</v>
      </c>
      <c r="AP44" s="80">
        <f t="shared" si="86"/>
        <v>393757.25473946775</v>
      </c>
      <c r="AQ44" s="81">
        <v>1.3233570311341378</v>
      </c>
      <c r="AR44" s="81">
        <v>-0.33246037842644105</v>
      </c>
      <c r="AS44" s="81">
        <f>'SR + catch data Murdoch_age var'!N33</f>
        <v>0.40570802589679061</v>
      </c>
      <c r="AT44" s="121">
        <f>'SR + catch data Murdoch_age var'!BR33</f>
        <v>-0.61366486917607621</v>
      </c>
      <c r="AU44" s="122">
        <f t="shared" si="87"/>
        <v>1.2208927209944005</v>
      </c>
      <c r="AV44" s="122">
        <f t="shared" si="88"/>
        <v>1.00451999745312</v>
      </c>
      <c r="AW44" s="115">
        <f t="shared" si="17"/>
        <v>1564579.0432527969</v>
      </c>
      <c r="AX44" s="115"/>
      <c r="AY44" s="141">
        <f t="shared" si="89"/>
        <v>0</v>
      </c>
      <c r="AZ44" s="141"/>
      <c r="BA44" s="84">
        <v>1247</v>
      </c>
      <c r="BB44" s="101">
        <v>1981</v>
      </c>
      <c r="BC44" s="72">
        <v>3.5750695088044487E-2</v>
      </c>
      <c r="BD44" s="72">
        <v>0.8358758109360519</v>
      </c>
      <c r="BE44" s="72">
        <v>0.11956904541241889</v>
      </c>
      <c r="BF44" s="72">
        <v>8.3410565338276187E-3</v>
      </c>
      <c r="BG44" s="72">
        <v>4.6339202965708991E-4</v>
      </c>
      <c r="BH44" s="76">
        <v>1.2470000000000001</v>
      </c>
      <c r="BI44" s="76">
        <v>4.6639999999999997</v>
      </c>
      <c r="BJ44" s="72">
        <f t="shared" si="215"/>
        <v>1.3191327823502919</v>
      </c>
      <c r="BK44">
        <v>1.2470000000000001</v>
      </c>
      <c r="BL44" s="120">
        <v>-0.81850136900000003</v>
      </c>
      <c r="BM44" s="125">
        <v>-9.2941430000000005E-2</v>
      </c>
      <c r="BN44" s="4">
        <v>0.76919394500000005</v>
      </c>
      <c r="BO44" s="98">
        <f t="shared" si="221"/>
        <v>2.1856609008937644</v>
      </c>
      <c r="BP44" s="98">
        <f t="shared" si="216"/>
        <v>4.0684675011168787</v>
      </c>
      <c r="BQ44" s="99">
        <f t="shared" si="217"/>
        <v>0.13660705585304139</v>
      </c>
      <c r="BR44" s="200">
        <v>50</v>
      </c>
      <c r="BS44" s="100">
        <v>660.82484481935387</v>
      </c>
      <c r="BT44" s="98">
        <v>0.42305018961951335</v>
      </c>
      <c r="BU44" s="98">
        <f t="shared" si="222"/>
        <v>0.42305018961951335</v>
      </c>
      <c r="BV44" s="99">
        <f t="shared" si="92"/>
        <v>0.42305018961951335</v>
      </c>
      <c r="BW44" s="100">
        <f t="shared" si="218"/>
        <v>1435.5809759195563</v>
      </c>
      <c r="BX44" s="100">
        <v>3393.4058207389103</v>
      </c>
      <c r="BY44" s="99" t="e">
        <f>NA()</f>
        <v>#N/A</v>
      </c>
      <c r="BZ44" s="89" t="e">
        <f>NA()</f>
        <v>#N/A</v>
      </c>
      <c r="CA44" s="78">
        <v>1981</v>
      </c>
      <c r="CB44" s="90">
        <f t="shared" si="223"/>
        <v>0.42305018961951335</v>
      </c>
      <c r="CC44" s="95">
        <f t="shared" si="219"/>
        <v>121.31661680723214</v>
      </c>
      <c r="CD44" s="95">
        <f t="shared" si="219"/>
        <v>2836.4658422452553</v>
      </c>
      <c r="CE44" s="95">
        <f t="shared" si="219"/>
        <v>405.74629468269734</v>
      </c>
      <c r="CF44" s="95">
        <f t="shared" si="219"/>
        <v>28.304589793002961</v>
      </c>
      <c r="CG44" s="95">
        <f t="shared" si="219"/>
        <v>1.5724772107223866</v>
      </c>
      <c r="CH44" s="92">
        <f t="shared" si="224"/>
        <v>3393.4058207389098</v>
      </c>
      <c r="CI44" s="200">
        <f t="shared" si="225"/>
        <v>50</v>
      </c>
      <c r="CJ44" s="92">
        <f t="shared" si="226"/>
        <v>660.82484481935387</v>
      </c>
      <c r="CK44" s="92">
        <f t="shared" si="227"/>
        <v>1435.5809759195561</v>
      </c>
      <c r="CL44" s="92">
        <f t="shared" si="228"/>
        <v>2146.4058207389098</v>
      </c>
      <c r="CM44" s="72">
        <f t="shared" si="229"/>
        <v>2.5538546071833836E-2</v>
      </c>
      <c r="CN44" s="128">
        <f t="shared" si="230"/>
        <v>0.63252258472036593</v>
      </c>
      <c r="CO44" s="111">
        <f t="shared" si="231"/>
        <v>1247</v>
      </c>
      <c r="CP44" s="72">
        <f t="shared" si="232"/>
        <v>2.1856609008937644</v>
      </c>
      <c r="CQ44" s="96">
        <f t="shared" si="233"/>
        <v>4.3452511612783713</v>
      </c>
      <c r="CR44" s="92">
        <f t="shared" si="234"/>
        <v>4345.251161278371</v>
      </c>
      <c r="CS44" s="120">
        <f t="shared" si="235"/>
        <v>-0.90461819600000004</v>
      </c>
      <c r="CT44" s="72">
        <f t="shared" si="97"/>
        <v>-9.2941430000000005E-2</v>
      </c>
      <c r="CU44" s="72">
        <f t="shared" si="236"/>
        <v>0.76919394500000005</v>
      </c>
      <c r="CV44" s="104">
        <f t="shared" si="237"/>
        <v>2.2514780694124035</v>
      </c>
      <c r="CW44" s="105">
        <f t="shared" si="99"/>
        <v>1.3233570311341378</v>
      </c>
      <c r="CX44" s="105">
        <f t="shared" si="100"/>
        <v>-0.33246037842644105</v>
      </c>
      <c r="CY44" s="105">
        <f t="shared" si="101"/>
        <v>0.40570802589679061</v>
      </c>
      <c r="CZ44" s="123">
        <f t="shared" si="242"/>
        <v>-0.68849257550252763</v>
      </c>
      <c r="DA44" s="81">
        <f t="shared" si="103"/>
        <v>1.2376725561466011</v>
      </c>
      <c r="DB44" s="9">
        <f t="shared" si="104"/>
        <v>1564579.0432527969</v>
      </c>
      <c r="DD44" s="1">
        <f t="shared" si="105"/>
        <v>0.90849688602460521</v>
      </c>
      <c r="DE44" s="114">
        <v>586</v>
      </c>
      <c r="DF44" s="61">
        <v>1981</v>
      </c>
      <c r="DG44" s="26">
        <v>7.6142131979695434E-3</v>
      </c>
      <c r="DH44" s="26">
        <v>0.29512169725367693</v>
      </c>
      <c r="DI44" s="26">
        <v>0.6060236886632826</v>
      </c>
      <c r="DJ44" s="26">
        <v>8.8702329819081091E-2</v>
      </c>
      <c r="DK44" s="112">
        <v>2.5380710659898475E-3</v>
      </c>
      <c r="DL44" s="106">
        <v>0.58599999999999997</v>
      </c>
      <c r="DM44" s="106">
        <v>4.0570000000000004</v>
      </c>
      <c r="DN44" s="26">
        <v>1.9348792736294347</v>
      </c>
      <c r="DO44" s="76">
        <f t="shared" si="107"/>
        <v>0.58599999999999997</v>
      </c>
      <c r="DP44" s="119">
        <v>-0.78740612799999998</v>
      </c>
      <c r="DQ44" s="26">
        <v>-0.36233204499999999</v>
      </c>
      <c r="DR44" s="26">
        <v>2.2210548E-2</v>
      </c>
      <c r="DS44" s="26">
        <v>1.019443323</v>
      </c>
      <c r="DT44" s="113" cm="1">
        <f t="array" ref="DT44">$DN$11+SUMPRODUCT(DP$11:$DS$11*DP44:DS44)</f>
        <v>1.9342153932575337</v>
      </c>
      <c r="DU44" s="76">
        <f t="shared" si="40"/>
        <v>2.2269075451972533</v>
      </c>
      <c r="DV44" s="72">
        <f t="shared" si="179"/>
        <v>0.59982991221398729</v>
      </c>
      <c r="DW44" s="199">
        <v>50</v>
      </c>
      <c r="DX44" s="61">
        <v>48.830862551311213</v>
      </c>
      <c r="DY44" s="26">
        <v>0.42305018961951335</v>
      </c>
      <c r="DZ44" s="98">
        <f t="shared" si="213"/>
        <v>0.42271300446790888</v>
      </c>
      <c r="EA44" s="98">
        <f t="shared" si="214"/>
        <v>0.42271300446790888</v>
      </c>
      <c r="EB44" s="100">
        <f t="shared" si="188"/>
        <v>501.46099548733355</v>
      </c>
      <c r="EC44" s="61">
        <v>1186.2918580386447</v>
      </c>
      <c r="EE44" s="72">
        <f t="shared" si="189"/>
        <v>4.1077544917344458E-2</v>
      </c>
      <c r="EF44">
        <v>1981</v>
      </c>
      <c r="EG44" s="110">
        <f t="shared" si="190"/>
        <v>0.42305018961951335</v>
      </c>
      <c r="EH44" s="97">
        <f t="shared" si="220"/>
        <v>14.864371765471949</v>
      </c>
      <c r="EI44" s="97">
        <f t="shared" si="238"/>
        <v>788.55860337777267</v>
      </c>
      <c r="EJ44" s="97">
        <f t="shared" si="243"/>
        <v>1094.0544103881048</v>
      </c>
      <c r="EK44" s="97">
        <f t="shared" ref="EK44:EK102" si="246">DJ44*EV37</f>
        <v>204.90258684964411</v>
      </c>
      <c r="EL44" s="97">
        <f>DK44*EV36</f>
        <v>7.3529989480113347</v>
      </c>
      <c r="EM44" s="111">
        <f t="shared" si="196"/>
        <v>2109.7329713290046</v>
      </c>
      <c r="EN44" s="200">
        <f t="shared" si="197"/>
        <v>50</v>
      </c>
      <c r="EO44" s="92">
        <f t="shared" si="198"/>
        <v>48.830862551311213</v>
      </c>
      <c r="EP44" s="92">
        <f t="shared" si="199"/>
        <v>892.52293356727478</v>
      </c>
      <c r="EQ44" s="92">
        <f t="shared" si="239"/>
        <v>991.35379611858593</v>
      </c>
      <c r="ER44" s="128">
        <f t="shared" si="201"/>
        <v>0.46989538941228792</v>
      </c>
      <c r="ES44" s="111">
        <f t="shared" si="240"/>
        <v>1118.3791752104187</v>
      </c>
      <c r="ET44" s="72">
        <f t="shared" si="203"/>
        <v>1.9342153932575337</v>
      </c>
      <c r="EU44" s="96">
        <f t="shared" si="204"/>
        <v>2.6475978098710482</v>
      </c>
      <c r="EV44" s="92">
        <f t="shared" si="205"/>
        <v>2647.5978098710484</v>
      </c>
      <c r="EW44" s="120">
        <f t="shared" si="244"/>
        <v>-0.87704872899999997</v>
      </c>
      <c r="EX44" s="9">
        <f t="shared" si="184"/>
        <v>-0.36233204499999999</v>
      </c>
      <c r="EY44" s="9">
        <f t="shared" si="185"/>
        <v>2.2210548E-2</v>
      </c>
      <c r="EZ44" s="9">
        <f t="shared" si="186"/>
        <v>1.019443323</v>
      </c>
      <c r="FA44" s="113" cm="1">
        <f t="array" ref="FA44">$DN$11+SUMPRODUCT($DP$11:$DS$11*EW44:EZ44)</f>
        <v>2.005278775870007</v>
      </c>
      <c r="FB44">
        <v>1981</v>
      </c>
      <c r="FC44" s="116">
        <f t="shared" si="121"/>
        <v>393757.25473946775</v>
      </c>
      <c r="FD44" s="116">
        <f t="shared" si="122"/>
        <v>1290562.0401391126</v>
      </c>
      <c r="FE44" s="116">
        <f t="shared" si="159"/>
        <v>1497486.5503682415</v>
      </c>
      <c r="FF44" s="116">
        <f t="shared" si="124"/>
        <v>1117046.6184498314</v>
      </c>
      <c r="FG44" s="5">
        <f t="shared" si="173"/>
        <v>173515.42168928124</v>
      </c>
      <c r="FH44" s="5">
        <f t="shared" si="155"/>
        <v>200299.37179125263</v>
      </c>
      <c r="FI44" s="155">
        <f t="shared" si="126"/>
        <v>0.1344495005219413</v>
      </c>
      <c r="FJ44" s="117">
        <f t="shared" si="127"/>
        <v>13.44495005219413</v>
      </c>
      <c r="FK44" s="61">
        <f t="shared" si="50"/>
        <v>7775.0525071201791</v>
      </c>
      <c r="FL44" s="61">
        <f t="shared" si="142"/>
        <v>165.98756586624353</v>
      </c>
      <c r="FM44" s="92">
        <f t="shared" si="128"/>
        <v>22.316945323569275</v>
      </c>
      <c r="FN44" s="72">
        <f t="shared" si="129"/>
        <v>0.1344495005219413</v>
      </c>
      <c r="FO44" s="179">
        <f t="shared" si="51"/>
        <v>0.74389817745230913</v>
      </c>
      <c r="FP44" s="92">
        <f t="shared" si="160"/>
        <v>18.570867347909395</v>
      </c>
      <c r="FQ44" s="1">
        <f t="shared" si="143"/>
        <v>0</v>
      </c>
      <c r="FR44" s="26">
        <f t="shared" si="130"/>
        <v>1.2341408827186904</v>
      </c>
      <c r="FS44">
        <f t="shared" si="52"/>
        <v>1981</v>
      </c>
      <c r="FT44" s="5">
        <f t="shared" si="241"/>
        <v>1247</v>
      </c>
      <c r="FU44" s="214">
        <f t="shared" si="54"/>
        <v>7776.7182298304469</v>
      </c>
      <c r="FV44" s="213">
        <f t="shared" si="131"/>
        <v>4481.7015029431932</v>
      </c>
      <c r="FW44" s="5">
        <f t="shared" si="132"/>
        <v>3295.0167268872538</v>
      </c>
      <c r="FX44" s="1">
        <f t="shared" si="133"/>
        <v>0.42370272774549195</v>
      </c>
      <c r="FY44">
        <f t="shared" si="55"/>
        <v>11723.407402807605</v>
      </c>
      <c r="FZ44" s="26">
        <f t="shared" si="134"/>
        <v>0.28106305732394321</v>
      </c>
      <c r="GA44" s="106">
        <f t="shared" si="56"/>
        <v>9.3687685774647735E-3</v>
      </c>
      <c r="GB44" s="61">
        <f t="shared" si="135"/>
        <v>1118.3791752104187</v>
      </c>
      <c r="GC44" s="61">
        <f t="shared" si="207"/>
        <v>4397.9156892418414</v>
      </c>
      <c r="GD44" s="61">
        <f t="shared" ref="GD44:GD103" si="247">MAX(GC38,EM38)</f>
        <v>2815.471519997358</v>
      </c>
      <c r="GE44" s="61">
        <f t="shared" si="210"/>
        <v>2647.5978098710493</v>
      </c>
      <c r="GF44" s="61">
        <f t="shared" si="137"/>
        <v>1750.3178793707921</v>
      </c>
      <c r="GG44" s="61">
        <f t="shared" si="245"/>
        <v>1010.17177535985</v>
      </c>
      <c r="GH44" s="6">
        <f t="shared" si="138"/>
        <v>0.39798804775917163</v>
      </c>
      <c r="GI44">
        <f t="shared" si="58"/>
        <v>9248.6922093424037</v>
      </c>
      <c r="GJ44" s="26">
        <f t="shared" si="208"/>
        <v>0.18925031126051955</v>
      </c>
      <c r="GK44">
        <f t="shared" si="59"/>
        <v>6.3083437086839849E-3</v>
      </c>
      <c r="GL44" s="232">
        <f t="shared" si="140"/>
        <v>1.2341408827186904</v>
      </c>
      <c r="GY44">
        <v>1981</v>
      </c>
      <c r="GZ44" s="112">
        <f t="shared" si="60"/>
        <v>1.2208927209944005</v>
      </c>
      <c r="HA44" s="112">
        <f t="shared" si="61"/>
        <v>1.9342153932575337</v>
      </c>
      <c r="HB44" s="112">
        <f t="shared" si="62"/>
        <v>2.2514780694124035</v>
      </c>
    </row>
    <row r="45" spans="1:210" x14ac:dyDescent="0.35">
      <c r="A45">
        <v>1982</v>
      </c>
      <c r="D45" s="80">
        <f>'SR + catch data Murdoch_age var'!C34</f>
        <v>326439</v>
      </c>
      <c r="E45" s="80">
        <f>'SR + catch data Murdoch_age var'!E34</f>
        <v>1462818.3804338966</v>
      </c>
      <c r="F45" s="231">
        <f t="shared" si="63"/>
        <v>1.4998771501905774</v>
      </c>
      <c r="G45" s="80">
        <f>'SR + catch data Murdoch_age var'!D34</f>
        <v>724011</v>
      </c>
      <c r="H45" s="80">
        <f>'Orig data'!Q36</f>
        <v>724011</v>
      </c>
      <c r="I45" s="80">
        <f t="shared" si="64"/>
        <v>397572</v>
      </c>
      <c r="J45" s="150">
        <f t="shared" si="65"/>
        <v>0.54912425363703032</v>
      </c>
      <c r="K45" s="83">
        <f>'SR + catch data Murdoch_age var'!CM34</f>
        <v>1.2904874736483054</v>
      </c>
      <c r="L45" s="83">
        <f>'SR + catch data Murdoch_age var'!CN34</f>
        <v>1.1100951951226277</v>
      </c>
      <c r="M45" s="84">
        <f>'SR + catch data Murdoch_age var'!CO34</f>
        <v>1009387.1777084174</v>
      </c>
      <c r="N45" s="81">
        <f t="shared" si="66"/>
        <v>0.37102158049583678</v>
      </c>
      <c r="O45" s="82">
        <f t="shared" si="67"/>
        <v>1982</v>
      </c>
      <c r="P45" s="81">
        <f t="shared" si="68"/>
        <v>0.10741516534518507</v>
      </c>
      <c r="Q45" s="81">
        <f t="shared" si="68"/>
        <v>0.75930233821489568</v>
      </c>
      <c r="R45" s="81">
        <f t="shared" si="68"/>
        <v>0.13183604264117066</v>
      </c>
      <c r="S45" s="85">
        <f t="shared" si="68"/>
        <v>1.4464537987485602E-3</v>
      </c>
      <c r="T45" s="80">
        <f t="shared" si="144"/>
        <v>77769.761276732781</v>
      </c>
      <c r="U45" s="80">
        <f t="shared" si="145"/>
        <v>549743.24519330484</v>
      </c>
      <c r="V45" s="80">
        <f t="shared" si="146"/>
        <v>95450.74506867661</v>
      </c>
      <c r="W45" s="80">
        <f t="shared" si="147"/>
        <v>1047.2484612857438</v>
      </c>
      <c r="X45" s="86">
        <f t="shared" si="73"/>
        <v>1982</v>
      </c>
      <c r="Y45" s="79">
        <f t="shared" si="149"/>
        <v>55659.119054820309</v>
      </c>
      <c r="Z45" s="79">
        <f t="shared" si="152"/>
        <v>505955.48214759061</v>
      </c>
      <c r="AA45" s="79">
        <f t="shared" si="156"/>
        <v>75629.850931914742</v>
      </c>
      <c r="AB45" s="79">
        <f t="shared" si="161"/>
        <v>1143.6204060633445</v>
      </c>
      <c r="AC45" s="80">
        <f t="shared" si="78"/>
        <v>638388.07254038902</v>
      </c>
      <c r="AD45" s="84">
        <f t="shared" si="79"/>
        <v>85622.927459610975</v>
      </c>
      <c r="AE45" s="80">
        <f t="shared" si="80"/>
        <v>397572</v>
      </c>
      <c r="AF45" s="72">
        <f t="shared" si="81"/>
        <v>0.62277479342292497</v>
      </c>
      <c r="AG45" s="26">
        <f t="shared" si="82"/>
        <v>7.3650539785894642E-2</v>
      </c>
      <c r="AH45" s="61">
        <f t="shared" si="14"/>
        <v>1982</v>
      </c>
      <c r="AI45" s="26">
        <f t="shared" si="15"/>
        <v>0.62277479342292497</v>
      </c>
      <c r="AJ45" s="75">
        <f t="shared" si="150"/>
        <v>151086.10605201829</v>
      </c>
      <c r="AK45" s="75">
        <f t="shared" si="153"/>
        <v>223253.21623069266</v>
      </c>
      <c r="AL45" s="75">
        <f t="shared" si="157"/>
        <v>61495.199448707783</v>
      </c>
      <c r="AM45" s="75">
        <f t="shared" si="162"/>
        <v>567.71727164350989</v>
      </c>
      <c r="AN45" s="79">
        <f t="shared" si="84"/>
        <v>436402.23900306225</v>
      </c>
      <c r="AO45" s="80">
        <f t="shared" si="85"/>
        <v>271780.314244434</v>
      </c>
      <c r="AP45" s="80">
        <f t="shared" si="86"/>
        <v>164621.92475862824</v>
      </c>
      <c r="AQ45" s="81">
        <v>1.9247806789274147</v>
      </c>
      <c r="AR45" s="81">
        <v>0.28528694635241914</v>
      </c>
      <c r="AS45" s="81">
        <f>'SR + catch data Murdoch_age var'!N34</f>
        <v>0.81717814482727269</v>
      </c>
      <c r="AT45" s="121">
        <f>'SR + catch data Murdoch_age var'!BR34</f>
        <v>-0.58645118194482659</v>
      </c>
      <c r="AU45" s="122">
        <f t="shared" si="87"/>
        <v>1.2904874736483056</v>
      </c>
      <c r="AV45" s="122">
        <f t="shared" si="88"/>
        <v>1.1288555696947409</v>
      </c>
      <c r="AW45" s="115">
        <f t="shared" si="17"/>
        <v>817730.31446779997</v>
      </c>
      <c r="AX45" s="115"/>
      <c r="AY45" s="141">
        <f t="shared" si="89"/>
        <v>9.2648961098951866E-3</v>
      </c>
      <c r="AZ45" s="141"/>
      <c r="BA45" s="84">
        <v>1190</v>
      </c>
      <c r="BB45" s="101">
        <v>1982</v>
      </c>
      <c r="BC45" s="72">
        <v>3.5750695088044487E-2</v>
      </c>
      <c r="BD45" s="72">
        <v>0.8358758109360519</v>
      </c>
      <c r="BE45" s="72">
        <v>0.11956904541241889</v>
      </c>
      <c r="BF45" s="72">
        <v>8.3410565338276187E-3</v>
      </c>
      <c r="BG45" s="72">
        <v>4.6339202965708991E-4</v>
      </c>
      <c r="BH45" s="76">
        <v>1.19</v>
      </c>
      <c r="BI45" s="76">
        <v>3.0049999999999999</v>
      </c>
      <c r="BJ45" s="72">
        <f t="shared" si="215"/>
        <v>0.92632426086373287</v>
      </c>
      <c r="BK45">
        <v>1.19</v>
      </c>
      <c r="BL45" s="120">
        <v>-0.78740612799999998</v>
      </c>
      <c r="BM45" s="125">
        <v>-0.61505355299999998</v>
      </c>
      <c r="BN45" s="4">
        <v>2.2210548E-2</v>
      </c>
      <c r="BO45" s="98">
        <f t="shared" si="221"/>
        <v>2.2981524656466732</v>
      </c>
      <c r="BP45" s="98">
        <f t="shared" si="216"/>
        <v>4.5486187231893247</v>
      </c>
      <c r="BQ45" s="99">
        <f t="shared" si="217"/>
        <v>-0.41454604156573788</v>
      </c>
      <c r="BR45" s="200">
        <v>50</v>
      </c>
      <c r="BS45" s="100">
        <v>959.41254177940471</v>
      </c>
      <c r="BT45" s="98">
        <v>0.42305018961951335</v>
      </c>
      <c r="BU45" s="98">
        <f t="shared" si="222"/>
        <v>0.42305018961951329</v>
      </c>
      <c r="BV45" s="99">
        <f t="shared" si="92"/>
        <v>0.42305018961951329</v>
      </c>
      <c r="BW45" s="100">
        <f t="shared" si="218"/>
        <v>1612.7258837951472</v>
      </c>
      <c r="BX45" s="100">
        <v>3812.138425574552</v>
      </c>
      <c r="BY45" s="99" t="e">
        <f>NA()</f>
        <v>#N/A</v>
      </c>
      <c r="BZ45" s="89" t="e">
        <f>NA()</f>
        <v>#N/A</v>
      </c>
      <c r="CA45" s="78">
        <v>1982</v>
      </c>
      <c r="CB45" s="90">
        <f t="shared" si="223"/>
        <v>0.42305018961951329</v>
      </c>
      <c r="CC45" s="97">
        <f>CQ41*BC45*1000</f>
        <v>155.39610536595038</v>
      </c>
      <c r="CD45" s="95">
        <f>$BX45*BD45</f>
        <v>3186.4742978776126</v>
      </c>
      <c r="CE45" s="95">
        <f>$BX45*BE45</f>
        <v>455.81375252595063</v>
      </c>
      <c r="CF45" s="95">
        <f>$BX45*BF45</f>
        <v>31.797262122493947</v>
      </c>
      <c r="CG45" s="95">
        <f>$BX45*BG45</f>
        <v>1.7665145623607748</v>
      </c>
      <c r="CH45" s="92">
        <f t="shared" si="224"/>
        <v>3831.2479324543688</v>
      </c>
      <c r="CI45" s="200">
        <f t="shared" si="225"/>
        <v>50</v>
      </c>
      <c r="CJ45" s="92">
        <f t="shared" si="226"/>
        <v>959.41254177940471</v>
      </c>
      <c r="CK45" s="92">
        <f t="shared" si="227"/>
        <v>1620.8101643041889</v>
      </c>
      <c r="CL45" s="92">
        <f t="shared" si="228"/>
        <v>2630.2227060835935</v>
      </c>
      <c r="CM45" s="72">
        <f t="shared" si="229"/>
        <v>2.2619953712536698E-2</v>
      </c>
      <c r="CN45" s="128">
        <f t="shared" si="230"/>
        <v>0.68651853193918044</v>
      </c>
      <c r="CO45" s="111">
        <f t="shared" si="231"/>
        <v>1201.0252263707753</v>
      </c>
      <c r="CP45" s="72">
        <f t="shared" si="232"/>
        <v>2.2981524656466732</v>
      </c>
      <c r="CQ45" s="96">
        <f t="shared" si="233"/>
        <v>4.9766615615635459</v>
      </c>
      <c r="CR45" s="92">
        <f t="shared" si="234"/>
        <v>4976.6615615635455</v>
      </c>
      <c r="CS45" s="120">
        <f t="shared" si="235"/>
        <v>-0.90461819600000004</v>
      </c>
      <c r="CT45" s="72">
        <f t="shared" si="97"/>
        <v>-0.61505355299999998</v>
      </c>
      <c r="CU45" s="72">
        <f t="shared" si="236"/>
        <v>2.2210548E-2</v>
      </c>
      <c r="CV45" s="104">
        <f t="shared" si="237"/>
        <v>2.3877350327328268</v>
      </c>
      <c r="CW45" s="105">
        <f t="shared" si="99"/>
        <v>1.9247806789274147</v>
      </c>
      <c r="CX45" s="105">
        <f t="shared" si="100"/>
        <v>0.28528694635241914</v>
      </c>
      <c r="CY45" s="105">
        <f t="shared" si="101"/>
        <v>0.81717814482727269</v>
      </c>
      <c r="CZ45" s="123">
        <f t="shared" si="242"/>
        <v>-0.68849257550252763</v>
      </c>
      <c r="DA45" s="81">
        <f t="shared" si="103"/>
        <v>1.3133698770608739</v>
      </c>
      <c r="DB45" s="9">
        <f t="shared" si="104"/>
        <v>817730.31446779997</v>
      </c>
      <c r="DD45" s="1">
        <f t="shared" si="105"/>
        <v>0.39162995214883511</v>
      </c>
      <c r="DE45" s="114">
        <v>936</v>
      </c>
      <c r="DF45" s="61">
        <v>1982</v>
      </c>
      <c r="DG45" s="26">
        <v>7.6142131979695434E-3</v>
      </c>
      <c r="DH45" s="26">
        <v>0.29512169725367693</v>
      </c>
      <c r="DI45" s="26">
        <v>0.6060236886632826</v>
      </c>
      <c r="DJ45" s="26">
        <v>8.8702329819081091E-2</v>
      </c>
      <c r="DK45" s="26">
        <v>2.5380710659898475E-3</v>
      </c>
      <c r="DL45" s="106">
        <v>0.93600000000000005</v>
      </c>
      <c r="DM45" s="106">
        <v>3.7669999999999999</v>
      </c>
      <c r="DN45" s="26">
        <v>1.3924187312144489</v>
      </c>
      <c r="DO45" s="76">
        <f t="shared" si="107"/>
        <v>0.93600000000000005</v>
      </c>
      <c r="DP45" s="119">
        <v>-0.75501131600000004</v>
      </c>
      <c r="DQ45" s="26">
        <v>-0.30371192800000002</v>
      </c>
      <c r="DR45" s="26">
        <v>-0.56922667100000002</v>
      </c>
      <c r="DS45" s="26">
        <v>1.761168954</v>
      </c>
      <c r="DT45" s="113" cm="1">
        <f t="array" ref="DT45">$DN$11+SUMPRODUCT(DP$11:$DS$11*DP45:DS45)</f>
        <v>1.9611784375488188</v>
      </c>
      <c r="DU45" s="76">
        <f t="shared" si="40"/>
        <v>2.554889392997679</v>
      </c>
      <c r="DV45" s="72">
        <f t="shared" si="179"/>
        <v>0.38826999640316051</v>
      </c>
      <c r="DW45" s="199">
        <v>50</v>
      </c>
      <c r="DX45" s="61">
        <v>20.071064397207625</v>
      </c>
      <c r="DY45" s="26">
        <v>0.42305018961951335</v>
      </c>
      <c r="DZ45" s="98">
        <f t="shared" si="213"/>
        <v>0.42305018961951329</v>
      </c>
      <c r="EA45" s="98">
        <f t="shared" si="214"/>
        <v>0.42305018961951329</v>
      </c>
      <c r="EB45" s="100">
        <f t="shared" si="188"/>
        <v>737.70464415831498</v>
      </c>
      <c r="EC45" s="61">
        <v>1743.7757085555227</v>
      </c>
      <c r="EE45" s="72">
        <f t="shared" si="189"/>
        <v>3.642624447842626E-2</v>
      </c>
      <c r="EF45">
        <v>1982</v>
      </c>
      <c r="EG45" s="110">
        <f t="shared" si="190"/>
        <v>0.42305018961951335</v>
      </c>
      <c r="EH45" s="97">
        <f t="shared" si="220"/>
        <v>17.714771327738507</v>
      </c>
      <c r="EI45" s="97">
        <f t="shared" si="238"/>
        <v>576.13288595669064</v>
      </c>
      <c r="EJ45" s="97">
        <f t="shared" si="243"/>
        <v>1619.2818013491901</v>
      </c>
      <c r="EK45" s="97">
        <f t="shared" si="246"/>
        <v>160.13429337113911</v>
      </c>
      <c r="EL45" s="97">
        <f t="shared" ref="EL45:EL102" si="248">DK45*EV37</f>
        <v>5.8629500272458692</v>
      </c>
      <c r="EM45" s="111">
        <f t="shared" si="196"/>
        <v>2379.1267020320042</v>
      </c>
      <c r="EN45" s="200">
        <f t="shared" si="197"/>
        <v>50</v>
      </c>
      <c r="EO45" s="92">
        <f t="shared" si="198"/>
        <v>20.071064397207625</v>
      </c>
      <c r="EP45" s="92">
        <f t="shared" si="199"/>
        <v>1006.4900024234869</v>
      </c>
      <c r="EQ45" s="92">
        <f t="shared" si="239"/>
        <v>1076.5610668206946</v>
      </c>
      <c r="ER45" s="128">
        <f t="shared" si="201"/>
        <v>0.4525026203527569</v>
      </c>
      <c r="ES45" s="111">
        <f t="shared" si="240"/>
        <v>1302.5656352113097</v>
      </c>
      <c r="ET45" s="72">
        <f t="shared" si="203"/>
        <v>1.9611784375488188</v>
      </c>
      <c r="EU45" s="96">
        <f t="shared" si="204"/>
        <v>2.6923844343134591</v>
      </c>
      <c r="EV45" s="92">
        <f t="shared" si="205"/>
        <v>2692.3844343134592</v>
      </c>
      <c r="EW45" s="120">
        <f t="shared" si="244"/>
        <v>-0.87704872899999997</v>
      </c>
      <c r="EX45" s="9">
        <f t="shared" si="184"/>
        <v>-0.30371192800000002</v>
      </c>
      <c r="EY45" s="9">
        <f t="shared" si="185"/>
        <v>-0.56922667100000002</v>
      </c>
      <c r="EZ45" s="9">
        <f t="shared" si="186"/>
        <v>1.761168954</v>
      </c>
      <c r="FA45" s="113" cm="1">
        <f t="array" ref="FA45">$DN$11+SUMPRODUCT($DP$11:$DS$11*EW45:EZ45)</f>
        <v>2.0579225221281527</v>
      </c>
      <c r="FB45">
        <v>1982</v>
      </c>
      <c r="FC45" s="116">
        <f t="shared" si="121"/>
        <v>164621.92475862824</v>
      </c>
      <c r="FD45" s="116">
        <f t="shared" si="122"/>
        <v>651906.12514923769</v>
      </c>
      <c r="FE45" s="116">
        <f t="shared" si="159"/>
        <v>724011</v>
      </c>
      <c r="FF45" s="116">
        <f t="shared" si="124"/>
        <v>564257.67223572859</v>
      </c>
      <c r="FG45" s="5">
        <f t="shared" si="173"/>
        <v>87648.4529135091</v>
      </c>
      <c r="FH45" s="5">
        <f t="shared" si="155"/>
        <v>72590.250581982138</v>
      </c>
      <c r="FI45" s="155">
        <f t="shared" si="126"/>
        <v>0.13444950052194121</v>
      </c>
      <c r="FJ45" s="117">
        <f t="shared" si="127"/>
        <v>13.444950052194121</v>
      </c>
      <c r="FK45" s="61">
        <f t="shared" si="50"/>
        <v>7775.0525071201791</v>
      </c>
      <c r="FL45" s="61">
        <f t="shared" si="142"/>
        <v>83.845880725852339</v>
      </c>
      <c r="FM45" s="92">
        <f t="shared" si="128"/>
        <v>11.273036784413103</v>
      </c>
      <c r="FN45" s="72">
        <f t="shared" si="129"/>
        <v>0.13444950052194121</v>
      </c>
      <c r="FO45" s="179">
        <f t="shared" si="51"/>
        <v>0.3757678928137701</v>
      </c>
      <c r="FP45" s="92">
        <f t="shared" si="160"/>
        <v>18.700101324747358</v>
      </c>
      <c r="FQ45" s="1">
        <f t="shared" si="143"/>
        <v>0</v>
      </c>
      <c r="FR45" s="26">
        <f t="shared" si="130"/>
        <v>1.2341408827186904</v>
      </c>
      <c r="FS45">
        <f t="shared" si="52"/>
        <v>1982</v>
      </c>
      <c r="FT45" s="5">
        <f t="shared" si="241"/>
        <v>1201.0252263707753</v>
      </c>
      <c r="FU45" s="214">
        <f t="shared" si="54"/>
        <v>8643.2938777487852</v>
      </c>
      <c r="FV45" s="213">
        <f t="shared" si="131"/>
        <v>4981.1066850407142</v>
      </c>
      <c r="FW45" s="5">
        <f t="shared" si="132"/>
        <v>3662.1871927080711</v>
      </c>
      <c r="FX45" s="1">
        <f t="shared" si="133"/>
        <v>0.42370272774549195</v>
      </c>
      <c r="FY45">
        <f t="shared" si="55"/>
        <v>12175.003125886242</v>
      </c>
      <c r="FZ45" s="26">
        <f t="shared" si="134"/>
        <v>0.30079558541727219</v>
      </c>
      <c r="GA45" s="106">
        <f t="shared" si="56"/>
        <v>1.0026519513909073E-2</v>
      </c>
      <c r="GB45" s="61">
        <f t="shared" si="135"/>
        <v>1302.5656352113097</v>
      </c>
      <c r="GC45" s="61">
        <f t="shared" si="207"/>
        <v>4472.3105983058595</v>
      </c>
      <c r="GD45" s="61">
        <f t="shared" si="247"/>
        <v>4252.1707972923941</v>
      </c>
      <c r="GE45" s="61">
        <f t="shared" si="210"/>
        <v>2692.3844343134574</v>
      </c>
      <c r="GF45" s="61">
        <f t="shared" si="137"/>
        <v>1779.9261639924021</v>
      </c>
      <c r="GG45" s="61">
        <f t="shared" si="245"/>
        <v>1580.1930650013201</v>
      </c>
      <c r="GH45" s="6">
        <f t="shared" si="138"/>
        <v>0.39798804775917168</v>
      </c>
      <c r="GI45">
        <f t="shared" si="58"/>
        <v>9248.6922093424037</v>
      </c>
      <c r="GJ45" s="26">
        <f t="shared" si="208"/>
        <v>0.19245165951078369</v>
      </c>
      <c r="GK45">
        <f t="shared" si="59"/>
        <v>6.4150553170261226E-3</v>
      </c>
      <c r="GL45" s="232">
        <f t="shared" si="140"/>
        <v>1.2341408827186904</v>
      </c>
      <c r="GY45">
        <v>1982</v>
      </c>
      <c r="GZ45" s="112">
        <f t="shared" si="60"/>
        <v>1.2904874736483056</v>
      </c>
      <c r="HA45" s="112">
        <f t="shared" si="61"/>
        <v>1.9611784375488188</v>
      </c>
      <c r="HB45" s="112">
        <f t="shared" si="62"/>
        <v>2.3877350327328268</v>
      </c>
    </row>
    <row r="46" spans="1:210" x14ac:dyDescent="0.35">
      <c r="A46">
        <v>1983</v>
      </c>
      <c r="D46" s="80">
        <f>'SR + catch data Murdoch_age var'!C35</f>
        <v>371770</v>
      </c>
      <c r="E46" s="80">
        <f>'SR + catch data Murdoch_age var'!E35</f>
        <v>673139.64376411797</v>
      </c>
      <c r="F46" s="231">
        <f t="shared" si="63"/>
        <v>0.59367741908002314</v>
      </c>
      <c r="G46" s="80">
        <f>'SR + catch data Murdoch_age var'!D35</f>
        <v>470101</v>
      </c>
      <c r="H46" s="80">
        <f>'Orig data'!Q37</f>
        <v>470101</v>
      </c>
      <c r="I46" s="80">
        <f t="shared" si="64"/>
        <v>98331</v>
      </c>
      <c r="J46" s="150">
        <f t="shared" si="65"/>
        <v>0.20916994433111183</v>
      </c>
      <c r="K46" s="83">
        <f>'SR + catch data Murdoch_age var'!CM35</f>
        <v>1.0650776048982746</v>
      </c>
      <c r="L46" s="83">
        <f>'SR + catch data Murdoch_age var'!CN35</f>
        <v>1.0982949898698204</v>
      </c>
      <c r="M46" s="84">
        <f>'SR + catch data Murdoch_age var'!CO35</f>
        <v>897197.52691467106</v>
      </c>
      <c r="N46" s="81">
        <f t="shared" si="66"/>
        <v>-0.28732324362440564</v>
      </c>
      <c r="O46" s="82">
        <f t="shared" si="67"/>
        <v>1983</v>
      </c>
      <c r="P46" s="81">
        <f t="shared" si="68"/>
        <v>0.10741516534518507</v>
      </c>
      <c r="Q46" s="81">
        <f t="shared" si="68"/>
        <v>0.75930233821489568</v>
      </c>
      <c r="R46" s="81">
        <f t="shared" si="68"/>
        <v>0.13183604264117066</v>
      </c>
      <c r="S46" s="85">
        <f t="shared" si="68"/>
        <v>1.4464537987485602E-3</v>
      </c>
      <c r="T46" s="80">
        <f t="shared" si="144"/>
        <v>50495.976643936847</v>
      </c>
      <c r="U46" s="80">
        <f t="shared" si="145"/>
        <v>356948.78849716065</v>
      </c>
      <c r="V46" s="80">
        <f t="shared" si="146"/>
        <v>61976.255481656968</v>
      </c>
      <c r="W46" s="80">
        <f t="shared" si="147"/>
        <v>679.97937724549695</v>
      </c>
      <c r="X46" s="86">
        <f t="shared" si="73"/>
        <v>1983</v>
      </c>
      <c r="Y46" s="79">
        <f t="shared" si="149"/>
        <v>81693.278836988582</v>
      </c>
      <c r="Z46" s="79">
        <f t="shared" si="152"/>
        <v>393446.29881166713</v>
      </c>
      <c r="AA46" s="79">
        <f t="shared" si="156"/>
        <v>87847.969329004831</v>
      </c>
      <c r="AB46" s="79">
        <f t="shared" si="161"/>
        <v>829.78131767050468</v>
      </c>
      <c r="AC46" s="80">
        <f t="shared" si="78"/>
        <v>563817.3282953311</v>
      </c>
      <c r="AD46" s="84">
        <f t="shared" si="79"/>
        <v>-93716.328295331099</v>
      </c>
      <c r="AE46" s="80">
        <f t="shared" si="80"/>
        <v>98331</v>
      </c>
      <c r="AF46" s="72">
        <f t="shared" si="81"/>
        <v>0.17440223112208711</v>
      </c>
      <c r="AG46" s="26">
        <f t="shared" si="82"/>
        <v>-3.476771320902472E-2</v>
      </c>
      <c r="AH46" s="61">
        <f t="shared" ref="AH46:AH77" si="249">X46</f>
        <v>1983</v>
      </c>
      <c r="AI46" s="26">
        <f t="shared" si="15"/>
        <v>0.17440223112208711</v>
      </c>
      <c r="AJ46" s="75">
        <f t="shared" si="150"/>
        <v>26640.220328109091</v>
      </c>
      <c r="AK46" s="75">
        <f t="shared" si="153"/>
        <v>1068005.9303397383</v>
      </c>
      <c r="AL46" s="75">
        <f t="shared" si="157"/>
        <v>38762.978926107418</v>
      </c>
      <c r="AM46" s="75">
        <f t="shared" si="162"/>
        <v>674.70141749844845</v>
      </c>
      <c r="AN46" s="79">
        <f t="shared" si="84"/>
        <v>1134083.8310114534</v>
      </c>
      <c r="AO46" s="80">
        <f t="shared" si="85"/>
        <v>197786.75040788148</v>
      </c>
      <c r="AP46" s="80">
        <f t="shared" si="86"/>
        <v>936297.08060357196</v>
      </c>
      <c r="AQ46" s="81">
        <v>0.93910201499354218</v>
      </c>
      <c r="AR46" s="81">
        <v>1.3478123449720623E-2</v>
      </c>
      <c r="AS46" s="81">
        <f>'SR + catch data Murdoch_age var'!N35</f>
        <v>1.7440249783777522</v>
      </c>
      <c r="AT46" s="121">
        <f>'SR + catch data Murdoch_age var'!BR35</f>
        <v>-0.55211166104157927</v>
      </c>
      <c r="AU46" s="122">
        <f t="shared" ref="AU46:AU77" si="250">$AP$11+SUMPRODUCT($AR$11:$AU$11,AQ46:AT46)</f>
        <v>1.0650776048982746</v>
      </c>
      <c r="AV46" s="122">
        <f t="shared" si="88"/>
        <v>0.88100066270442889</v>
      </c>
      <c r="AW46" s="115">
        <f t="shared" ref="AW46:AW77" si="251">IF(SSLcontrol=0,AP46*EXP(AU46+$AQ$11*AP46)*EXP(N46),AP46*EXP(DA46+$AQ$11*AP46)*EXP(N46))</f>
        <v>1321701.3938283822</v>
      </c>
      <c r="AX46" s="115"/>
      <c r="AY46" s="141">
        <f t="shared" si="89"/>
        <v>-0.43569266490917807</v>
      </c>
      <c r="AZ46" s="141"/>
      <c r="BA46" s="84">
        <v>2857</v>
      </c>
      <c r="BB46" s="101">
        <v>1983</v>
      </c>
      <c r="BC46" s="72">
        <v>3.5750695088044487E-2</v>
      </c>
      <c r="BD46" s="72">
        <v>0.8358758109360519</v>
      </c>
      <c r="BE46" s="72">
        <v>0.11956904541241889</v>
      </c>
      <c r="BF46" s="72">
        <v>8.3410565338276187E-3</v>
      </c>
      <c r="BG46" s="72">
        <v>4.6339202965708991E-4</v>
      </c>
      <c r="BH46" s="76">
        <v>2.8570000000000002</v>
      </c>
      <c r="BI46" s="76">
        <v>3.8340000000000001</v>
      </c>
      <c r="BJ46" s="72">
        <f t="shared" si="215"/>
        <v>0.29413652137481666</v>
      </c>
      <c r="BK46">
        <v>2.8570000000000002</v>
      </c>
      <c r="BL46" s="120">
        <v>-0.75501131600000004</v>
      </c>
      <c r="BM46" s="125">
        <v>-0.36233204499999999</v>
      </c>
      <c r="BN46" s="4">
        <v>-0.56922667100000002</v>
      </c>
      <c r="BO46" s="98">
        <f t="shared" si="221"/>
        <v>2.2457482778864342</v>
      </c>
      <c r="BP46" s="98">
        <f t="shared" si="216"/>
        <v>2.7107863819003195</v>
      </c>
      <c r="BQ46" s="99">
        <f t="shared" si="217"/>
        <v>0.34666987400228877</v>
      </c>
      <c r="BR46" s="200">
        <v>50</v>
      </c>
      <c r="BS46" s="100">
        <v>1031.673430951244</v>
      </c>
      <c r="BT46" s="98">
        <v>0.42305018961951335</v>
      </c>
      <c r="BU46" s="98">
        <f t="shared" si="222"/>
        <v>0.42305018961951335</v>
      </c>
      <c r="BV46" s="99">
        <f t="shared" si="92"/>
        <v>0.42305018961951335</v>
      </c>
      <c r="BW46" s="100">
        <f t="shared" si="218"/>
        <v>2888.0441796391278</v>
      </c>
      <c r="BX46" s="100">
        <v>6826.7176105903718</v>
      </c>
      <c r="BY46" s="99" t="e">
        <f>NA()</f>
        <v>#N/A</v>
      </c>
      <c r="BZ46" s="89" t="e">
        <f>NA()</f>
        <v>#N/A</v>
      </c>
      <c r="CA46" s="78">
        <v>1983</v>
      </c>
      <c r="CB46" s="90">
        <f t="shared" si="223"/>
        <v>0.42305018961951335</v>
      </c>
      <c r="CC46" s="97">
        <f t="shared" ref="CC46:CC102" si="252">CQ42*BC46*1000</f>
        <v>159.57212769457226</v>
      </c>
      <c r="CD46" s="97">
        <f>CQ41*1000*BD46</f>
        <v>3633.2676964511816</v>
      </c>
      <c r="CE46" s="95">
        <f>$BX46*BE46</f>
        <v>816.26410799843995</v>
      </c>
      <c r="CF46" s="95">
        <f>$BX46*BF46</f>
        <v>56.942037530410893</v>
      </c>
      <c r="CG46" s="95">
        <f>$BX46*BG46</f>
        <v>3.1634465294672713</v>
      </c>
      <c r="CH46" s="92">
        <f t="shared" si="224"/>
        <v>4669.2094162040721</v>
      </c>
      <c r="CI46" s="200">
        <f t="shared" si="225"/>
        <v>50</v>
      </c>
      <c r="CJ46" s="92">
        <f t="shared" si="226"/>
        <v>1031.673430951244</v>
      </c>
      <c r="CK46" s="92">
        <f t="shared" si="227"/>
        <v>1975.3099288983499</v>
      </c>
      <c r="CL46" s="92">
        <f>SUM(CI46:CK46)</f>
        <v>3056.9833598495939</v>
      </c>
      <c r="CM46" s="72">
        <f t="shared" si="229"/>
        <v>1.8560454922543164E-2</v>
      </c>
      <c r="CN46" s="128">
        <f t="shared" si="230"/>
        <v>0.65471112716439905</v>
      </c>
      <c r="CO46" s="111">
        <f t="shared" si="231"/>
        <v>1612.2260563544783</v>
      </c>
      <c r="CP46" s="72">
        <f t="shared" si="232"/>
        <v>2.2457482778864342</v>
      </c>
      <c r="CQ46" s="96">
        <f t="shared" si="233"/>
        <v>4.6681748093274678</v>
      </c>
      <c r="CR46" s="92">
        <f t="shared" si="234"/>
        <v>4668.1748093274673</v>
      </c>
      <c r="CS46" s="120">
        <f t="shared" si="235"/>
        <v>-0.90461819600000004</v>
      </c>
      <c r="CT46" s="72">
        <f t="shared" si="97"/>
        <v>-0.36233204499999999</v>
      </c>
      <c r="CU46" s="72">
        <f t="shared" si="236"/>
        <v>-0.56922667100000002</v>
      </c>
      <c r="CV46" s="104">
        <f t="shared" si="237"/>
        <v>2.3600894766455083</v>
      </c>
      <c r="CW46" s="105">
        <f t="shared" si="99"/>
        <v>0.93910201499354218</v>
      </c>
      <c r="CX46" s="105">
        <f t="shared" si="100"/>
        <v>1.3478123449720623E-2</v>
      </c>
      <c r="CY46" s="105">
        <f t="shared" si="101"/>
        <v>1.7440249783777522</v>
      </c>
      <c r="CZ46" s="123">
        <f t="shared" si="242"/>
        <v>-0.68849257550252763</v>
      </c>
      <c r="DA46" s="81">
        <f t="shared" ref="DA46:DA77" si="253">$AP$11+SUMPRODUCT($AR$11:$AU$11,CW46:CZ46)</f>
        <v>1.0956605182990575</v>
      </c>
      <c r="DB46" s="9">
        <f t="shared" si="104"/>
        <v>1321701.3938283822</v>
      </c>
      <c r="DD46" s="1">
        <f t="shared" si="105"/>
        <v>-0.24465350613328185</v>
      </c>
      <c r="DE46" s="114">
        <v>1531</v>
      </c>
      <c r="DF46" s="61">
        <v>1983</v>
      </c>
      <c r="DG46" s="26">
        <v>7.6142131979695434E-3</v>
      </c>
      <c r="DH46" s="26">
        <v>0.29512169725367693</v>
      </c>
      <c r="DI46" s="26">
        <v>0.6060236886632826</v>
      </c>
      <c r="DJ46" s="26">
        <v>8.8702329819081091E-2</v>
      </c>
      <c r="DK46" s="26">
        <v>2.5380710659898475E-3</v>
      </c>
      <c r="DL46" s="106">
        <v>1.5309999999999999</v>
      </c>
      <c r="DM46" s="106">
        <v>1.9119999999999999</v>
      </c>
      <c r="DN46" s="26">
        <v>0.2222286979536629</v>
      </c>
      <c r="DO46" s="76">
        <f t="shared" si="107"/>
        <v>1.5309999999999999</v>
      </c>
      <c r="DP46" s="119">
        <v>-0.72124723000000002</v>
      </c>
      <c r="DQ46" s="26">
        <v>-1.0114984300000001</v>
      </c>
      <c r="DR46" s="26">
        <v>0.12892246099999999</v>
      </c>
      <c r="DS46" s="26">
        <v>0.86133864900000001</v>
      </c>
      <c r="DT46" s="113" cm="1">
        <f t="array" ref="DT46">$DN$11+SUMPRODUCT(DP$11:$DS$11*DP46:DS46)</f>
        <v>1.9490561419168539</v>
      </c>
      <c r="DU46" s="76">
        <f t="shared" ref="DU46:DU77" si="254">DO46*EXP(DT46+$DO$11*DO46)</f>
        <v>2.2469625251373162</v>
      </c>
      <c r="DV46" s="72">
        <f t="shared" si="179"/>
        <v>-0.1614295007034062</v>
      </c>
      <c r="DW46" s="199">
        <v>50</v>
      </c>
      <c r="DX46" s="61">
        <v>22.546918712578766</v>
      </c>
      <c r="DY46" s="26">
        <v>0.42305018961951335</v>
      </c>
      <c r="DZ46" s="98">
        <f t="shared" si="213"/>
        <v>0.42312213985101799</v>
      </c>
      <c r="EA46" s="98">
        <f t="shared" si="214"/>
        <v>0.42312213985101799</v>
      </c>
      <c r="EB46" s="100">
        <f t="shared" si="188"/>
        <v>1176.1522680415351</v>
      </c>
      <c r="EC46" s="61">
        <v>2779.6991867541137</v>
      </c>
      <c r="EE46" s="72">
        <f t="shared" si="189"/>
        <v>4.0684065098520836E-2</v>
      </c>
      <c r="EF46">
        <v>1983</v>
      </c>
      <c r="EG46" s="110">
        <f t="shared" si="190"/>
        <v>0.42305018961951335</v>
      </c>
      <c r="EH46" s="97">
        <f t="shared" si="220"/>
        <v>18.860537223800815</v>
      </c>
      <c r="EI46" s="97">
        <f t="shared" si="238"/>
        <v>686.61242399898867</v>
      </c>
      <c r="EJ46" s="97">
        <f t="shared" si="243"/>
        <v>1183.0718647825408</v>
      </c>
      <c r="EK46" s="97">
        <f t="shared" si="246"/>
        <v>237.01065007892325</v>
      </c>
      <c r="EL46" s="97">
        <f t="shared" si="248"/>
        <v>4.58197904730332</v>
      </c>
      <c r="EM46" s="111">
        <f t="shared" si="196"/>
        <v>2130.1374551315571</v>
      </c>
      <c r="EN46" s="200">
        <f t="shared" si="197"/>
        <v>50</v>
      </c>
      <c r="EO46" s="92">
        <f t="shared" si="198"/>
        <v>22.546918712578766</v>
      </c>
      <c r="EP46" s="92">
        <f t="shared" si="199"/>
        <v>901.15505430903283</v>
      </c>
      <c r="EQ46" s="92">
        <f t="shared" si="239"/>
        <v>973.70197302161159</v>
      </c>
      <c r="ER46" s="128">
        <f t="shared" si="201"/>
        <v>0.45710757804663638</v>
      </c>
      <c r="ES46" s="111">
        <f t="shared" si="240"/>
        <v>1156.4354821099455</v>
      </c>
      <c r="ET46" s="72">
        <f t="shared" si="203"/>
        <v>1.9490561419168539</v>
      </c>
      <c r="EU46" s="96">
        <f t="shared" si="204"/>
        <v>2.8164887199643642</v>
      </c>
      <c r="EV46" s="92">
        <f t="shared" si="205"/>
        <v>2816.488719964364</v>
      </c>
      <c r="EW46" s="120">
        <f t="shared" si="244"/>
        <v>-0.87704872899999997</v>
      </c>
      <c r="EX46" s="9">
        <f t="shared" si="184"/>
        <v>-1.0114984300000001</v>
      </c>
      <c r="EY46" s="9">
        <f t="shared" si="185"/>
        <v>0.12892246099999999</v>
      </c>
      <c r="EZ46" s="9">
        <f t="shared" si="186"/>
        <v>0.86133864900000001</v>
      </c>
      <c r="FA46" s="113" cm="1">
        <f t="array" ref="FA46">$DN$11+SUMPRODUCT($DP$11:$DS$11*EW46:EZ46)</f>
        <v>2.0725664083696751</v>
      </c>
      <c r="FB46">
        <v>1983</v>
      </c>
      <c r="FC46" s="116">
        <f t="shared" si="121"/>
        <v>936297.08060357196</v>
      </c>
      <c r="FD46" s="116">
        <f t="shared" ref="FD46:FD77" si="255">$FC46*EXP($AP$11+$AQ$11*$FC46+$AR$11*$AQ46+$AS$11*$AR46+$AT$11*$AS46+$AU$11*SSLz)</f>
        <v>2035278.4578809098</v>
      </c>
      <c r="FE46" s="116">
        <f t="shared" si="159"/>
        <v>2210355.7089244896</v>
      </c>
      <c r="FF46" s="116">
        <f t="shared" ref="FF46:FF77" si="256">$FC46*EXP($AP$11+$AQ$11*$FC46+$AR$11*$AQ46+$AS$11*$AR46+$AT$11*$AS46+$AU$11*$CZ46)</f>
        <v>1761636.2857957548</v>
      </c>
      <c r="FG46" s="5">
        <f t="shared" ref="FG46:FG77" si="257">FD46-FF46</f>
        <v>273642.17208515503</v>
      </c>
      <c r="FH46" s="5">
        <f t="shared" si="155"/>
        <v>297181.22104071896</v>
      </c>
      <c r="FI46" s="155">
        <f t="shared" ref="FI46:FI77" si="258">FG46/FD46</f>
        <v>0.13444950052194118</v>
      </c>
      <c r="FJ46" s="117">
        <f t="shared" si="127"/>
        <v>13.444950052194118</v>
      </c>
      <c r="FK46" s="61">
        <f t="shared" ref="FK46:FK77" si="259">CZ46*SSLsd+SSLavg</f>
        <v>7775.0525071201791</v>
      </c>
      <c r="FL46" s="61">
        <f t="shared" si="142"/>
        <v>261.77038110251448</v>
      </c>
      <c r="FM46" s="92">
        <f t="shared" si="128"/>
        <v>35.194896990671261</v>
      </c>
      <c r="FN46" s="72">
        <f t="shared" si="129"/>
        <v>0.13444950052194118</v>
      </c>
      <c r="FO46" s="179">
        <f t="shared" ref="FO46:FO77" si="260">FM46/rundays</f>
        <v>1.1731632330223754</v>
      </c>
      <c r="FP46" s="92">
        <f t="shared" si="160"/>
        <v>20.248370931131557</v>
      </c>
      <c r="FQ46" s="1">
        <f t="shared" si="143"/>
        <v>0</v>
      </c>
      <c r="FR46" s="26">
        <f t="shared" si="130"/>
        <v>1.2341408827186904</v>
      </c>
      <c r="FS46">
        <f t="shared" ref="FS46:FS77" si="261">FB46</f>
        <v>1983</v>
      </c>
      <c r="FT46" s="5">
        <f t="shared" si="241"/>
        <v>1612.2260563544783</v>
      </c>
      <c r="FU46" s="214">
        <f t="shared" ref="FU46:FU77" si="262">$FT46*EXP($BF$10+$BG$10*$FT46/1000+$BI$10*$CT46+$BH$10*$FD$10)</f>
        <v>7917.0500510294833</v>
      </c>
      <c r="FV46" s="213">
        <f t="shared" si="131"/>
        <v>4562.5743487107056</v>
      </c>
      <c r="FW46" s="5">
        <f t="shared" si="132"/>
        <v>3354.4757023187776</v>
      </c>
      <c r="FX46" s="1">
        <f t="shared" si="133"/>
        <v>0.42370272774549189</v>
      </c>
      <c r="FY46">
        <f t="shared" ref="FY46:FY77" si="263">BL46*SSLsdTH+sslavgTH</f>
        <v>12645.47249929089</v>
      </c>
      <c r="FZ46" s="26">
        <f t="shared" si="134"/>
        <v>0.26527088667559745</v>
      </c>
      <c r="GA46" s="106">
        <f t="shared" ref="GA46:GA77" si="264">FZ46/rundays</f>
        <v>8.8423628891865814E-3</v>
      </c>
      <c r="GB46" s="61">
        <f t="shared" si="135"/>
        <v>1156.4354821099455</v>
      </c>
      <c r="GC46" s="61">
        <f t="shared" si="207"/>
        <v>4678.4598037974811</v>
      </c>
      <c r="GD46" s="61">
        <f t="shared" si="247"/>
        <v>3172.6685954931659</v>
      </c>
      <c r="GE46" s="61">
        <f t="shared" si="210"/>
        <v>2816.488719964364</v>
      </c>
      <c r="GF46" s="61">
        <f t="shared" si="137"/>
        <v>1861.9710838331171</v>
      </c>
      <c r="GG46" s="61">
        <f t="shared" si="245"/>
        <v>1220.48110362785</v>
      </c>
      <c r="GH46" s="6">
        <f t="shared" si="138"/>
        <v>0.39798804775917174</v>
      </c>
      <c r="GI46">
        <f t="shared" ref="GI46:GI77" si="265">EW46*SSLsdCH+SSLavgCH</f>
        <v>9248.6922093424037</v>
      </c>
      <c r="GJ46" s="26">
        <f t="shared" si="208"/>
        <v>0.20132263477773427</v>
      </c>
      <c r="GK46">
        <f t="shared" ref="GK46:GK77" si="266">GJ46/rundays</f>
        <v>6.7107544925911426E-3</v>
      </c>
      <c r="GL46" s="232">
        <f t="shared" si="140"/>
        <v>1.2341408827186904</v>
      </c>
      <c r="GY46">
        <v>1983</v>
      </c>
      <c r="GZ46" s="112">
        <f t="shared" ref="GZ46:GZ82" si="267">AU46</f>
        <v>1.0650776048982746</v>
      </c>
      <c r="HA46" s="112">
        <f t="shared" ref="HA46:HA82" si="268">DT46</f>
        <v>1.9490561419168539</v>
      </c>
      <c r="HB46" s="112">
        <f t="shared" ref="HB46:HB82" si="269">CV46</f>
        <v>2.3600894766455083</v>
      </c>
    </row>
    <row r="47" spans="1:210" x14ac:dyDescent="0.35">
      <c r="A47">
        <v>1984</v>
      </c>
      <c r="D47" s="80">
        <f>'SR + catch data Murdoch_age var'!C36</f>
        <v>541478</v>
      </c>
      <c r="E47" s="80">
        <f>'SR + catch data Murdoch_age var'!E36</f>
        <v>984259.76243600273</v>
      </c>
      <c r="F47" s="231">
        <f t="shared" si="63"/>
        <v>0.59758741069926624</v>
      </c>
      <c r="G47" s="80">
        <f>'SR + catch data Murdoch_age var'!D36</f>
        <v>612803</v>
      </c>
      <c r="H47" s="80">
        <f>'Orig data'!Q38</f>
        <v>612803</v>
      </c>
      <c r="I47" s="80">
        <f t="shared" si="64"/>
        <v>71325</v>
      </c>
      <c r="J47" s="150">
        <f t="shared" si="65"/>
        <v>0.11639140147812592</v>
      </c>
      <c r="K47" s="83">
        <f>'SR + catch data Murdoch_age var'!CM36</f>
        <v>1.0522952790674369</v>
      </c>
      <c r="L47" s="83">
        <f>'SR + catch data Murdoch_age var'!CN36</f>
        <v>1.1079414446651428</v>
      </c>
      <c r="M47" s="84">
        <f>'SR + catch data Murdoch_age var'!CO36</f>
        <v>1186178.5646658491</v>
      </c>
      <c r="N47" s="81">
        <f t="shared" si="66"/>
        <v>-0.18660228022163075</v>
      </c>
      <c r="O47" s="82">
        <f t="shared" si="67"/>
        <v>1984</v>
      </c>
      <c r="P47" s="81">
        <f t="shared" ref="P47:S65" si="270">P$88</f>
        <v>0.10741516534518507</v>
      </c>
      <c r="Q47" s="81">
        <f t="shared" si="270"/>
        <v>0.75930233821489568</v>
      </c>
      <c r="R47" s="81">
        <f t="shared" si="270"/>
        <v>0.13183604264117066</v>
      </c>
      <c r="S47" s="85">
        <f t="shared" si="270"/>
        <v>1.4464537987485602E-3</v>
      </c>
      <c r="T47" s="80">
        <f t="shared" si="144"/>
        <v>65824.335569025439</v>
      </c>
      <c r="U47" s="80">
        <f t="shared" si="145"/>
        <v>465302.75076510274</v>
      </c>
      <c r="V47" s="80">
        <f t="shared" si="146"/>
        <v>80789.522438637301</v>
      </c>
      <c r="W47" s="80">
        <f t="shared" si="147"/>
        <v>886.39122723451396</v>
      </c>
      <c r="X47" s="86">
        <f t="shared" si="73"/>
        <v>1984</v>
      </c>
      <c r="Y47" s="79">
        <f t="shared" si="149"/>
        <v>179525.75649974</v>
      </c>
      <c r="Z47" s="79">
        <f t="shared" si="152"/>
        <v>577478.02591961855</v>
      </c>
      <c r="AA47" s="79">
        <f t="shared" si="156"/>
        <v>68313.240216133112</v>
      </c>
      <c r="AB47" s="79">
        <f t="shared" si="161"/>
        <v>963.83376201709791</v>
      </c>
      <c r="AC47" s="80">
        <f t="shared" si="78"/>
        <v>826280.85639750876</v>
      </c>
      <c r="AD47" s="84">
        <f t="shared" si="79"/>
        <v>-213477.85639750876</v>
      </c>
      <c r="AE47" s="80">
        <f t="shared" si="80"/>
        <v>71325</v>
      </c>
      <c r="AF47" s="72">
        <f t="shared" si="81"/>
        <v>8.6320528241412911E-2</v>
      </c>
      <c r="AG47" s="26">
        <f t="shared" si="82"/>
        <v>-3.0070873236713008E-2</v>
      </c>
      <c r="AH47" s="61">
        <f t="shared" si="249"/>
        <v>1984</v>
      </c>
      <c r="AI47" s="26">
        <f t="shared" si="15"/>
        <v>8.6320528241412911E-2</v>
      </c>
      <c r="AJ47" s="75">
        <f t="shared" si="150"/>
        <v>168059.51662661062</v>
      </c>
      <c r="AK47" s="75">
        <f t="shared" si="153"/>
        <v>188315.88184675225</v>
      </c>
      <c r="AL47" s="75">
        <f t="shared" si="157"/>
        <v>185435.58775851363</v>
      </c>
      <c r="AM47" s="75">
        <f t="shared" si="162"/>
        <v>425.29233277341183</v>
      </c>
      <c r="AN47" s="79">
        <f t="shared" si="84"/>
        <v>542236.27856464998</v>
      </c>
      <c r="AO47" s="80">
        <f t="shared" si="85"/>
        <v>46806.12199735851</v>
      </c>
      <c r="AP47" s="80">
        <f t="shared" si="86"/>
        <v>495430.15656729147</v>
      </c>
      <c r="AQ47" s="81">
        <v>-0.50472780352659885</v>
      </c>
      <c r="AR47" s="81">
        <v>0.13702758840549265</v>
      </c>
      <c r="AS47" s="81">
        <f>'SR + catch data Murdoch_age var'!N36</f>
        <v>0.6862558342584828</v>
      </c>
      <c r="AT47" s="121">
        <f>'SR + catch data Murdoch_age var'!BR36</f>
        <v>-0.53725736599905283</v>
      </c>
      <c r="AU47" s="122">
        <f t="shared" si="250"/>
        <v>1.0522952790674369</v>
      </c>
      <c r="AV47" s="122">
        <f t="shared" si="88"/>
        <v>0.78418969092089696</v>
      </c>
      <c r="AW47" s="115">
        <f t="shared" si="251"/>
        <v>953107.50729473936</v>
      </c>
      <c r="AX47" s="115"/>
      <c r="AY47" s="141">
        <f t="shared" si="89"/>
        <v>0.51185140909819604</v>
      </c>
      <c r="AZ47" s="141"/>
      <c r="BA47" s="84">
        <v>1120</v>
      </c>
      <c r="BB47" s="101">
        <v>1984</v>
      </c>
      <c r="BC47" s="72">
        <v>3.5750695088044487E-2</v>
      </c>
      <c r="BD47" s="72">
        <v>0.8358758109360519</v>
      </c>
      <c r="BE47" s="72">
        <v>0.11956904541241889</v>
      </c>
      <c r="BF47" s="72">
        <v>8.3410565338276187E-3</v>
      </c>
      <c r="BG47" s="72">
        <v>4.6339202965708991E-4</v>
      </c>
      <c r="BH47" s="76">
        <v>1.1200000000000001</v>
      </c>
      <c r="BI47" s="76">
        <v>3.4489999999999998</v>
      </c>
      <c r="BJ47" s="72">
        <f t="shared" si="215"/>
        <v>1.1247556486477006</v>
      </c>
      <c r="BK47">
        <v>1.1200000000000001</v>
      </c>
      <c r="BL47" s="120">
        <v>-0.72124723000000002</v>
      </c>
      <c r="BM47" s="125">
        <v>-0.30371192800000002</v>
      </c>
      <c r="BN47" s="4">
        <v>0.12892246099999999</v>
      </c>
      <c r="BO47" s="98">
        <f t="shared" si="221"/>
        <v>2.179952679389126</v>
      </c>
      <c r="BP47" s="98">
        <f t="shared" si="216"/>
        <v>4.0241347425352281</v>
      </c>
      <c r="BQ47" s="99">
        <f t="shared" si="217"/>
        <v>-0.15422558300758768</v>
      </c>
      <c r="BR47" s="200">
        <v>50</v>
      </c>
      <c r="BS47" s="100">
        <v>838.80208499124626</v>
      </c>
      <c r="BT47" s="98">
        <v>0.42305018961951335</v>
      </c>
      <c r="BU47" s="98">
        <f t="shared" si="222"/>
        <v>0.42305018961951329</v>
      </c>
      <c r="BV47" s="99">
        <f t="shared" si="92"/>
        <v>0.42305018961951329</v>
      </c>
      <c r="BW47" s="100">
        <f t="shared" si="218"/>
        <v>1472.9601911181471</v>
      </c>
      <c r="BX47" s="100">
        <v>3481.7622761093935</v>
      </c>
      <c r="BY47" s="99" t="e">
        <f>NA()</f>
        <v>#N/A</v>
      </c>
      <c r="BZ47" s="89" t="e">
        <f>NA()</f>
        <v>#N/A</v>
      </c>
      <c r="CA47" s="78">
        <v>1984</v>
      </c>
      <c r="CB47" s="90">
        <f t="shared" si="223"/>
        <v>0.42305018961951329</v>
      </c>
      <c r="CC47" s="97">
        <f t="shared" si="252"/>
        <v>194.10352106476111</v>
      </c>
      <c r="CD47" s="97">
        <f t="shared" ref="CD47:CD103" si="271">CQ42*1000*BD47</f>
        <v>3730.9059673107367</v>
      </c>
      <c r="CE47" s="97">
        <f>CQ41*1000*BE47</f>
        <v>519.72595032503148</v>
      </c>
      <c r="CF47" s="95">
        <f>$BX47*BF47</f>
        <v>29.041575982376777</v>
      </c>
      <c r="CG47" s="95">
        <f>$BX47*BG47</f>
        <v>1.6134208879098209</v>
      </c>
      <c r="CH47" s="92">
        <f t="shared" si="224"/>
        <v>4475.3904355708155</v>
      </c>
      <c r="CI47" s="200">
        <f t="shared" si="225"/>
        <v>50</v>
      </c>
      <c r="CJ47" s="92">
        <f t="shared" si="226"/>
        <v>838.80208499124626</v>
      </c>
      <c r="CK47" s="92">
        <f t="shared" si="227"/>
        <v>1893.3147723895897</v>
      </c>
      <c r="CL47" s="92">
        <f t="shared" si="228"/>
        <v>2782.1168573808359</v>
      </c>
      <c r="CM47" s="72">
        <f t="shared" si="229"/>
        <v>1.9364266010081944E-2</v>
      </c>
      <c r="CN47" s="128">
        <f t="shared" si="230"/>
        <v>0.62164785339583217</v>
      </c>
      <c r="CO47" s="111">
        <f t="shared" si="231"/>
        <v>1693.2735781899796</v>
      </c>
      <c r="CP47" s="72">
        <f t="shared" si="232"/>
        <v>2.179952679389126</v>
      </c>
      <c r="CQ47" s="96">
        <f t="shared" si="233"/>
        <v>4.4133222318200902</v>
      </c>
      <c r="CR47" s="92">
        <f t="shared" si="234"/>
        <v>4413.3222318200906</v>
      </c>
      <c r="CS47" s="120">
        <f t="shared" si="235"/>
        <v>-0.90461819600000004</v>
      </c>
      <c r="CT47" s="72">
        <f t="shared" si="97"/>
        <v>-0.30371192800000002</v>
      </c>
      <c r="CU47" s="72">
        <f t="shared" si="236"/>
        <v>0.12892246099999999</v>
      </c>
      <c r="CV47" s="104">
        <f t="shared" si="237"/>
        <v>2.3200990153734695</v>
      </c>
      <c r="CW47" s="105">
        <f t="shared" si="99"/>
        <v>-0.50472780352659885</v>
      </c>
      <c r="CX47" s="105">
        <f t="shared" si="100"/>
        <v>0.13702758840549265</v>
      </c>
      <c r="CY47" s="105">
        <f t="shared" si="101"/>
        <v>0.6862558342584828</v>
      </c>
      <c r="CZ47" s="123">
        <f t="shared" si="242"/>
        <v>-0.68849257550252763</v>
      </c>
      <c r="DA47" s="81">
        <f t="shared" si="253"/>
        <v>1.0862092129464946</v>
      </c>
      <c r="DB47" s="9">
        <f t="shared" si="104"/>
        <v>953107.50729473936</v>
      </c>
      <c r="DD47" s="1">
        <f t="shared" si="105"/>
        <v>0.1122865199512614</v>
      </c>
      <c r="DE47" s="114">
        <v>1133</v>
      </c>
      <c r="DF47" s="61">
        <v>1984</v>
      </c>
      <c r="DG47" s="26">
        <v>7.6142131979695434E-3</v>
      </c>
      <c r="DH47" s="26">
        <v>0.29512169725367693</v>
      </c>
      <c r="DI47" s="26">
        <v>0.6060236886632826</v>
      </c>
      <c r="DJ47" s="26">
        <v>8.8702329819081091E-2</v>
      </c>
      <c r="DK47" s="26">
        <v>2.5380710659898475E-3</v>
      </c>
      <c r="DL47" s="106">
        <v>1.133</v>
      </c>
      <c r="DM47" s="106">
        <v>0.99199999999999999</v>
      </c>
      <c r="DN47" s="26">
        <v>-0.13290115374313349</v>
      </c>
      <c r="DO47" s="76">
        <f t="shared" si="107"/>
        <v>1.133</v>
      </c>
      <c r="DP47" s="119">
        <v>-0.68603900600000001</v>
      </c>
      <c r="DQ47" s="26">
        <v>-1.350999694</v>
      </c>
      <c r="DR47" s="26">
        <v>1.489047196</v>
      </c>
      <c r="DS47" s="26">
        <v>-0.54208432200000001</v>
      </c>
      <c r="DT47" s="113" cm="1">
        <f t="array" ref="DT47">$DN$11+SUMPRODUCT(DP$11:$DS$11*DP47:DS47)</f>
        <v>1.8875534407053938</v>
      </c>
      <c r="DU47" s="76">
        <f t="shared" si="254"/>
        <v>2.3489457175964934</v>
      </c>
      <c r="DV47" s="72">
        <f t="shared" si="179"/>
        <v>-0.86199876837841849</v>
      </c>
      <c r="DW47" s="199">
        <v>50</v>
      </c>
      <c r="DX47" s="61">
        <v>41.166235260281852</v>
      </c>
      <c r="DY47" s="26">
        <v>0.42305018961951335</v>
      </c>
      <c r="DZ47" s="98">
        <f t="shared" si="213"/>
        <v>0.42295591417403766</v>
      </c>
      <c r="EA47" s="98">
        <f t="shared" si="214"/>
        <v>0.42295591417403766</v>
      </c>
      <c r="EB47" s="100">
        <f t="shared" si="188"/>
        <v>897.27693577239552</v>
      </c>
      <c r="EC47" s="61">
        <v>2121.4431710326776</v>
      </c>
      <c r="EE47" s="72">
        <f t="shared" si="189"/>
        <v>3.699902773399398E-2</v>
      </c>
      <c r="EF47">
        <v>1984</v>
      </c>
      <c r="EG47" s="110">
        <f t="shared" si="190"/>
        <v>0.42305018961951335</v>
      </c>
      <c r="EH47" s="97">
        <f t="shared" si="220"/>
        <v>21.390249602521454</v>
      </c>
      <c r="EI47" s="97">
        <f t="shared" si="238"/>
        <v>731.0215267006912</v>
      </c>
      <c r="EJ47" s="97">
        <f t="shared" si="243"/>
        <v>1409.9383330539608</v>
      </c>
      <c r="EK47" s="97">
        <f t="shared" si="246"/>
        <v>173.16357877212192</v>
      </c>
      <c r="EL47" s="97">
        <f t="shared" si="248"/>
        <v>6.7816693712971432</v>
      </c>
      <c r="EM47" s="111">
        <f t="shared" si="196"/>
        <v>2342.2953575005927</v>
      </c>
      <c r="EN47" s="200">
        <f t="shared" si="197"/>
        <v>50</v>
      </c>
      <c r="EO47" s="92">
        <f t="shared" si="198"/>
        <v>41.166235260281852</v>
      </c>
      <c r="EP47" s="92">
        <f t="shared" si="199"/>
        <v>990.90849513553155</v>
      </c>
      <c r="EQ47" s="92">
        <f t="shared" si="239"/>
        <v>1082.0747303958135</v>
      </c>
      <c r="ER47" s="128">
        <f t="shared" si="201"/>
        <v>0.46197194001633918</v>
      </c>
      <c r="ES47" s="111">
        <f t="shared" si="240"/>
        <v>1260.2206271047792</v>
      </c>
      <c r="ET47" s="72">
        <f t="shared" si="203"/>
        <v>1.8875534407053938</v>
      </c>
      <c r="EU47" s="96">
        <f t="shared" si="204"/>
        <v>2.6690609967092649</v>
      </c>
      <c r="EV47" s="92">
        <f t="shared" si="205"/>
        <v>2669.0609967092651</v>
      </c>
      <c r="EW47" s="120">
        <f t="shared" si="244"/>
        <v>-0.87704872899999997</v>
      </c>
      <c r="EX47" s="9">
        <f t="shared" si="184"/>
        <v>-1.350999694</v>
      </c>
      <c r="EY47" s="9">
        <f t="shared" si="185"/>
        <v>1.489047196</v>
      </c>
      <c r="EZ47" s="9">
        <f t="shared" si="186"/>
        <v>-0.54208432200000001</v>
      </c>
      <c r="FA47" s="113" cm="1">
        <f t="array" ref="FA47">$DN$11+SUMPRODUCT($DP$11:$DS$11*EW47:EZ47)</f>
        <v>2.0389747167151291</v>
      </c>
      <c r="FB47">
        <v>1984</v>
      </c>
      <c r="FC47" s="116">
        <f t="shared" si="121"/>
        <v>495430.15656729147</v>
      </c>
      <c r="FD47" s="116">
        <f t="shared" si="255"/>
        <v>1327057.7408969142</v>
      </c>
      <c r="FE47" s="116">
        <f t="shared" si="159"/>
        <v>612803</v>
      </c>
      <c r="FF47" s="116">
        <f t="shared" si="256"/>
        <v>1148635.4904695484</v>
      </c>
      <c r="FG47" s="5">
        <f t="shared" si="257"/>
        <v>178422.25042736577</v>
      </c>
      <c r="FH47" s="5">
        <f t="shared" si="155"/>
        <v>40015.364728516084</v>
      </c>
      <c r="FI47" s="155">
        <f t="shared" si="258"/>
        <v>0.13444950052194121</v>
      </c>
      <c r="FJ47" s="117">
        <f t="shared" si="127"/>
        <v>13.444950052194121</v>
      </c>
      <c r="FK47" s="61">
        <f t="shared" si="259"/>
        <v>7775.0525071201791</v>
      </c>
      <c r="FL47" s="61">
        <f t="shared" si="142"/>
        <v>170.68151497133059</v>
      </c>
      <c r="FM47" s="92">
        <f t="shared" si="128"/>
        <v>22.948044436223626</v>
      </c>
      <c r="FN47" s="72">
        <f t="shared" si="129"/>
        <v>0.13444950052194121</v>
      </c>
      <c r="FO47" s="179">
        <f t="shared" si="260"/>
        <v>0.76493481454078749</v>
      </c>
      <c r="FP47" s="92">
        <f t="shared" si="160"/>
        <v>22.516994406631468</v>
      </c>
      <c r="FQ47" s="1">
        <f t="shared" si="143"/>
        <v>0</v>
      </c>
      <c r="FR47" s="26">
        <f t="shared" si="130"/>
        <v>1.2341408827186904</v>
      </c>
      <c r="FS47">
        <f t="shared" si="261"/>
        <v>1984</v>
      </c>
      <c r="FT47" s="5">
        <f t="shared" si="241"/>
        <v>1693.2735781899796</v>
      </c>
      <c r="FU47" s="214">
        <f t="shared" si="262"/>
        <v>7697.8547293513247</v>
      </c>
      <c r="FV47" s="213">
        <f t="shared" si="131"/>
        <v>4436.2526827366319</v>
      </c>
      <c r="FW47" s="5">
        <f t="shared" si="132"/>
        <v>3261.6020466146929</v>
      </c>
      <c r="FX47" s="1">
        <f t="shared" si="133"/>
        <v>0.42370272774549206</v>
      </c>
      <c r="FY47">
        <f t="shared" si="263"/>
        <v>13135.827818655012</v>
      </c>
      <c r="FZ47" s="26">
        <f t="shared" si="134"/>
        <v>0.24829817287820166</v>
      </c>
      <c r="GA47" s="106">
        <f t="shared" si="264"/>
        <v>8.2766057626067219E-3</v>
      </c>
      <c r="GB47" s="61">
        <f t="shared" si="135"/>
        <v>1260.2206271047792</v>
      </c>
      <c r="GC47" s="61">
        <f t="shared" si="207"/>
        <v>4433.5681156734536</v>
      </c>
      <c r="GD47" s="61">
        <f t="shared" si="247"/>
        <v>3864.6076029715623</v>
      </c>
      <c r="GE47" s="61">
        <f t="shared" si="210"/>
        <v>2669.0609967092655</v>
      </c>
      <c r="GF47" s="61">
        <f t="shared" si="137"/>
        <v>1764.5071189641881</v>
      </c>
      <c r="GG47" s="61">
        <f t="shared" si="245"/>
        <v>1538.0676352619043</v>
      </c>
      <c r="GH47" s="6">
        <f t="shared" si="138"/>
        <v>0.39798804775917185</v>
      </c>
      <c r="GI47">
        <f t="shared" si="265"/>
        <v>9248.6922093424037</v>
      </c>
      <c r="GJ47" s="26">
        <f>GF47/GI47</f>
        <v>0.19078450001631606</v>
      </c>
      <c r="GK47">
        <f t="shared" si="266"/>
        <v>6.3594833338772019E-3</v>
      </c>
      <c r="GL47" s="232">
        <f t="shared" si="140"/>
        <v>1.2341408827186904</v>
      </c>
      <c r="GY47">
        <v>1984</v>
      </c>
      <c r="GZ47" s="112">
        <f t="shared" si="267"/>
        <v>1.0522952790674369</v>
      </c>
      <c r="HA47" s="112">
        <f t="shared" si="268"/>
        <v>1.8875534407053938</v>
      </c>
      <c r="HB47" s="112">
        <f t="shared" si="269"/>
        <v>2.3200990153734695</v>
      </c>
    </row>
    <row r="48" spans="1:210" x14ac:dyDescent="0.35">
      <c r="A48">
        <v>1985</v>
      </c>
      <c r="D48" s="80">
        <f>'SR + catch data Murdoch_age var'!C37</f>
        <v>1383808</v>
      </c>
      <c r="E48" s="80">
        <f>'SR + catch data Murdoch_age var'!E37</f>
        <v>1154731.9912101116</v>
      </c>
      <c r="F48" s="231">
        <f t="shared" si="63"/>
        <v>-0.18097084444265166</v>
      </c>
      <c r="G48" s="80">
        <f>'SR + catch data Murdoch_age var'!D37</f>
        <v>1839044</v>
      </c>
      <c r="H48" s="80">
        <f>'Orig data'!Q39</f>
        <v>1839044</v>
      </c>
      <c r="I48" s="80">
        <f t="shared" si="64"/>
        <v>455236</v>
      </c>
      <c r="J48" s="150">
        <f t="shared" si="65"/>
        <v>0.24753948247023996</v>
      </c>
      <c r="K48" s="83">
        <f>'SR + catch data Murdoch_age var'!CM37</f>
        <v>0.85440553806761843</v>
      </c>
      <c r="L48" s="83">
        <f>'SR + catch data Murdoch_age var'!CN37</f>
        <v>1.1225248401913273</v>
      </c>
      <c r="M48" s="84">
        <f>'SR + catch data Murdoch_age var'!CO37</f>
        <v>1638974.3302986324</v>
      </c>
      <c r="N48" s="81">
        <f t="shared" si="66"/>
        <v>-0.35020236302676877</v>
      </c>
      <c r="O48" s="82">
        <f t="shared" si="67"/>
        <v>1985</v>
      </c>
      <c r="P48" s="81">
        <f t="shared" si="270"/>
        <v>0.10741516534518507</v>
      </c>
      <c r="Q48" s="81">
        <f t="shared" si="270"/>
        <v>0.75930233821489568</v>
      </c>
      <c r="R48" s="81">
        <f t="shared" si="270"/>
        <v>0.13183604264117066</v>
      </c>
      <c r="S48" s="85">
        <f t="shared" si="270"/>
        <v>1.4464537987485602E-3</v>
      </c>
      <c r="T48" s="80">
        <f t="shared" si="144"/>
        <v>197541.21533707052</v>
      </c>
      <c r="U48" s="80">
        <f t="shared" si="145"/>
        <v>1396390.4092800745</v>
      </c>
      <c r="V48" s="80">
        <f t="shared" si="146"/>
        <v>242452.28320298906</v>
      </c>
      <c r="W48" s="80">
        <f t="shared" si="147"/>
        <v>2660.0921798657473</v>
      </c>
      <c r="X48" s="86">
        <f t="shared" si="73"/>
        <v>1985</v>
      </c>
      <c r="Y48" s="79">
        <f t="shared" si="149"/>
        <v>157128.87820428284</v>
      </c>
      <c r="Z48" s="79">
        <f t="shared" si="152"/>
        <v>1269041.7246205071</v>
      </c>
      <c r="AA48" s="79">
        <f t="shared" si="156"/>
        <v>100266.27578740721</v>
      </c>
      <c r="AB48" s="79">
        <f t="shared" si="161"/>
        <v>749.5063097759504</v>
      </c>
      <c r="AC48" s="80">
        <f t="shared" si="78"/>
        <v>1527186.3849219731</v>
      </c>
      <c r="AD48" s="84">
        <f t="shared" si="79"/>
        <v>311857.61507802689</v>
      </c>
      <c r="AE48" s="80">
        <f t="shared" si="80"/>
        <v>455236</v>
      </c>
      <c r="AF48" s="72">
        <f t="shared" si="81"/>
        <v>0.29808804249080501</v>
      </c>
      <c r="AG48" s="26">
        <f t="shared" si="82"/>
        <v>5.0548560020565042E-2</v>
      </c>
      <c r="AH48" s="61">
        <f t="shared" si="249"/>
        <v>1985</v>
      </c>
      <c r="AI48" s="26">
        <f t="shared" si="15"/>
        <v>0.29808804249080501</v>
      </c>
      <c r="AJ48" s="75">
        <f t="shared" si="150"/>
        <v>87836.636936328912</v>
      </c>
      <c r="AK48" s="75">
        <f t="shared" si="153"/>
        <v>1187988.5258638731</v>
      </c>
      <c r="AL48" s="75">
        <f t="shared" si="157"/>
        <v>32696.884204947182</v>
      </c>
      <c r="AM48" s="75">
        <f t="shared" si="162"/>
        <v>2034.5271669487386</v>
      </c>
      <c r="AN48" s="79">
        <f t="shared" si="84"/>
        <v>1310556.5741720977</v>
      </c>
      <c r="AO48" s="80">
        <f t="shared" si="85"/>
        <v>390661.24376841611</v>
      </c>
      <c r="AP48" s="80">
        <f t="shared" si="86"/>
        <v>919895.33040368161</v>
      </c>
      <c r="AQ48" s="81">
        <v>-0.76724552453108652</v>
      </c>
      <c r="AR48" s="81">
        <v>-1.1231769541433823</v>
      </c>
      <c r="AS48" s="81">
        <f>'SR + catch data Murdoch_age var'!N37</f>
        <v>1.0686321063959006</v>
      </c>
      <c r="AT48" s="121">
        <f>'SR + catch data Murdoch_age var'!BR37</f>
        <v>-0.52094944511260732</v>
      </c>
      <c r="AU48" s="122">
        <f t="shared" si="250"/>
        <v>0.85440553806761843</v>
      </c>
      <c r="AV48" s="122">
        <f t="shared" si="88"/>
        <v>0.16923151858411722</v>
      </c>
      <c r="AW48" s="115">
        <f t="shared" si="251"/>
        <v>1002808.7830758439</v>
      </c>
      <c r="AX48" s="115"/>
      <c r="AY48" s="141">
        <f t="shared" si="89"/>
        <v>-0.53294267535548734</v>
      </c>
      <c r="AZ48" s="141"/>
      <c r="BA48" s="84">
        <v>3510</v>
      </c>
      <c r="BB48" s="101">
        <v>1985</v>
      </c>
      <c r="BC48" s="72">
        <v>3.5750695088044487E-2</v>
      </c>
      <c r="BD48" s="72">
        <v>0.8358758109360519</v>
      </c>
      <c r="BE48" s="72">
        <v>0.11956904541241889</v>
      </c>
      <c r="BF48" s="72">
        <v>8.3410565338276187E-3</v>
      </c>
      <c r="BG48" s="72">
        <v>4.6339202965708991E-4</v>
      </c>
      <c r="BH48" s="76">
        <v>3.51</v>
      </c>
      <c r="BI48" s="76">
        <v>2.181</v>
      </c>
      <c r="BJ48" s="72">
        <f t="shared" si="215"/>
        <v>-0.47583255025828242</v>
      </c>
      <c r="BK48">
        <v>3.51</v>
      </c>
      <c r="BL48" s="120">
        <v>-0.68603900600000001</v>
      </c>
      <c r="BM48" s="125">
        <v>-1.0114984300000001</v>
      </c>
      <c r="BN48" s="4">
        <v>1.489047196</v>
      </c>
      <c r="BO48" s="98">
        <f t="shared" si="221"/>
        <v>2.2423794503776859</v>
      </c>
      <c r="BP48" s="98">
        <f t="shared" si="216"/>
        <v>1.9628849921152909</v>
      </c>
      <c r="BQ48" s="99">
        <f t="shared" si="217"/>
        <v>0.10536816145846976</v>
      </c>
      <c r="BR48" s="200">
        <v>50</v>
      </c>
      <c r="BS48" s="100">
        <v>1349.7184200753356</v>
      </c>
      <c r="BT48" s="98">
        <v>0.42305018961951335</v>
      </c>
      <c r="BU48" s="98">
        <f t="shared" si="222"/>
        <v>0.42305018961951335</v>
      </c>
      <c r="BV48" s="99">
        <f t="shared" si="92"/>
        <v>0.42305018961951335</v>
      </c>
      <c r="BW48" s="100">
        <f t="shared" si="218"/>
        <v>3600.0658483993802</v>
      </c>
      <c r="BX48" s="100">
        <v>8509.7842684747156</v>
      </c>
      <c r="BY48" s="99" t="e">
        <f>NA()</f>
        <v>#N/A</v>
      </c>
      <c r="BZ48" s="89" t="e">
        <f>NA()</f>
        <v>#N/A</v>
      </c>
      <c r="CA48" s="78">
        <v>1985</v>
      </c>
      <c r="CB48" s="90">
        <f t="shared" si="223"/>
        <v>0.42305018961951335</v>
      </c>
      <c r="CC48" s="97">
        <f t="shared" si="252"/>
        <v>155.34574934783427</v>
      </c>
      <c r="CD48" s="97">
        <f t="shared" si="271"/>
        <v>4538.2736664554423</v>
      </c>
      <c r="CE48" s="97">
        <f t="shared" ref="CE48:CE103" si="272">CQ42*1000*BE48</f>
        <v>533.69275578782208</v>
      </c>
      <c r="CF48" s="97">
        <f>CQ41*1000*BF48</f>
        <v>36.255734239625504</v>
      </c>
      <c r="CG48" s="95">
        <f>$BX48*BG48</f>
        <v>3.9433662041124724</v>
      </c>
      <c r="CH48" s="92">
        <f t="shared" si="224"/>
        <v>5267.511272034837</v>
      </c>
      <c r="CI48" s="200">
        <f t="shared" si="225"/>
        <v>50</v>
      </c>
      <c r="CJ48" s="92">
        <f t="shared" si="226"/>
        <v>1349.7184200753356</v>
      </c>
      <c r="CK48" s="92">
        <f t="shared" si="227"/>
        <v>2228.4216424572619</v>
      </c>
      <c r="CL48" s="92">
        <f t="shared" si="228"/>
        <v>3628.1400625325978</v>
      </c>
      <c r="CM48" s="72">
        <f t="shared" si="229"/>
        <v>1.6452295290464946E-2</v>
      </c>
      <c r="CN48" s="128">
        <f t="shared" si="230"/>
        <v>0.68877689579789902</v>
      </c>
      <c r="CO48" s="111">
        <f t="shared" si="231"/>
        <v>1639.3712095022393</v>
      </c>
      <c r="CP48" s="72">
        <f t="shared" si="232"/>
        <v>2.2423794503776859</v>
      </c>
      <c r="CQ48" s="96">
        <f t="shared" si="233"/>
        <v>4.8791626111872706</v>
      </c>
      <c r="CR48" s="92">
        <f t="shared" si="234"/>
        <v>4879.1626111872702</v>
      </c>
      <c r="CS48" s="120">
        <f t="shared" si="235"/>
        <v>-0.90461819600000004</v>
      </c>
      <c r="CT48" s="72">
        <f t="shared" si="97"/>
        <v>-1.0114984300000001</v>
      </c>
      <c r="CU48" s="72">
        <f t="shared" si="236"/>
        <v>1.489047196</v>
      </c>
      <c r="CV48" s="104">
        <f t="shared" si="237"/>
        <v>2.4094346460236844</v>
      </c>
      <c r="CW48" s="105">
        <f t="shared" si="99"/>
        <v>-0.76724552453108652</v>
      </c>
      <c r="CX48" s="105">
        <f t="shared" si="100"/>
        <v>-1.1231769541433823</v>
      </c>
      <c r="CY48" s="105">
        <f t="shared" si="101"/>
        <v>1.0686321063959006</v>
      </c>
      <c r="CZ48" s="123">
        <f t="shared" si="242"/>
        <v>-0.68849257550252763</v>
      </c>
      <c r="DA48" s="81">
        <f t="shared" si="253"/>
        <v>0.89197646262010211</v>
      </c>
      <c r="DB48" s="9">
        <f t="shared" si="104"/>
        <v>1002808.7830758439</v>
      </c>
      <c r="DD48" s="1">
        <f t="shared" si="105"/>
        <v>-0.56029244663751554</v>
      </c>
      <c r="DE48" s="114">
        <v>3149</v>
      </c>
      <c r="DF48" s="61">
        <v>1985</v>
      </c>
      <c r="DG48" s="26">
        <v>7.6142131979695434E-3</v>
      </c>
      <c r="DH48" s="26">
        <v>0.29512169725367693</v>
      </c>
      <c r="DI48" s="26">
        <v>0.6060236886632826</v>
      </c>
      <c r="DJ48" s="26">
        <v>8.8702329819081091E-2</v>
      </c>
      <c r="DK48" s="26">
        <v>2.5380710659898475E-3</v>
      </c>
      <c r="DL48" s="106">
        <v>3.149</v>
      </c>
      <c r="DM48" s="106">
        <v>0.98</v>
      </c>
      <c r="DN48" s="26">
        <v>-1.1672876494364071</v>
      </c>
      <c r="DO48" s="76">
        <f t="shared" si="107"/>
        <v>3.149</v>
      </c>
      <c r="DP48" s="119">
        <v>-0.64930613500000001</v>
      </c>
      <c r="DQ48" s="26">
        <v>0.70196238600000005</v>
      </c>
      <c r="DR48" s="26">
        <v>0.40926731999999999</v>
      </c>
      <c r="DS48" s="26">
        <v>-0.47767130699999999</v>
      </c>
      <c r="DT48" s="113" cm="1">
        <f t="array" ref="DT48">$DN$11+SUMPRODUCT(DP$11:$DS$11*DP48:DS48)</f>
        <v>1.444121244403761</v>
      </c>
      <c r="DU48" s="76">
        <f t="shared" si="254"/>
        <v>0.53336761471086502</v>
      </c>
      <c r="DV48" s="72">
        <f t="shared" si="179"/>
        <v>0.60834167658769811</v>
      </c>
      <c r="DW48" s="199">
        <v>50</v>
      </c>
      <c r="DX48" s="61">
        <v>43.325306559991631</v>
      </c>
      <c r="DY48" s="26">
        <v>0.42305018961951335</v>
      </c>
      <c r="DZ48" s="98">
        <f t="shared" si="213"/>
        <v>0.42301459877981229</v>
      </c>
      <c r="EA48" s="98">
        <f t="shared" si="214"/>
        <v>0.42301459877981229</v>
      </c>
      <c r="EB48" s="100">
        <f t="shared" si="188"/>
        <v>2377.0981653393674</v>
      </c>
      <c r="EC48" s="61">
        <v>5619.4234718993594</v>
      </c>
      <c r="EE48" s="72">
        <f t="shared" si="189"/>
        <v>3.3830314361639399E-2</v>
      </c>
      <c r="EF48">
        <v>1985</v>
      </c>
      <c r="EG48" s="110">
        <f t="shared" si="190"/>
        <v>0.42305018961951335</v>
      </c>
      <c r="EH48" s="97">
        <f t="shared" si="220"/>
        <v>20.159374186835393</v>
      </c>
      <c r="EI48" s="97">
        <f t="shared" si="238"/>
        <v>829.07144878203735</v>
      </c>
      <c r="EJ48" s="97">
        <f t="shared" si="243"/>
        <v>1501.1311137947778</v>
      </c>
      <c r="EK48" s="97">
        <f t="shared" si="246"/>
        <v>206.36951555305626</v>
      </c>
      <c r="EL48" s="97">
        <f t="shared" si="248"/>
        <v>4.9547905884906491</v>
      </c>
      <c r="EM48" s="111">
        <f t="shared" si="196"/>
        <v>2561.6862429051976</v>
      </c>
      <c r="EN48" s="200">
        <f t="shared" si="197"/>
        <v>50</v>
      </c>
      <c r="EO48" s="92">
        <f t="shared" si="198"/>
        <v>43.325306559991631</v>
      </c>
      <c r="EP48" s="92">
        <f t="shared" si="199"/>
        <v>1083.7218508067426</v>
      </c>
      <c r="EQ48" s="92">
        <f t="shared" si="239"/>
        <v>1177.0471573667342</v>
      </c>
      <c r="ER48" s="128">
        <f t="shared" si="201"/>
        <v>0.45948139067642019</v>
      </c>
      <c r="ES48" s="111">
        <f t="shared" si="240"/>
        <v>1384.6390855384634</v>
      </c>
      <c r="ET48" s="72">
        <f t="shared" si="203"/>
        <v>1.444121244403761</v>
      </c>
      <c r="EU48" s="96">
        <f t="shared" si="204"/>
        <v>1.7063439698098348</v>
      </c>
      <c r="EV48" s="92">
        <f t="shared" si="205"/>
        <v>1706.3439698098348</v>
      </c>
      <c r="EW48" s="120">
        <f t="shared" si="244"/>
        <v>-0.87704872899999997</v>
      </c>
      <c r="EX48" s="9">
        <f t="shared" si="184"/>
        <v>0.70196238600000005</v>
      </c>
      <c r="EY48" s="9">
        <f t="shared" si="185"/>
        <v>0.40926731999999999</v>
      </c>
      <c r="EZ48" s="9">
        <f t="shared" si="186"/>
        <v>-0.47767130699999999</v>
      </c>
      <c r="FA48" s="113" cm="1">
        <f t="array" ref="FA48">$DN$11+SUMPRODUCT($DP$11:$DS$11*EW48:EZ48)</f>
        <v>1.6246621804546819</v>
      </c>
      <c r="FB48">
        <v>1985</v>
      </c>
      <c r="FC48" s="116">
        <f t="shared" si="121"/>
        <v>919895.33040368161</v>
      </c>
      <c r="FD48" s="116">
        <f t="shared" si="255"/>
        <v>1644434.8479940284</v>
      </c>
      <c r="FE48" s="116">
        <f t="shared" si="159"/>
        <v>1839044</v>
      </c>
      <c r="FF48" s="116">
        <f t="shared" si="256"/>
        <v>1423341.4040403571</v>
      </c>
      <c r="FG48" s="5">
        <f t="shared" si="257"/>
        <v>221093.44395367126</v>
      </c>
      <c r="FH48" s="5">
        <f t="shared" si="155"/>
        <v>173515.42168928124</v>
      </c>
      <c r="FI48" s="155">
        <f t="shared" si="258"/>
        <v>0.1344495005219411</v>
      </c>
      <c r="FJ48" s="117">
        <f t="shared" si="127"/>
        <v>13.444950052194111</v>
      </c>
      <c r="FK48" s="61">
        <f t="shared" si="259"/>
        <v>7775.0525071201791</v>
      </c>
      <c r="FL48" s="61">
        <f t="shared" si="142"/>
        <v>211.50144600156722</v>
      </c>
      <c r="FM48" s="92">
        <f t="shared" si="128"/>
        <v>28.436263774579011</v>
      </c>
      <c r="FN48" s="72">
        <f t="shared" si="129"/>
        <v>0.1344495005219411</v>
      </c>
      <c r="FO48" s="179">
        <f t="shared" si="260"/>
        <v>0.94787545915263371</v>
      </c>
      <c r="FP48" s="92">
        <f t="shared" si="160"/>
        <v>20.885970542861873</v>
      </c>
      <c r="FQ48" s="1">
        <f t="shared" si="143"/>
        <v>0</v>
      </c>
      <c r="FR48" s="26">
        <f t="shared" si="130"/>
        <v>1.2341408827186904</v>
      </c>
      <c r="FS48">
        <f t="shared" si="261"/>
        <v>1985</v>
      </c>
      <c r="FT48" s="5">
        <f t="shared" si="241"/>
        <v>1639.3712095022393</v>
      </c>
      <c r="FU48" s="214">
        <f t="shared" si="262"/>
        <v>8988.6290947099533</v>
      </c>
      <c r="FV48" s="213">
        <f t="shared" si="131"/>
        <v>5180.1224285888547</v>
      </c>
      <c r="FW48" s="5">
        <f t="shared" si="132"/>
        <v>3808.5066661210985</v>
      </c>
      <c r="FX48" s="1">
        <f t="shared" si="133"/>
        <v>0.42370272774549189</v>
      </c>
      <c r="FY48">
        <f t="shared" si="263"/>
        <v>13647.156332738394</v>
      </c>
      <c r="FZ48" s="26">
        <f t="shared" si="134"/>
        <v>0.27906961518311385</v>
      </c>
      <c r="GA48" s="106">
        <f t="shared" si="264"/>
        <v>9.3023205061037954E-3</v>
      </c>
      <c r="GB48" s="61">
        <f t="shared" si="135"/>
        <v>1384.6390855384634</v>
      </c>
      <c r="GC48" s="61">
        <f t="shared" si="207"/>
        <v>2834.4021467654029</v>
      </c>
      <c r="GD48" s="61">
        <f t="shared" si="247"/>
        <v>4114.5648567925273</v>
      </c>
      <c r="GE48" s="61">
        <f t="shared" si="210"/>
        <v>1706.3439698098348</v>
      </c>
      <c r="GF48" s="61">
        <f t="shared" si="137"/>
        <v>1128.0581769555681</v>
      </c>
      <c r="GG48" s="61">
        <f t="shared" si="245"/>
        <v>1637.5476347333538</v>
      </c>
      <c r="GH48" s="6">
        <f t="shared" si="138"/>
        <v>0.39798804775917174</v>
      </c>
      <c r="GI48">
        <f t="shared" si="265"/>
        <v>9248.6922093424037</v>
      </c>
      <c r="GJ48" s="26">
        <f t="shared" si="208"/>
        <v>0.12196947972991036</v>
      </c>
      <c r="GK48">
        <f t="shared" si="266"/>
        <v>4.0656493243303457E-3</v>
      </c>
      <c r="GL48" s="232">
        <f t="shared" si="140"/>
        <v>1.2341408827186904</v>
      </c>
      <c r="GY48">
        <v>1985</v>
      </c>
      <c r="GZ48" s="112">
        <f t="shared" si="267"/>
        <v>0.85440553806761843</v>
      </c>
      <c r="HA48" s="112">
        <f t="shared" si="268"/>
        <v>1.444121244403761</v>
      </c>
      <c r="HB48" s="112">
        <f t="shared" si="269"/>
        <v>2.4094346460236844</v>
      </c>
    </row>
    <row r="49" spans="1:210" x14ac:dyDescent="0.35">
      <c r="A49">
        <v>1986</v>
      </c>
      <c r="D49" s="80">
        <f>'SR + catch data Murdoch_age var'!C38</f>
        <v>997327</v>
      </c>
      <c r="E49" s="80">
        <f>'SR + catch data Murdoch_age var'!E38</f>
        <v>1522545.2624981394</v>
      </c>
      <c r="F49" s="231">
        <f t="shared" si="63"/>
        <v>0.4230600280662542</v>
      </c>
      <c r="G49" s="80">
        <f>'SR + catch data Murdoch_age var'!D38</f>
        <v>1580868</v>
      </c>
      <c r="H49" s="80">
        <f>'Orig data'!Q40</f>
        <v>1580868</v>
      </c>
      <c r="I49" s="80">
        <f t="shared" si="64"/>
        <v>583541</v>
      </c>
      <c r="J49" s="150">
        <f t="shared" si="65"/>
        <v>0.36912696063175421</v>
      </c>
      <c r="K49" s="83">
        <f>'SR + catch data Murdoch_age var'!CM38</f>
        <v>0.86363593104462899</v>
      </c>
      <c r="L49" s="83">
        <f>'SR + catch data Murdoch_age var'!CN38</f>
        <v>1.133576781203731</v>
      </c>
      <c r="M49" s="84">
        <f>'SR + catch data Murdoch_age var'!CO38</f>
        <v>1443609.0022895383</v>
      </c>
      <c r="N49" s="81">
        <f t="shared" si="66"/>
        <v>5.3237219455822618E-2</v>
      </c>
      <c r="O49" s="82">
        <f t="shared" si="67"/>
        <v>1986</v>
      </c>
      <c r="P49" s="81">
        <f t="shared" si="270"/>
        <v>0.10741516534518507</v>
      </c>
      <c r="Q49" s="81">
        <f t="shared" si="270"/>
        <v>0.75930233821489568</v>
      </c>
      <c r="R49" s="81">
        <f t="shared" si="270"/>
        <v>0.13183604264117066</v>
      </c>
      <c r="S49" s="85">
        <f t="shared" si="270"/>
        <v>1.4464537987485602E-3</v>
      </c>
      <c r="T49" s="80">
        <f t="shared" si="144"/>
        <v>169809.19760891201</v>
      </c>
      <c r="U49" s="80">
        <f t="shared" si="145"/>
        <v>1200356.7688091057</v>
      </c>
      <c r="V49" s="80">
        <f t="shared" si="146"/>
        <v>208415.38105806216</v>
      </c>
      <c r="W49" s="80">
        <f t="shared" si="147"/>
        <v>2286.6525239200391</v>
      </c>
      <c r="X49" s="86">
        <f t="shared" si="73"/>
        <v>1986</v>
      </c>
      <c r="Y49" s="79">
        <f t="shared" si="149"/>
        <v>72305.406135321697</v>
      </c>
      <c r="Z49" s="79">
        <f t="shared" si="152"/>
        <v>1110721.4166471844</v>
      </c>
      <c r="AA49" s="79">
        <f t="shared" si="156"/>
        <v>220341.00318171756</v>
      </c>
      <c r="AB49" s="79">
        <f t="shared" si="161"/>
        <v>1100.0825919343458</v>
      </c>
      <c r="AC49" s="80">
        <f t="shared" si="78"/>
        <v>1404467.908556158</v>
      </c>
      <c r="AD49" s="84">
        <f t="shared" si="79"/>
        <v>176400.09144384204</v>
      </c>
      <c r="AE49" s="80">
        <f t="shared" si="80"/>
        <v>583541</v>
      </c>
      <c r="AF49" s="72">
        <f t="shared" si="81"/>
        <v>0.41548902359748507</v>
      </c>
      <c r="AG49" s="26">
        <f t="shared" si="82"/>
        <v>4.6362062965730866E-2</v>
      </c>
      <c r="AH49" s="61">
        <f t="shared" si="249"/>
        <v>1986</v>
      </c>
      <c r="AI49" s="26">
        <f t="shared" si="15"/>
        <v>0.41548902359748507</v>
      </c>
      <c r="AJ49" s="75">
        <f t="shared" si="150"/>
        <v>141970.77375503725</v>
      </c>
      <c r="AK49" s="75">
        <f t="shared" si="153"/>
        <v>620904.53980460251</v>
      </c>
      <c r="AL49" s="75">
        <f t="shared" si="157"/>
        <v>206267.90946175772</v>
      </c>
      <c r="AM49" s="75">
        <f t="shared" si="162"/>
        <v>358.73750014033106</v>
      </c>
      <c r="AN49" s="79">
        <f t="shared" si="84"/>
        <v>969501.96052153781</v>
      </c>
      <c r="AO49" s="80">
        <f t="shared" si="85"/>
        <v>402817.42295294127</v>
      </c>
      <c r="AP49" s="80">
        <f t="shared" si="86"/>
        <v>566684.53756859654</v>
      </c>
      <c r="AQ49" s="81">
        <v>-1.2712216938226724</v>
      </c>
      <c r="AR49" s="81">
        <v>0.28528694635241914</v>
      </c>
      <c r="AS49" s="81">
        <f>'SR + catch data Murdoch_age var'!N38</f>
        <v>1.8583222336362195</v>
      </c>
      <c r="AT49" s="121">
        <f>'SR + catch data Murdoch_age var'!BR38</f>
        <v>-0.49958460082961131</v>
      </c>
      <c r="AU49" s="122">
        <f t="shared" si="250"/>
        <v>0.86363593104462888</v>
      </c>
      <c r="AV49" s="122">
        <f t="shared" si="88"/>
        <v>0.36982280861043149</v>
      </c>
      <c r="AW49" s="115">
        <f t="shared" si="251"/>
        <v>1117055.597467433</v>
      </c>
      <c r="AX49" s="115"/>
      <c r="AY49" s="141">
        <f t="shared" si="89"/>
        <v>-0.39766486025416697</v>
      </c>
      <c r="AZ49" s="141"/>
      <c r="BA49" s="84">
        <v>2330</v>
      </c>
      <c r="BB49" s="101">
        <v>1986</v>
      </c>
      <c r="BC49" s="72">
        <v>3.5750695088044487E-2</v>
      </c>
      <c r="BD49" s="72">
        <v>0.8358758109360519</v>
      </c>
      <c r="BE49" s="72">
        <v>0.11956904541241889</v>
      </c>
      <c r="BF49" s="72">
        <v>8.3410565338276187E-3</v>
      </c>
      <c r="BG49" s="72">
        <v>4.6339202965708991E-4</v>
      </c>
      <c r="BH49" s="76">
        <v>2.33</v>
      </c>
      <c r="BI49" s="76">
        <v>2.2690000000000001</v>
      </c>
      <c r="BJ49" s="72">
        <f t="shared" si="215"/>
        <v>-2.6529061779904519E-2</v>
      </c>
      <c r="BK49">
        <v>2.33</v>
      </c>
      <c r="BL49" s="120">
        <v>-0.64930613500000001</v>
      </c>
      <c r="BM49" s="125">
        <v>-1.350999694</v>
      </c>
      <c r="BN49" s="4">
        <v>0.40926731999999999</v>
      </c>
      <c r="BO49" s="98">
        <f t="shared" si="221"/>
        <v>2.3267851175467249</v>
      </c>
      <c r="BP49" s="98">
        <f t="shared" si="216"/>
        <v>3.6631044501914083</v>
      </c>
      <c r="BQ49" s="99">
        <f t="shared" si="217"/>
        <v>-0.47897179252319916</v>
      </c>
      <c r="BR49" s="200">
        <v>50</v>
      </c>
      <c r="BS49" s="100">
        <v>1141.9318000954959</v>
      </c>
      <c r="BT49" s="98">
        <v>0.42305018961951335</v>
      </c>
      <c r="BU49" s="98">
        <f t="shared" si="222"/>
        <v>0.42305018961951335</v>
      </c>
      <c r="BV49" s="99">
        <f t="shared" si="92"/>
        <v>0.42305018961951335</v>
      </c>
      <c r="BW49" s="100">
        <f t="shared" si="218"/>
        <v>2582.4671211431705</v>
      </c>
      <c r="BX49" s="100">
        <v>6104.3989212386659</v>
      </c>
      <c r="BY49" s="99" t="e">
        <f>NA()</f>
        <v>#N/A</v>
      </c>
      <c r="BZ49" s="89" t="e">
        <f>NA()</f>
        <v>#N/A</v>
      </c>
      <c r="CA49" s="78">
        <v>1986</v>
      </c>
      <c r="CB49" s="90">
        <f t="shared" si="223"/>
        <v>0.42305018961951335</v>
      </c>
      <c r="CC49" s="97">
        <f t="shared" si="252"/>
        <v>177.91911004384966</v>
      </c>
      <c r="CD49" s="97">
        <f t="shared" si="271"/>
        <v>3632.0903381543794</v>
      </c>
      <c r="CE49" s="97">
        <f t="shared" si="272"/>
        <v>649.18381776202591</v>
      </c>
      <c r="CF49" s="97">
        <f t="shared" ref="CF49:CF103" si="273">CQ42*1000*BF49</f>
        <v>37.230049235285819</v>
      </c>
      <c r="CG49" s="97">
        <f>$CQ41*1000*BG49</f>
        <v>2.0142074577569722</v>
      </c>
      <c r="CH49" s="92">
        <f t="shared" si="224"/>
        <v>4498.4375226532984</v>
      </c>
      <c r="CI49" s="200">
        <f t="shared" si="225"/>
        <v>50</v>
      </c>
      <c r="CJ49" s="92">
        <f t="shared" si="226"/>
        <v>1141.9318000954959</v>
      </c>
      <c r="CK49" s="92">
        <f t="shared" si="227"/>
        <v>1903.0648469500118</v>
      </c>
      <c r="CL49" s="92">
        <f t="shared" si="228"/>
        <v>3094.9966470455074</v>
      </c>
      <c r="CM49" s="72">
        <f t="shared" si="229"/>
        <v>1.9265056023775526E-2</v>
      </c>
      <c r="CN49" s="128">
        <f t="shared" si="230"/>
        <v>0.68801592363118913</v>
      </c>
      <c r="CO49" s="111">
        <f t="shared" si="231"/>
        <v>1403.440875607791</v>
      </c>
      <c r="CP49" s="72">
        <f t="shared" si="232"/>
        <v>2.3267851175467249</v>
      </c>
      <c r="CQ49" s="96">
        <f t="shared" si="233"/>
        <v>5.6511503860034233</v>
      </c>
      <c r="CR49" s="92">
        <f t="shared" si="234"/>
        <v>5651.1503860034236</v>
      </c>
      <c r="CS49" s="120">
        <f t="shared" si="235"/>
        <v>-0.90461819600000004</v>
      </c>
      <c r="CT49" s="72">
        <f t="shared" si="97"/>
        <v>-1.350999694</v>
      </c>
      <c r="CU49" s="72">
        <f t="shared" si="236"/>
        <v>0.40926731999999999</v>
      </c>
      <c r="CV49" s="104">
        <f t="shared" si="237"/>
        <v>2.5219144265222866</v>
      </c>
      <c r="CW49" s="105">
        <f t="shared" si="99"/>
        <v>-1.2712216938226724</v>
      </c>
      <c r="CX49" s="105">
        <f t="shared" si="100"/>
        <v>0.28528694635241914</v>
      </c>
      <c r="CY49" s="105">
        <f t="shared" si="101"/>
        <v>1.8583222336362195</v>
      </c>
      <c r="CZ49" s="123">
        <f t="shared" si="242"/>
        <v>-0.68849257550252763</v>
      </c>
      <c r="DA49" s="81">
        <f t="shared" si="253"/>
        <v>0.90599784255530014</v>
      </c>
      <c r="DB49" s="9">
        <f t="shared" si="104"/>
        <v>1117055.597467433</v>
      </c>
      <c r="DD49" s="1">
        <f t="shared" si="105"/>
        <v>-0.2612139887363531</v>
      </c>
      <c r="DE49" s="114">
        <v>1992</v>
      </c>
      <c r="DF49" s="61">
        <v>1986</v>
      </c>
      <c r="DG49" s="26">
        <v>7.6142131979695434E-3</v>
      </c>
      <c r="DH49" s="26">
        <v>0.29512169725367693</v>
      </c>
      <c r="DI49" s="26">
        <v>0.6060236886632826</v>
      </c>
      <c r="DJ49" s="26">
        <v>8.8702329819081091E-2</v>
      </c>
      <c r="DK49" s="26">
        <v>2.5380710659898475E-3</v>
      </c>
      <c r="DL49" s="106">
        <v>1.992</v>
      </c>
      <c r="DM49" s="106">
        <v>1.2350000000000001</v>
      </c>
      <c r="DN49" s="26">
        <v>-0.4780681890824659</v>
      </c>
      <c r="DO49" s="76">
        <f t="shared" si="107"/>
        <v>1.992</v>
      </c>
      <c r="DP49" s="119">
        <v>-0.61096192699999996</v>
      </c>
      <c r="DQ49" s="26">
        <v>6.3574677999999996E-2</v>
      </c>
      <c r="DR49" s="26">
        <v>-0.205682693</v>
      </c>
      <c r="DS49" s="26">
        <v>-1.3169924159999999</v>
      </c>
      <c r="DT49" s="113" cm="1">
        <f t="array" ref="DT49">$DN$11+SUMPRODUCT(DP$11:$DS$11*DP49:DS49)</f>
        <v>1.2314724516403679</v>
      </c>
      <c r="DU49" s="76">
        <f t="shared" si="254"/>
        <v>0.89034708386541273</v>
      </c>
      <c r="DV49" s="72">
        <f t="shared" si="179"/>
        <v>0.32721488048780734</v>
      </c>
      <c r="DW49" s="199">
        <v>50</v>
      </c>
      <c r="DX49" s="61">
        <v>53.38805657960102</v>
      </c>
      <c r="DY49" s="26">
        <v>0.42305018961951335</v>
      </c>
      <c r="DZ49" s="98">
        <f t="shared" si="213"/>
        <v>0.42305018961951335</v>
      </c>
      <c r="EA49" s="98">
        <f t="shared" si="214"/>
        <v>0.42305018961951335</v>
      </c>
      <c r="EB49" s="100">
        <f t="shared" si="188"/>
        <v>1536.4496160902891</v>
      </c>
      <c r="EC49" s="61">
        <v>3631.8376726698903</v>
      </c>
      <c r="EE49" s="72">
        <f t="shared" si="189"/>
        <v>3.1745028179535908E-2</v>
      </c>
      <c r="EF49">
        <v>1986</v>
      </c>
      <c r="EG49" s="110">
        <f t="shared" si="190"/>
        <v>0.42305018961951335</v>
      </c>
      <c r="EH49" s="97">
        <f t="shared" si="220"/>
        <v>20.500389093757306</v>
      </c>
      <c r="EI49" s="97">
        <f t="shared" si="238"/>
        <v>781.36355929426168</v>
      </c>
      <c r="EJ49" s="97">
        <f t="shared" si="243"/>
        <v>1702.4737328086851</v>
      </c>
      <c r="EK49" s="97">
        <f t="shared" si="246"/>
        <v>219.71719859863683</v>
      </c>
      <c r="EL49" s="97">
        <f t="shared" si="248"/>
        <v>5.9049237759128346</v>
      </c>
      <c r="EM49" s="111">
        <f t="shared" si="196"/>
        <v>2729.9598035712538</v>
      </c>
      <c r="EN49" s="200">
        <f t="shared" si="197"/>
        <v>50</v>
      </c>
      <c r="EO49" s="92">
        <f t="shared" si="198"/>
        <v>53.38805657960102</v>
      </c>
      <c r="EP49" s="92">
        <f t="shared" si="199"/>
        <v>1154.9100125544683</v>
      </c>
      <c r="EQ49" s="92">
        <f t="shared" si="239"/>
        <v>1258.2980691340692</v>
      </c>
      <c r="ER49" s="128">
        <f t="shared" si="201"/>
        <v>0.46092183023647471</v>
      </c>
      <c r="ES49" s="111">
        <f t="shared" si="240"/>
        <v>1471.6617344371846</v>
      </c>
      <c r="ET49" s="72">
        <f t="shared" si="203"/>
        <v>1.2314724516403679</v>
      </c>
      <c r="EU49" s="96">
        <f t="shared" si="204"/>
        <v>1.3827525685265083</v>
      </c>
      <c r="EV49" s="92">
        <f t="shared" si="205"/>
        <v>1382.7525685265082</v>
      </c>
      <c r="EW49" s="120">
        <f t="shared" si="244"/>
        <v>-0.87704872899999997</v>
      </c>
      <c r="EX49" s="9">
        <f t="shared" si="184"/>
        <v>6.3574677999999996E-2</v>
      </c>
      <c r="EY49" s="9">
        <f t="shared" si="185"/>
        <v>-0.205682693</v>
      </c>
      <c r="EZ49" s="9">
        <f t="shared" si="186"/>
        <v>-1.3169924159999999</v>
      </c>
      <c r="FA49" s="113" cm="1">
        <f t="array" ref="FA49">$DN$11+SUMPRODUCT($DP$11:$DS$11*EW49:EZ49)</f>
        <v>1.4424104209509137</v>
      </c>
      <c r="FB49">
        <v>1986</v>
      </c>
      <c r="FC49" s="116">
        <f t="shared" si="121"/>
        <v>566684.53756859654</v>
      </c>
      <c r="FD49" s="116">
        <f t="shared" si="255"/>
        <v>1223662.7709588378</v>
      </c>
      <c r="FE49" s="116">
        <f t="shared" si="159"/>
        <v>1580868</v>
      </c>
      <c r="FF49" s="116">
        <f t="shared" si="256"/>
        <v>1059141.9225961275</v>
      </c>
      <c r="FG49" s="5">
        <f t="shared" si="257"/>
        <v>164520.84836271033</v>
      </c>
      <c r="FH49" s="5">
        <f t="shared" si="155"/>
        <v>87648.4529135091</v>
      </c>
      <c r="FI49" s="155">
        <f t="shared" si="258"/>
        <v>0.13444950052194124</v>
      </c>
      <c r="FJ49" s="117">
        <f t="shared" si="127"/>
        <v>13.444950052194123</v>
      </c>
      <c r="FK49" s="61">
        <f t="shared" si="259"/>
        <v>7775.0525071201791</v>
      </c>
      <c r="FL49" s="61">
        <f t="shared" si="142"/>
        <v>157.38321636262148</v>
      </c>
      <c r="FM49" s="92">
        <f t="shared" si="128"/>
        <v>21.160094830491069</v>
      </c>
      <c r="FN49" s="72">
        <f t="shared" si="129"/>
        <v>0.13444950052194124</v>
      </c>
      <c r="FO49" s="179">
        <f t="shared" si="260"/>
        <v>0.70533649434970225</v>
      </c>
      <c r="FP49" s="92">
        <f t="shared" si="160"/>
        <v>23.55488035665789</v>
      </c>
      <c r="FQ49" s="1">
        <f t="shared" si="143"/>
        <v>0</v>
      </c>
      <c r="FR49" s="26">
        <f t="shared" si="130"/>
        <v>1.2341408827186904</v>
      </c>
      <c r="FS49">
        <f t="shared" si="261"/>
        <v>1986</v>
      </c>
      <c r="FT49" s="5">
        <f t="shared" si="241"/>
        <v>1403.440875607791</v>
      </c>
      <c r="FU49" s="214">
        <f t="shared" si="262"/>
        <v>9968.6190516707175</v>
      </c>
      <c r="FV49" s="213">
        <f t="shared" si="131"/>
        <v>5744.8879676221568</v>
      </c>
      <c r="FW49" s="5">
        <f t="shared" si="132"/>
        <v>4223.7310840485607</v>
      </c>
      <c r="FX49" s="1">
        <f t="shared" si="133"/>
        <v>0.42370272774549178</v>
      </c>
      <c r="FY49">
        <f t="shared" si="263"/>
        <v>14180.627272551959</v>
      </c>
      <c r="FZ49" s="26">
        <f t="shared" si="134"/>
        <v>0.29785220377550015</v>
      </c>
      <c r="GA49" s="106">
        <f t="shared" si="264"/>
        <v>9.9284067925166711E-3</v>
      </c>
      <c r="GB49" s="61">
        <f t="shared" si="135"/>
        <v>1471.6617344371846</v>
      </c>
      <c r="GC49" s="61">
        <f t="shared" si="207"/>
        <v>2296.8855740813488</v>
      </c>
      <c r="GD49" s="61">
        <f t="shared" si="247"/>
        <v>4666.4402104882802</v>
      </c>
      <c r="GE49" s="61">
        <f t="shared" si="210"/>
        <v>1382.7525685265084</v>
      </c>
      <c r="GF49" s="61">
        <f t="shared" si="137"/>
        <v>914.13300555484034</v>
      </c>
      <c r="GG49" s="61">
        <f t="shared" si="245"/>
        <v>1857.1874293571286</v>
      </c>
      <c r="GH49" s="6">
        <f t="shared" si="138"/>
        <v>0.39798804775917168</v>
      </c>
      <c r="GI49">
        <f t="shared" si="265"/>
        <v>9248.6922093424037</v>
      </c>
      <c r="GJ49" s="26">
        <f t="shared" si="208"/>
        <v>9.8839163944870495E-2</v>
      </c>
      <c r="GK49">
        <f t="shared" si="266"/>
        <v>3.2946387981623499E-3</v>
      </c>
      <c r="GL49" s="232">
        <f t="shared" si="140"/>
        <v>1.2341408827186904</v>
      </c>
      <c r="GY49">
        <v>1986</v>
      </c>
      <c r="GZ49" s="112">
        <f t="shared" si="267"/>
        <v>0.86363593104462888</v>
      </c>
      <c r="HA49" s="112">
        <f t="shared" si="268"/>
        <v>1.2314724516403679</v>
      </c>
      <c r="HB49" s="112">
        <f t="shared" si="269"/>
        <v>2.5219144265222866</v>
      </c>
    </row>
    <row r="50" spans="1:210" x14ac:dyDescent="0.35">
      <c r="A50">
        <v>1987</v>
      </c>
      <c r="D50" s="80">
        <f>'SR + catch data Murdoch_age var'!C39</f>
        <v>363671</v>
      </c>
      <c r="E50" s="80">
        <f>'SR + catch data Murdoch_age var'!E39</f>
        <v>1482704.3872326303</v>
      </c>
      <c r="F50" s="231">
        <f t="shared" si="63"/>
        <v>1.4053733752002293</v>
      </c>
      <c r="G50" s="80">
        <f>'SR + catch data Murdoch_age var'!D39</f>
        <v>481076</v>
      </c>
      <c r="H50" s="80">
        <f>'Orig data'!Q41</f>
        <v>481076</v>
      </c>
      <c r="I50" s="80">
        <f t="shared" si="64"/>
        <v>117405</v>
      </c>
      <c r="J50" s="150">
        <f t="shared" si="65"/>
        <v>0.24404667869525812</v>
      </c>
      <c r="K50" s="83">
        <f>'SR + catch data Murdoch_age var'!CM39</f>
        <v>1.1577683430304049</v>
      </c>
      <c r="L50" s="83">
        <f>'SR + catch data Murdoch_age var'!CN39</f>
        <v>1.1267444033355243</v>
      </c>
      <c r="M50" s="84">
        <f>'SR + catch data Murdoch_age var'!CO39</f>
        <v>966760.82246281463</v>
      </c>
      <c r="N50" s="81">
        <f t="shared" si="66"/>
        <v>0.42767186285701847</v>
      </c>
      <c r="O50" s="82">
        <f t="shared" si="67"/>
        <v>1987</v>
      </c>
      <c r="P50" s="81">
        <f t="shared" si="270"/>
        <v>0.10741516534518507</v>
      </c>
      <c r="Q50" s="81">
        <f t="shared" si="270"/>
        <v>0.75930233821489568</v>
      </c>
      <c r="R50" s="81">
        <f t="shared" si="270"/>
        <v>0.13183604264117066</v>
      </c>
      <c r="S50" s="85">
        <f t="shared" si="270"/>
        <v>1.4464537987485602E-3</v>
      </c>
      <c r="T50" s="80">
        <f t="shared" si="144"/>
        <v>51674.858083600251</v>
      </c>
      <c r="U50" s="80">
        <f t="shared" si="145"/>
        <v>365282.13165906916</v>
      </c>
      <c r="V50" s="80">
        <f t="shared" si="146"/>
        <v>63423.156049643818</v>
      </c>
      <c r="W50" s="80">
        <f t="shared" si="147"/>
        <v>695.85420768676238</v>
      </c>
      <c r="X50" s="86">
        <f t="shared" si="73"/>
        <v>1987</v>
      </c>
      <c r="Y50" s="79">
        <f t="shared" si="149"/>
        <v>105724.42512467581</v>
      </c>
      <c r="Z50" s="79">
        <f t="shared" si="152"/>
        <v>511116.50545523671</v>
      </c>
      <c r="AA50" s="79">
        <f t="shared" si="156"/>
        <v>192852.18637917141</v>
      </c>
      <c r="AB50" s="79">
        <f t="shared" si="161"/>
        <v>2417.4958128842841</v>
      </c>
      <c r="AC50" s="80">
        <f t="shared" si="78"/>
        <v>812110.61277196824</v>
      </c>
      <c r="AD50" s="84">
        <f t="shared" si="79"/>
        <v>-331034.61277196824</v>
      </c>
      <c r="AE50" s="80">
        <f t="shared" si="80"/>
        <v>117405</v>
      </c>
      <c r="AF50" s="72">
        <f t="shared" si="81"/>
        <v>0.14456774502584421</v>
      </c>
      <c r="AG50" s="26">
        <f t="shared" si="82"/>
        <v>-9.9478933669413905E-2</v>
      </c>
      <c r="AH50" s="61">
        <f t="shared" si="249"/>
        <v>1987</v>
      </c>
      <c r="AI50" s="26">
        <f t="shared" si="15"/>
        <v>0.14456774502584421</v>
      </c>
      <c r="AJ50" s="75">
        <f t="shared" si="150"/>
        <v>102378.20048780162</v>
      </c>
      <c r="AK50" s="75">
        <f t="shared" si="153"/>
        <v>1003570.9587557773</v>
      </c>
      <c r="AL50" s="75">
        <f t="shared" si="157"/>
        <v>107806.32860715476</v>
      </c>
      <c r="AM50" s="75">
        <f t="shared" si="162"/>
        <v>2263.0913005553962</v>
      </c>
      <c r="AN50" s="79">
        <f t="shared" si="84"/>
        <v>1216018.5791512893</v>
      </c>
      <c r="AO50" s="80">
        <f t="shared" si="85"/>
        <v>175797.06389743296</v>
      </c>
      <c r="AP50" s="80">
        <f t="shared" si="86"/>
        <v>1040221.5152538563</v>
      </c>
      <c r="AQ50" s="81">
        <v>0.27969825456171127</v>
      </c>
      <c r="AR50" s="81">
        <v>0.85361448514897043</v>
      </c>
      <c r="AS50" s="81">
        <f>'SR + catch data Murdoch_age var'!N39</f>
        <v>0.90030342137888497</v>
      </c>
      <c r="AT50" s="121">
        <f>'SR + catch data Murdoch_age var'!BR39</f>
        <v>-0.45567869652766718</v>
      </c>
      <c r="AU50" s="122">
        <f t="shared" si="250"/>
        <v>1.1577683430304049</v>
      </c>
      <c r="AV50" s="122">
        <f t="shared" si="88"/>
        <v>0.97770151234321101</v>
      </c>
      <c r="AW50" s="115">
        <f t="shared" si="251"/>
        <v>3196414.6870714906</v>
      </c>
      <c r="AX50" s="115"/>
      <c r="AY50" s="141">
        <f t="shared" si="89"/>
        <v>0.60277466750941544</v>
      </c>
      <c r="AZ50" s="141"/>
      <c r="BA50" s="84">
        <v>1680</v>
      </c>
      <c r="BB50" s="101">
        <v>1987</v>
      </c>
      <c r="BC50" s="72">
        <v>3.5750695088044487E-2</v>
      </c>
      <c r="BD50" s="72">
        <v>0.8358758109360519</v>
      </c>
      <c r="BE50" s="72">
        <v>0.11956904541241889</v>
      </c>
      <c r="BF50" s="72">
        <v>8.3410565338276187E-3</v>
      </c>
      <c r="BG50" s="72">
        <v>4.6339202965708991E-4</v>
      </c>
      <c r="BH50" s="76">
        <v>1.68</v>
      </c>
      <c r="BI50" s="76">
        <v>2.0659999999999998</v>
      </c>
      <c r="BJ50" s="72">
        <f t="shared" si="215"/>
        <v>0.20682057728227912</v>
      </c>
      <c r="BK50">
        <v>1.68</v>
      </c>
      <c r="BL50" s="120">
        <v>-0.61096192699999996</v>
      </c>
      <c r="BM50" s="125">
        <v>0.70196238600000005</v>
      </c>
      <c r="BN50" s="4">
        <v>-0.205682693</v>
      </c>
      <c r="BO50" s="98">
        <f t="shared" si="221"/>
        <v>1.9044965702422374</v>
      </c>
      <c r="BP50" s="98">
        <f t="shared" si="216"/>
        <v>2.9207288522154027</v>
      </c>
      <c r="BQ50" s="99">
        <f t="shared" si="217"/>
        <v>-0.34621882135920162</v>
      </c>
      <c r="BR50" s="200">
        <v>50</v>
      </c>
      <c r="BS50" s="100">
        <v>80.742851079632871</v>
      </c>
      <c r="BT50" s="98">
        <v>0.42305018961951335</v>
      </c>
      <c r="BU50" s="98">
        <f t="shared" si="222"/>
        <v>0.42305018961951318</v>
      </c>
      <c r="BV50" s="99">
        <f t="shared" si="92"/>
        <v>0.42305018961951318</v>
      </c>
      <c r="BW50" s="100">
        <f t="shared" si="218"/>
        <v>1327.7326601359518</v>
      </c>
      <c r="BX50" s="100">
        <v>3138.4755112155849</v>
      </c>
      <c r="BY50" s="99" t="e">
        <f>NA()</f>
        <v>#N/A</v>
      </c>
      <c r="BZ50" s="89" t="e">
        <f>NA()</f>
        <v>#N/A</v>
      </c>
      <c r="CA50" s="78">
        <v>1987</v>
      </c>
      <c r="CB50" s="90">
        <f t="shared" si="223"/>
        <v>0.42305018961951318</v>
      </c>
      <c r="CC50" s="97">
        <f t="shared" si="252"/>
        <v>166.8904942259565</v>
      </c>
      <c r="CD50" s="97">
        <f t="shared" si="271"/>
        <v>4159.8710185262071</v>
      </c>
      <c r="CE50" s="97">
        <f t="shared" si="272"/>
        <v>519.55753343125946</v>
      </c>
      <c r="CF50" s="97">
        <f t="shared" si="273"/>
        <v>45.286628375446533</v>
      </c>
      <c r="CG50" s="97">
        <f t="shared" ref="CG50:CG103" si="274">$CQ42*1000*BG50</f>
        <v>2.0683360686269898</v>
      </c>
      <c r="CH50" s="92">
        <f t="shared" si="224"/>
        <v>4893.6740106274974</v>
      </c>
      <c r="CI50" s="200">
        <f t="shared" si="225"/>
        <v>50</v>
      </c>
      <c r="CJ50" s="92">
        <f t="shared" si="226"/>
        <v>80.742851079632871</v>
      </c>
      <c r="CK50" s="92">
        <f t="shared" si="227"/>
        <v>2070.2697181320464</v>
      </c>
      <c r="CL50" s="92">
        <f t="shared" si="228"/>
        <v>2201.0125692116794</v>
      </c>
      <c r="CM50" s="72">
        <f t="shared" si="229"/>
        <v>1.7709118078802578E-2</v>
      </c>
      <c r="CN50" s="128">
        <f t="shared" si="230"/>
        <v>0.44976689588063751</v>
      </c>
      <c r="CO50" s="111">
        <f t="shared" si="231"/>
        <v>2692.661441415818</v>
      </c>
      <c r="CP50" s="72">
        <f t="shared" si="232"/>
        <v>1.9044965702422374</v>
      </c>
      <c r="CQ50" s="96">
        <f t="shared" si="233"/>
        <v>2.5944648465231439</v>
      </c>
      <c r="CR50" s="92">
        <f t="shared" si="234"/>
        <v>2594.4648465231439</v>
      </c>
      <c r="CS50" s="120">
        <f t="shared" si="235"/>
        <v>-0.90461819600000004</v>
      </c>
      <c r="CT50" s="72">
        <f t="shared" si="97"/>
        <v>0.70196238600000005</v>
      </c>
      <c r="CU50" s="72">
        <f t="shared" si="236"/>
        <v>-0.205682693</v>
      </c>
      <c r="CV50" s="104">
        <f t="shared" si="237"/>
        <v>2.1289315014471195</v>
      </c>
      <c r="CW50" s="105">
        <f t="shared" si="99"/>
        <v>0.27969825456171127</v>
      </c>
      <c r="CX50" s="105">
        <f t="shared" si="100"/>
        <v>0.85361448514897043</v>
      </c>
      <c r="CY50" s="105">
        <f t="shared" si="101"/>
        <v>0.90030342137888497</v>
      </c>
      <c r="CZ50" s="123">
        <f t="shared" si="242"/>
        <v>-0.68849257550252763</v>
      </c>
      <c r="DA50" s="81">
        <f t="shared" si="253"/>
        <v>1.2099759904664933</v>
      </c>
      <c r="DB50" s="9">
        <f t="shared" si="104"/>
        <v>3196414.6870714906</v>
      </c>
      <c r="DD50" s="1">
        <f t="shared" si="105"/>
        <v>-0.37179225149769063</v>
      </c>
      <c r="DE50" s="114">
        <v>2328</v>
      </c>
      <c r="DF50" s="61">
        <v>1987</v>
      </c>
      <c r="DG50" s="26">
        <v>7.6142131979695434E-3</v>
      </c>
      <c r="DH50" s="26">
        <v>0.29512169725367693</v>
      </c>
      <c r="DI50" s="26">
        <v>0.6060236886632826</v>
      </c>
      <c r="DJ50" s="26">
        <v>8.8702329819081091E-2</v>
      </c>
      <c r="DK50" s="26">
        <v>2.5380710659898475E-3</v>
      </c>
      <c r="DL50" s="106">
        <v>2.3279999999999998</v>
      </c>
      <c r="DM50" s="106">
        <v>1.8819999999999999</v>
      </c>
      <c r="DN50" s="26">
        <v>-0.21267448870600347</v>
      </c>
      <c r="DO50" s="76">
        <f t="shared" si="107"/>
        <v>2.3279999999999998</v>
      </c>
      <c r="DP50" s="119">
        <v>-0.57091291799999999</v>
      </c>
      <c r="DQ50" s="26">
        <v>-0.33903293800000001</v>
      </c>
      <c r="DR50" s="26">
        <v>-0.17312651500000001</v>
      </c>
      <c r="DS50" s="26">
        <v>0.40459181300000002</v>
      </c>
      <c r="DT50" s="113" cm="1">
        <f t="array" ref="DT50">$DN$11+SUMPRODUCT(DP$11:$DS$11*DP50:DS50)</f>
        <v>1.6051818868973244</v>
      </c>
      <c r="DU50" s="76">
        <f t="shared" si="254"/>
        <v>1.0723867496324822</v>
      </c>
      <c r="DV50" s="72">
        <f t="shared" si="179"/>
        <v>0.56244826966693928</v>
      </c>
      <c r="DW50" s="199">
        <v>50</v>
      </c>
      <c r="DX50" s="61">
        <v>31.454388579496428</v>
      </c>
      <c r="DY50" s="26">
        <v>0.42305018961951335</v>
      </c>
      <c r="DZ50" s="98">
        <f t="shared" si="213"/>
        <v>0.42305018961951324</v>
      </c>
      <c r="EA50" s="98">
        <f t="shared" si="214"/>
        <v>0.42305018961951324</v>
      </c>
      <c r="EB50" s="100">
        <f t="shared" si="188"/>
        <v>1766.7397018397551</v>
      </c>
      <c r="EC50" s="61">
        <v>4176.1940904192516</v>
      </c>
      <c r="EE50" s="72">
        <f t="shared" si="189"/>
        <v>3.2385055153431215E-2</v>
      </c>
      <c r="EF50">
        <v>1987</v>
      </c>
      <c r="EG50" s="110">
        <f t="shared" si="190"/>
        <v>0.42305018961951335</v>
      </c>
      <c r="EH50" s="97">
        <f t="shared" si="220"/>
        <v>21.445345583485008</v>
      </c>
      <c r="EI50" s="97">
        <f t="shared" si="238"/>
        <v>794.58106391396893</v>
      </c>
      <c r="EJ50" s="97">
        <f t="shared" si="243"/>
        <v>1604.5069908348812</v>
      </c>
      <c r="EK50" s="97">
        <f t="shared" si="246"/>
        <v>249.18726673706615</v>
      </c>
      <c r="EL50" s="97">
        <f t="shared" si="248"/>
        <v>6.2868457412669372</v>
      </c>
      <c r="EM50" s="111">
        <f t="shared" si="196"/>
        <v>2676.0075128106682</v>
      </c>
      <c r="EN50" s="200">
        <f t="shared" si="197"/>
        <v>50</v>
      </c>
      <c r="EO50" s="92">
        <f t="shared" si="198"/>
        <v>31.454388579496428</v>
      </c>
      <c r="EP50" s="92">
        <f t="shared" si="199"/>
        <v>1132.0854857177956</v>
      </c>
      <c r="EQ50" s="92">
        <f t="shared" si="239"/>
        <v>1213.539874297292</v>
      </c>
      <c r="ER50" s="128">
        <f t="shared" si="201"/>
        <v>0.45348896387166154</v>
      </c>
      <c r="ES50" s="111">
        <f t="shared" si="240"/>
        <v>1462.4676385133762</v>
      </c>
      <c r="ET50" s="72">
        <f t="shared" si="203"/>
        <v>1.6051818868973244</v>
      </c>
      <c r="EU50" s="96">
        <f t="shared" si="204"/>
        <v>2.0806237027594627</v>
      </c>
      <c r="EV50" s="92">
        <f t="shared" si="205"/>
        <v>2080.623702759463</v>
      </c>
      <c r="EW50" s="120">
        <f t="shared" si="244"/>
        <v>-0.87704872899999997</v>
      </c>
      <c r="EX50" s="9">
        <f t="shared" si="184"/>
        <v>-0.33903293800000001</v>
      </c>
      <c r="EY50" s="9">
        <f t="shared" si="185"/>
        <v>-0.17312651500000001</v>
      </c>
      <c r="EZ50" s="9">
        <f t="shared" si="186"/>
        <v>0.40459181300000002</v>
      </c>
      <c r="FA50" s="113" cm="1">
        <f t="array" ref="FA50">$DN$11+SUMPRODUCT($DP$11:$DS$11*EW50:EZ50)</f>
        <v>1.8478683554489552</v>
      </c>
      <c r="FB50">
        <v>1987</v>
      </c>
      <c r="FC50" s="116">
        <f t="shared" si="121"/>
        <v>1040221.5152538563</v>
      </c>
      <c r="FD50" s="116">
        <f t="shared" si="255"/>
        <v>2407881.866365598</v>
      </c>
      <c r="FE50" s="116">
        <f t="shared" si="159"/>
        <v>2035278.4578809098</v>
      </c>
      <c r="FF50" s="116">
        <f t="shared" si="256"/>
        <v>2084143.352116904</v>
      </c>
      <c r="FG50" s="5">
        <f t="shared" si="257"/>
        <v>323738.51424869406</v>
      </c>
      <c r="FH50" s="5">
        <f t="shared" si="155"/>
        <v>273642.17208515503</v>
      </c>
      <c r="FI50" s="155">
        <f t="shared" si="258"/>
        <v>0.13444950052194113</v>
      </c>
      <c r="FJ50" s="117">
        <f t="shared" si="127"/>
        <v>13.444950052194113</v>
      </c>
      <c r="FK50" s="61">
        <f t="shared" si="259"/>
        <v>7775.0525071201791</v>
      </c>
      <c r="FL50" s="61">
        <f t="shared" si="142"/>
        <v>309.69332543549075</v>
      </c>
      <c r="FM50" s="92">
        <f t="shared" si="128"/>
        <v>41.638112919780703</v>
      </c>
      <c r="FN50" s="72">
        <f t="shared" si="129"/>
        <v>0.13444950052194113</v>
      </c>
      <c r="FO50" s="179">
        <f t="shared" si="260"/>
        <v>1.3879370973260234</v>
      </c>
      <c r="FP50" s="92">
        <f t="shared" si="160"/>
        <v>26.775074956026458</v>
      </c>
      <c r="FQ50" s="1">
        <f t="shared" si="143"/>
        <v>0</v>
      </c>
      <c r="FR50" s="26">
        <f t="shared" si="130"/>
        <v>1.2341408827186904</v>
      </c>
      <c r="FS50">
        <f t="shared" si="261"/>
        <v>1987</v>
      </c>
      <c r="FT50" s="5">
        <f t="shared" si="241"/>
        <v>2692.661441415818</v>
      </c>
      <c r="FU50" s="214">
        <f t="shared" si="262"/>
        <v>4464.8879442485231</v>
      </c>
      <c r="FV50" s="213">
        <f t="shared" si="131"/>
        <v>2573.1027431924617</v>
      </c>
      <c r="FW50" s="5">
        <f t="shared" si="132"/>
        <v>1891.7852010560614</v>
      </c>
      <c r="FX50" s="1">
        <f t="shared" si="133"/>
        <v>0.423702727745492</v>
      </c>
      <c r="FY50">
        <f t="shared" si="263"/>
        <v>14737.499635677807</v>
      </c>
      <c r="FZ50" s="26">
        <f t="shared" si="134"/>
        <v>0.12836541121780692</v>
      </c>
      <c r="GA50" s="106">
        <f t="shared" si="264"/>
        <v>4.2788470405935638E-3</v>
      </c>
      <c r="GB50" s="61">
        <f t="shared" si="135"/>
        <v>1462.4676385133762</v>
      </c>
      <c r="GC50" s="61">
        <f t="shared" si="207"/>
        <v>3456.1169342483968</v>
      </c>
      <c r="GD50" s="61">
        <f t="shared" si="247"/>
        <v>4397.9156892418414</v>
      </c>
      <c r="GE50" s="61">
        <f t="shared" si="210"/>
        <v>2080.6237027594634</v>
      </c>
      <c r="GF50" s="61">
        <f t="shared" si="137"/>
        <v>1375.4932314889334</v>
      </c>
      <c r="GG50" s="61">
        <f t="shared" si="245"/>
        <v>1750.3178793707921</v>
      </c>
      <c r="GH50" s="6">
        <f t="shared" si="138"/>
        <v>0.39798804775917179</v>
      </c>
      <c r="GI50">
        <f t="shared" si="265"/>
        <v>9248.6922093424037</v>
      </c>
      <c r="GJ50" s="26">
        <f t="shared" si="208"/>
        <v>0.14872299784173842</v>
      </c>
      <c r="GK50">
        <f t="shared" si="266"/>
        <v>4.9574332613912808E-3</v>
      </c>
      <c r="GL50" s="232">
        <f t="shared" si="140"/>
        <v>1.2341408827186904</v>
      </c>
      <c r="GY50">
        <v>1987</v>
      </c>
      <c r="GZ50" s="112">
        <f t="shared" si="267"/>
        <v>1.1577683430304049</v>
      </c>
      <c r="HA50" s="112">
        <f t="shared" si="268"/>
        <v>1.6051818868973244</v>
      </c>
      <c r="HB50" s="112">
        <f t="shared" si="269"/>
        <v>2.1289315014471195</v>
      </c>
    </row>
    <row r="51" spans="1:210" x14ac:dyDescent="0.35">
      <c r="A51">
        <v>1988</v>
      </c>
      <c r="D51" s="80">
        <f>'SR + catch data Murdoch_age var'!C40</f>
        <v>528467</v>
      </c>
      <c r="E51" s="80">
        <f>'SR + catch data Murdoch_age var'!E40</f>
        <v>1535457.5528593045</v>
      </c>
      <c r="F51" s="231">
        <f t="shared" si="63"/>
        <v>1.0666033331525118</v>
      </c>
      <c r="G51" s="80">
        <f>'SR + catch data Murdoch_age var'!D40</f>
        <v>1035111</v>
      </c>
      <c r="H51" s="80">
        <f>'Orig data'!Q42</f>
        <v>1035111</v>
      </c>
      <c r="I51" s="80">
        <f t="shared" si="64"/>
        <v>506644</v>
      </c>
      <c r="J51" s="150">
        <f t="shared" si="65"/>
        <v>0.4894586184476834</v>
      </c>
      <c r="K51" s="83">
        <f>'SR + catch data Murdoch_age var'!CM40</f>
        <v>1.3560688462332409</v>
      </c>
      <c r="L51" s="83">
        <f>'SR + catch data Murdoch_age var'!CN40</f>
        <v>1.0901967453171819</v>
      </c>
      <c r="M51" s="84">
        <f>'SR + catch data Murdoch_age var'!CO40</f>
        <v>1578745.5313692659</v>
      </c>
      <c r="N51" s="81">
        <f t="shared" si="66"/>
        <v>-2.7802147531181889E-2</v>
      </c>
      <c r="O51" s="82">
        <f t="shared" si="67"/>
        <v>1988</v>
      </c>
      <c r="P51" s="81">
        <f t="shared" si="270"/>
        <v>0.10741516534518507</v>
      </c>
      <c r="Q51" s="81">
        <f t="shared" si="270"/>
        <v>0.75930233821489568</v>
      </c>
      <c r="R51" s="81">
        <f t="shared" si="270"/>
        <v>0.13183604264117066</v>
      </c>
      <c r="S51" s="85">
        <f t="shared" si="270"/>
        <v>1.4464537987485602E-3</v>
      </c>
      <c r="T51" s="80">
        <f t="shared" si="144"/>
        <v>111186.61921561987</v>
      </c>
      <c r="U51" s="80">
        <f t="shared" si="145"/>
        <v>785962.20261195884</v>
      </c>
      <c r="V51" s="80">
        <f t="shared" si="146"/>
        <v>136464.93793434481</v>
      </c>
      <c r="W51" s="80">
        <f t="shared" si="147"/>
        <v>1497.2402380764208</v>
      </c>
      <c r="X51" s="86">
        <f t="shared" si="73"/>
        <v>1988</v>
      </c>
      <c r="Y51" s="79">
        <f t="shared" si="149"/>
        <v>124035.72776520894</v>
      </c>
      <c r="Z51" s="79">
        <f t="shared" si="152"/>
        <v>747350.73902849457</v>
      </c>
      <c r="AA51" s="79">
        <f t="shared" si="156"/>
        <v>88744.066778748675</v>
      </c>
      <c r="AB51" s="79">
        <f t="shared" si="161"/>
        <v>2115.8992032578262</v>
      </c>
      <c r="AC51" s="80">
        <f t="shared" si="78"/>
        <v>962246.43277571001</v>
      </c>
      <c r="AD51" s="84">
        <f t="shared" si="79"/>
        <v>72864.567224289989</v>
      </c>
      <c r="AE51" s="80">
        <f t="shared" si="80"/>
        <v>506644</v>
      </c>
      <c r="AF51" s="72">
        <f t="shared" si="81"/>
        <v>0.52652208700688796</v>
      </c>
      <c r="AG51" s="26">
        <f t="shared" si="82"/>
        <v>3.706346855920456E-2</v>
      </c>
      <c r="AH51" s="61">
        <f t="shared" si="249"/>
        <v>1988</v>
      </c>
      <c r="AI51" s="26">
        <f t="shared" si="15"/>
        <v>0.52652208700688796</v>
      </c>
      <c r="AJ51" s="75">
        <f t="shared" si="150"/>
        <v>107716.8712436956</v>
      </c>
      <c r="AK51" s="75">
        <f t="shared" si="153"/>
        <v>723696.75885906629</v>
      </c>
      <c r="AL51" s="75">
        <f t="shared" si="157"/>
        <v>174247.8813156533</v>
      </c>
      <c r="AM51" s="75">
        <f t="shared" si="162"/>
        <v>1182.809119713804</v>
      </c>
      <c r="AN51" s="79">
        <f t="shared" si="84"/>
        <v>1006844.3205381291</v>
      </c>
      <c r="AO51" s="80">
        <f t="shared" si="85"/>
        <v>530125.77294076781</v>
      </c>
      <c r="AP51" s="80">
        <f t="shared" si="86"/>
        <v>476718.54759736126</v>
      </c>
      <c r="AQ51" s="81">
        <v>0.72729914083169778</v>
      </c>
      <c r="AR51" s="81">
        <v>0.87832437814012487</v>
      </c>
      <c r="AS51" s="81">
        <f>'SR + catch data Murdoch_age var'!N40</f>
        <v>-0.59387342463634996</v>
      </c>
      <c r="AT51" s="121">
        <f>'SR + catch data Murdoch_age var'!BR40</f>
        <v>-0.43718145242390405</v>
      </c>
      <c r="AU51" s="122">
        <f t="shared" si="250"/>
        <v>1.3560688462332409</v>
      </c>
      <c r="AV51" s="122">
        <f t="shared" si="88"/>
        <v>1.0944054806836938</v>
      </c>
      <c r="AW51" s="115">
        <f t="shared" si="251"/>
        <v>1503434.9602322809</v>
      </c>
      <c r="AX51" s="115"/>
      <c r="AY51" s="141">
        <f t="shared" si="89"/>
        <v>0.39927958231103944</v>
      </c>
      <c r="AZ51" s="141"/>
      <c r="BA51" s="84">
        <v>1500</v>
      </c>
      <c r="BB51" s="101">
        <v>1988</v>
      </c>
      <c r="BC51" s="72">
        <v>3.5750695088044487E-2</v>
      </c>
      <c r="BD51" s="72">
        <v>0.8358758109360519</v>
      </c>
      <c r="BE51" s="72">
        <v>0.11956904541241889</v>
      </c>
      <c r="BF51" s="72">
        <v>8.3410565338276187E-3</v>
      </c>
      <c r="BG51" s="72">
        <v>4.6339202965708991E-4</v>
      </c>
      <c r="BH51" s="76">
        <v>1.5</v>
      </c>
      <c r="BI51" s="76">
        <v>4.2919999999999998</v>
      </c>
      <c r="BJ51" s="72">
        <f t="shared" si="215"/>
        <v>1.0512877166602876</v>
      </c>
      <c r="BK51">
        <v>1.5</v>
      </c>
      <c r="BL51" s="120">
        <v>-0.57091291799999999</v>
      </c>
      <c r="BM51" s="125">
        <v>6.3574677999999996E-2</v>
      </c>
      <c r="BN51" s="4">
        <v>-0.17312651500000001</v>
      </c>
      <c r="BO51" s="98">
        <f t="shared" si="221"/>
        <v>2.0024676852288419</v>
      </c>
      <c r="BP51" s="98">
        <f t="shared" si="216"/>
        <v>3.3243514565049557</v>
      </c>
      <c r="BQ51" s="99">
        <f t="shared" si="217"/>
        <v>0.25547822036069279</v>
      </c>
      <c r="BR51" s="200">
        <v>50</v>
      </c>
      <c r="BS51" s="100">
        <v>559.05705872990609</v>
      </c>
      <c r="BT51" s="98">
        <v>0.42305018961951335</v>
      </c>
      <c r="BU51" s="98">
        <f t="shared" si="222"/>
        <v>0.42305018961951329</v>
      </c>
      <c r="BV51" s="99">
        <f t="shared" si="92"/>
        <v>0.42305018961951329</v>
      </c>
      <c r="BW51" s="100">
        <f t="shared" si="218"/>
        <v>1546.4724531682359</v>
      </c>
      <c r="BX51" s="100">
        <v>3655.5295118981421</v>
      </c>
      <c r="BY51" s="99" t="e">
        <f>NA()</f>
        <v>#N/A</v>
      </c>
      <c r="BZ51" s="89" t="e">
        <f>NA()</f>
        <v>#N/A</v>
      </c>
      <c r="CA51" s="78">
        <v>1988</v>
      </c>
      <c r="CB51" s="90">
        <f t="shared" si="223"/>
        <v>0.42305018961951329</v>
      </c>
      <c r="CC51" s="97">
        <f t="shared" si="252"/>
        <v>157.77933743508805</v>
      </c>
      <c r="CD51" s="97">
        <f t="shared" si="271"/>
        <v>3902.0144043378464</v>
      </c>
      <c r="CE51" s="97">
        <f t="shared" si="272"/>
        <v>595.05467225683105</v>
      </c>
      <c r="CF51" s="97">
        <f t="shared" si="273"/>
        <v>36.243985589903005</v>
      </c>
      <c r="CG51" s="97">
        <f t="shared" si="274"/>
        <v>2.5159237986359182</v>
      </c>
      <c r="CH51" s="92">
        <f t="shared" si="224"/>
        <v>4693.6083234183052</v>
      </c>
      <c r="CI51" s="200">
        <f t="shared" si="225"/>
        <v>50</v>
      </c>
      <c r="CJ51" s="92">
        <f t="shared" si="226"/>
        <v>559.05705872990609</v>
      </c>
      <c r="CK51" s="92">
        <f t="shared" si="227"/>
        <v>1985.6318912218399</v>
      </c>
      <c r="CL51" s="92">
        <f t="shared" si="228"/>
        <v>2594.6889499517461</v>
      </c>
      <c r="CM51" s="72">
        <f t="shared" si="229"/>
        <v>1.8463971623063399E-2</v>
      </c>
      <c r="CN51" s="128">
        <f t="shared" si="230"/>
        <v>0.55281326671545994</v>
      </c>
      <c r="CO51" s="111">
        <f t="shared" si="231"/>
        <v>2098.9193734665591</v>
      </c>
      <c r="CP51" s="72">
        <f t="shared" si="232"/>
        <v>2.0024676852288419</v>
      </c>
      <c r="CQ51" s="96">
        <f t="shared" si="233"/>
        <v>3.7079591897278896</v>
      </c>
      <c r="CR51" s="92">
        <f t="shared" si="234"/>
        <v>3707.9591897278897</v>
      </c>
      <c r="CS51" s="120">
        <f t="shared" si="235"/>
        <v>-0.90461819600000004</v>
      </c>
      <c r="CT51" s="72">
        <f t="shared" si="97"/>
        <v>6.3574677999999996E-2</v>
      </c>
      <c r="CU51" s="72">
        <f t="shared" si="236"/>
        <v>-0.17312651500000001</v>
      </c>
      <c r="CV51" s="104">
        <f t="shared" si="237"/>
        <v>2.257511180011635</v>
      </c>
      <c r="CW51" s="105">
        <f t="shared" si="99"/>
        <v>0.72729914083169778</v>
      </c>
      <c r="CX51" s="105">
        <f t="shared" si="100"/>
        <v>0.87832437814012487</v>
      </c>
      <c r="CY51" s="105">
        <f t="shared" si="101"/>
        <v>-0.59387342463634996</v>
      </c>
      <c r="CZ51" s="123">
        <f t="shared" si="242"/>
        <v>-0.68849257550252763</v>
      </c>
      <c r="DA51" s="81">
        <f t="shared" si="253"/>
        <v>1.4124244319407104</v>
      </c>
      <c r="DB51" s="9">
        <f t="shared" si="104"/>
        <v>1503434.9602322809</v>
      </c>
      <c r="DD51" s="1">
        <f t="shared" si="105"/>
        <v>-0.35615757914334922</v>
      </c>
      <c r="DE51" s="114">
        <v>2342</v>
      </c>
      <c r="DF51" s="61">
        <v>1988</v>
      </c>
      <c r="DG51" s="26">
        <v>7.6142131979695434E-3</v>
      </c>
      <c r="DH51" s="26">
        <v>0.29512169725367693</v>
      </c>
      <c r="DI51" s="26">
        <v>0.6060236886632826</v>
      </c>
      <c r="DJ51" s="26">
        <v>8.8702329819081091E-2</v>
      </c>
      <c r="DK51" s="26">
        <v>2.5380710659898475E-3</v>
      </c>
      <c r="DL51" s="106">
        <v>2.3420000000000001</v>
      </c>
      <c r="DM51" s="106">
        <v>1.5580000000000001</v>
      </c>
      <c r="DN51" s="26">
        <v>-0.40760231772696898</v>
      </c>
      <c r="DO51" s="76">
        <f t="shared" si="107"/>
        <v>2.3420000000000001</v>
      </c>
      <c r="DP51" s="119">
        <v>-0.529058217</v>
      </c>
      <c r="DQ51" s="26">
        <v>3.1181279999999999E-2</v>
      </c>
      <c r="DR51" s="26">
        <v>-1.743057724</v>
      </c>
      <c r="DS51" s="26">
        <v>0.58026367300000004</v>
      </c>
      <c r="DT51" s="113" cm="1">
        <f t="array" ref="DT51">$DN$11+SUMPRODUCT(DP$11:$DS$11*DP51:DS51)</f>
        <v>1.3207879947602743</v>
      </c>
      <c r="DU51" s="76">
        <f t="shared" si="254"/>
        <v>0.8002541356721804</v>
      </c>
      <c r="DV51" s="72">
        <f t="shared" si="179"/>
        <v>0.66622887961884192</v>
      </c>
      <c r="DW51" s="199">
        <v>50</v>
      </c>
      <c r="DX51" s="61">
        <v>14.39966533322875</v>
      </c>
      <c r="DY51" s="26">
        <v>0.42305018961951335</v>
      </c>
      <c r="DZ51" s="98">
        <f t="shared" si="213"/>
        <v>0.42314607625581147</v>
      </c>
      <c r="EA51" s="98">
        <f t="shared" si="214"/>
        <v>0.42314607625581147</v>
      </c>
      <c r="EB51" s="100">
        <f t="shared" si="188"/>
        <v>1765.1931180078273</v>
      </c>
      <c r="EC51" s="61">
        <v>4171.592783341056</v>
      </c>
      <c r="EE51" s="72">
        <f t="shared" si="189"/>
        <v>3.1800979497931897E-2</v>
      </c>
      <c r="EF51">
        <v>1988</v>
      </c>
      <c r="EG51" s="110">
        <f t="shared" si="190"/>
        <v>0.42305018961951335</v>
      </c>
      <c r="EH51" s="97">
        <f t="shared" si="220"/>
        <v>20.322799467329428</v>
      </c>
      <c r="EI51" s="97">
        <f t="shared" si="238"/>
        <v>831.20693133171915</v>
      </c>
      <c r="EJ51" s="97">
        <f t="shared" si="243"/>
        <v>1631.648746182248</v>
      </c>
      <c r="EK51" s="97">
        <f t="shared" si="246"/>
        <v>234.8480941594585</v>
      </c>
      <c r="EL51" s="97">
        <f t="shared" si="248"/>
        <v>7.1300832008404829</v>
      </c>
      <c r="EM51" s="111">
        <f t="shared" si="196"/>
        <v>2725.1566543415956</v>
      </c>
      <c r="EN51" s="200">
        <f t="shared" si="197"/>
        <v>50</v>
      </c>
      <c r="EO51" s="92">
        <f t="shared" si="198"/>
        <v>14.39966533322875</v>
      </c>
      <c r="EP51" s="92">
        <f t="shared" si="199"/>
        <v>1152.8780393620907</v>
      </c>
      <c r="EQ51" s="92">
        <f t="shared" si="239"/>
        <v>1217.2777046953195</v>
      </c>
      <c r="ER51" s="128">
        <f t="shared" si="201"/>
        <v>0.44668173580260351</v>
      </c>
      <c r="ES51" s="111">
        <f t="shared" si="240"/>
        <v>1507.8789496462762</v>
      </c>
      <c r="ET51" s="72">
        <f t="shared" si="203"/>
        <v>1.3207879947602743</v>
      </c>
      <c r="EU51" s="96">
        <f t="shared" si="204"/>
        <v>1.5929712539833094</v>
      </c>
      <c r="EV51" s="92">
        <f t="shared" si="205"/>
        <v>1592.9712539833095</v>
      </c>
      <c r="EW51" s="120">
        <f t="shared" si="244"/>
        <v>-0.87704872899999997</v>
      </c>
      <c r="EX51" s="9">
        <f t="shared" si="184"/>
        <v>3.1181279999999999E-2</v>
      </c>
      <c r="EY51" s="9">
        <f t="shared" si="185"/>
        <v>-1.743057724</v>
      </c>
      <c r="EZ51" s="9">
        <f t="shared" si="186"/>
        <v>0.58026367300000004</v>
      </c>
      <c r="FA51" s="113" cm="1">
        <f t="array" ref="FA51">$DN$11+SUMPRODUCT($DP$11:$DS$11*EW51:EZ51)</f>
        <v>1.596654408986325</v>
      </c>
      <c r="FB51">
        <v>1988</v>
      </c>
      <c r="FC51" s="116">
        <f t="shared" si="121"/>
        <v>476718.54759736126</v>
      </c>
      <c r="FD51" s="116">
        <f t="shared" si="255"/>
        <v>1785938.7190605476</v>
      </c>
      <c r="FE51" s="116">
        <f t="shared" si="159"/>
        <v>1327057.7408969142</v>
      </c>
      <c r="FF51" s="116">
        <f t="shared" si="256"/>
        <v>1545820.1503200617</v>
      </c>
      <c r="FG51" s="5">
        <f t="shared" si="257"/>
        <v>240118.56874048593</v>
      </c>
      <c r="FH51" s="5">
        <f t="shared" si="155"/>
        <v>178422.25042736577</v>
      </c>
      <c r="FI51" s="155">
        <f t="shared" si="258"/>
        <v>0.1344495005219411</v>
      </c>
      <c r="FJ51" s="117">
        <f t="shared" si="127"/>
        <v>13.444950052194111</v>
      </c>
      <c r="FK51" s="61">
        <f t="shared" si="259"/>
        <v>7775.0525071201791</v>
      </c>
      <c r="FL51" s="61">
        <f t="shared" si="142"/>
        <v>229.70117789237233</v>
      </c>
      <c r="FM51" s="92">
        <f t="shared" si="128"/>
        <v>30.883208636930998</v>
      </c>
      <c r="FN51" s="72">
        <f t="shared" si="129"/>
        <v>0.1344495005219411</v>
      </c>
      <c r="FO51" s="179">
        <f t="shared" si="260"/>
        <v>1.0294402878977</v>
      </c>
      <c r="FP51" s="92">
        <f t="shared" si="160"/>
        <v>30.043436931446109</v>
      </c>
      <c r="FQ51" s="1">
        <f t="shared" si="143"/>
        <v>0</v>
      </c>
      <c r="FR51" s="26">
        <f t="shared" si="130"/>
        <v>1.2341408827186904</v>
      </c>
      <c r="FS51">
        <f t="shared" si="261"/>
        <v>1988</v>
      </c>
      <c r="FT51" s="5">
        <f t="shared" si="241"/>
        <v>2098.9193734665591</v>
      </c>
      <c r="FU51" s="214">
        <f t="shared" si="262"/>
        <v>6389.4880391867428</v>
      </c>
      <c r="FV51" s="213">
        <f t="shared" si="131"/>
        <v>3682.2445280861252</v>
      </c>
      <c r="FW51" s="5">
        <f t="shared" si="132"/>
        <v>2707.2435111006175</v>
      </c>
      <c r="FX51" s="1">
        <f t="shared" si="133"/>
        <v>0.42370272774549195</v>
      </c>
      <c r="FY51">
        <f t="shared" si="263"/>
        <v>15319.13079839939</v>
      </c>
      <c r="FZ51" s="26">
        <f t="shared" si="134"/>
        <v>0.17672304954687651</v>
      </c>
      <c r="GA51" s="106">
        <f t="shared" si="264"/>
        <v>5.8907683182292166E-3</v>
      </c>
      <c r="GB51" s="61">
        <f t="shared" si="135"/>
        <v>1507.8789496462762</v>
      </c>
      <c r="GC51" s="61">
        <f t="shared" si="207"/>
        <v>2646.0791152964662</v>
      </c>
      <c r="GD51" s="61">
        <f t="shared" si="247"/>
        <v>4472.3105983058595</v>
      </c>
      <c r="GE51" s="61">
        <f t="shared" si="210"/>
        <v>1592.9712539833095</v>
      </c>
      <c r="GF51" s="61">
        <f t="shared" si="137"/>
        <v>1053.1078613131567</v>
      </c>
      <c r="GG51" s="61">
        <f t="shared" si="245"/>
        <v>1779.9261639924021</v>
      </c>
      <c r="GH51" s="6">
        <f t="shared" si="138"/>
        <v>0.39798804775917168</v>
      </c>
      <c r="GI51">
        <f t="shared" si="265"/>
        <v>9248.6922093424037</v>
      </c>
      <c r="GJ51" s="26">
        <f t="shared" si="208"/>
        <v>0.11386559715430668</v>
      </c>
      <c r="GK51">
        <f t="shared" si="266"/>
        <v>3.7955199051435558E-3</v>
      </c>
      <c r="GL51" s="232">
        <f t="shared" si="140"/>
        <v>1.2341408827186904</v>
      </c>
      <c r="GY51">
        <v>1988</v>
      </c>
      <c r="GZ51" s="112">
        <f t="shared" si="267"/>
        <v>1.3560688462332409</v>
      </c>
      <c r="HA51" s="112">
        <f t="shared" si="268"/>
        <v>1.3207879947602743</v>
      </c>
      <c r="HB51" s="112">
        <f t="shared" si="269"/>
        <v>2.257511180011635</v>
      </c>
    </row>
    <row r="52" spans="1:210" x14ac:dyDescent="0.35">
      <c r="A52">
        <v>1989</v>
      </c>
      <c r="D52" s="80">
        <f>'SR + catch data Murdoch_age var'!C41</f>
        <v>739647</v>
      </c>
      <c r="E52" s="80">
        <f>'SR + catch data Murdoch_age var'!E41</f>
        <v>1593610.9601886882</v>
      </c>
      <c r="F52" s="231">
        <f t="shared" si="63"/>
        <v>0.76758471907752701</v>
      </c>
      <c r="G52" s="80">
        <f>'SR + catch data Murdoch_age var'!D41</f>
        <v>1094661</v>
      </c>
      <c r="H52" s="80">
        <f>'Orig data'!Q43</f>
        <v>1094661</v>
      </c>
      <c r="I52" s="80">
        <f t="shared" si="64"/>
        <v>355014</v>
      </c>
      <c r="J52" s="150">
        <f t="shared" si="65"/>
        <v>0.32431410272221262</v>
      </c>
      <c r="K52" s="83">
        <f>'SR + catch data Murdoch_age var'!CM41</f>
        <v>1.2865761692472459</v>
      </c>
      <c r="L52" s="83">
        <f>'SR + catch data Murdoch_age var'!CN41</f>
        <v>1.076926262275925</v>
      </c>
      <c r="M52" s="84">
        <f>'SR + catch data Murdoch_age var'!CO41</f>
        <v>1856638.5436448306</v>
      </c>
      <c r="N52" s="81">
        <f t="shared" si="66"/>
        <v>-0.15276513265391245</v>
      </c>
      <c r="O52" s="82">
        <f t="shared" si="67"/>
        <v>1989</v>
      </c>
      <c r="P52" s="81">
        <f t="shared" si="270"/>
        <v>0.10741516534518507</v>
      </c>
      <c r="Q52" s="81">
        <f t="shared" si="270"/>
        <v>0.75930233821489568</v>
      </c>
      <c r="R52" s="81">
        <f t="shared" si="270"/>
        <v>0.13183604264117066</v>
      </c>
      <c r="S52" s="85">
        <f t="shared" si="270"/>
        <v>1.4464537987485602E-3</v>
      </c>
      <c r="T52" s="80">
        <f t="shared" si="144"/>
        <v>117583.19231192564</v>
      </c>
      <c r="U52" s="80">
        <f t="shared" si="145"/>
        <v>831178.65685265593</v>
      </c>
      <c r="V52" s="80">
        <f t="shared" si="146"/>
        <v>144315.77427362651</v>
      </c>
      <c r="W52" s="80">
        <f t="shared" si="147"/>
        <v>1583.3765617918978</v>
      </c>
      <c r="X52" s="86">
        <f t="shared" si="73"/>
        <v>1989</v>
      </c>
      <c r="Y52" s="79">
        <f t="shared" si="149"/>
        <v>163544.45111676585</v>
      </c>
      <c r="Z52" s="79">
        <f t="shared" si="152"/>
        <v>876790.70093738008</v>
      </c>
      <c r="AA52" s="79">
        <f t="shared" si="156"/>
        <v>129760.91201050137</v>
      </c>
      <c r="AB52" s="79">
        <f t="shared" si="161"/>
        <v>973.66539481086102</v>
      </c>
      <c r="AC52" s="80">
        <f t="shared" si="78"/>
        <v>1171069.7294594583</v>
      </c>
      <c r="AD52" s="84">
        <f t="shared" si="79"/>
        <v>-76408.729459458264</v>
      </c>
      <c r="AE52" s="80">
        <f t="shared" si="80"/>
        <v>355014</v>
      </c>
      <c r="AF52" s="72">
        <f t="shared" si="81"/>
        <v>0.30315359629683808</v>
      </c>
      <c r="AG52" s="26">
        <f t="shared" si="82"/>
        <v>-2.1160506425374537E-2</v>
      </c>
      <c r="AH52" s="61">
        <f t="shared" si="249"/>
        <v>1989</v>
      </c>
      <c r="AI52" s="26">
        <f t="shared" si="15"/>
        <v>0.30315359629683808</v>
      </c>
      <c r="AJ52" s="75">
        <f t="shared" si="150"/>
        <v>119988.71170172881</v>
      </c>
      <c r="AK52" s="75">
        <f t="shared" si="153"/>
        <v>761435.05377192236</v>
      </c>
      <c r="AL52" s="75">
        <f t="shared" si="157"/>
        <v>125653.92197332914</v>
      </c>
      <c r="AM52" s="75">
        <f t="shared" si="162"/>
        <v>1911.7800019143303</v>
      </c>
      <c r="AN52" s="79">
        <f t="shared" si="84"/>
        <v>1008989.4674488947</v>
      </c>
      <c r="AO52" s="80">
        <f t="shared" si="85"/>
        <v>305878.7856827639</v>
      </c>
      <c r="AP52" s="80">
        <f t="shared" si="86"/>
        <v>703110.68176613085</v>
      </c>
      <c r="AQ52" s="81">
        <v>0.80539560488772288</v>
      </c>
      <c r="AR52" s="81">
        <v>8.7607802423182862E-2</v>
      </c>
      <c r="AS52" s="81">
        <f>'SR + catch data Murdoch_age var'!N41</f>
        <v>-0.52529507148126953</v>
      </c>
      <c r="AT52" s="121">
        <f>'SR + catch data Murdoch_age var'!BR41</f>
        <v>-0.48915912005853013</v>
      </c>
      <c r="AU52" s="122">
        <f t="shared" si="250"/>
        <v>1.2865761692472459</v>
      </c>
      <c r="AV52" s="122">
        <f t="shared" si="88"/>
        <v>0.92034985173143946</v>
      </c>
      <c r="AW52" s="115">
        <f t="shared" si="251"/>
        <v>1613061.6475909508</v>
      </c>
      <c r="AX52" s="115"/>
      <c r="AY52" s="141">
        <f t="shared" si="89"/>
        <v>0.35246393587756014</v>
      </c>
      <c r="AZ52" s="141"/>
      <c r="BA52" s="84">
        <v>1670</v>
      </c>
      <c r="BB52" s="101">
        <v>1989</v>
      </c>
      <c r="BC52" s="72">
        <v>3.5750695088044487E-2</v>
      </c>
      <c r="BD52" s="72">
        <v>0.8358758109360519</v>
      </c>
      <c r="BE52" s="72">
        <v>0.11956904541241889</v>
      </c>
      <c r="BF52" s="72">
        <v>8.3410565338276187E-3</v>
      </c>
      <c r="BG52" s="72">
        <v>4.6339202965708991E-4</v>
      </c>
      <c r="BH52" s="76">
        <v>1.67</v>
      </c>
      <c r="BI52" s="76">
        <v>4.3310000000000004</v>
      </c>
      <c r="BJ52" s="72">
        <f t="shared" si="215"/>
        <v>0.95297483580382603</v>
      </c>
      <c r="BK52">
        <v>1.67</v>
      </c>
      <c r="BL52" s="120">
        <v>-0.529058217</v>
      </c>
      <c r="BM52" s="125">
        <v>-0.33903293800000001</v>
      </c>
      <c r="BN52" s="4">
        <v>-1.743057724</v>
      </c>
      <c r="BO52" s="98">
        <f t="shared" si="221"/>
        <v>2.1155012297682978</v>
      </c>
      <c r="BP52" s="98">
        <f t="shared" si="216"/>
        <v>3.6143501425541329</v>
      </c>
      <c r="BQ52" s="99">
        <f t="shared" si="217"/>
        <v>0.18088638971009</v>
      </c>
      <c r="BR52" s="200">
        <v>50</v>
      </c>
      <c r="BS52" s="100">
        <v>267.53313173112633</v>
      </c>
      <c r="BT52" s="98">
        <v>0.42305018961951335</v>
      </c>
      <c r="BU52" s="98">
        <f t="shared" si="222"/>
        <v>0.42305018961951329</v>
      </c>
      <c r="BV52" s="99">
        <f t="shared" si="92"/>
        <v>0.42305018961951329</v>
      </c>
      <c r="BW52" s="100">
        <f t="shared" si="218"/>
        <v>1457.3646669532836</v>
      </c>
      <c r="BX52" s="100">
        <v>3444.8977986844102</v>
      </c>
      <c r="BY52" s="99" t="e">
        <f>NA()</f>
        <v>#N/A</v>
      </c>
      <c r="BZ52" s="89" t="e">
        <f>NA()</f>
        <v>#N/A</v>
      </c>
      <c r="CA52" s="78">
        <v>1989</v>
      </c>
      <c r="CB52" s="90">
        <f t="shared" si="223"/>
        <v>0.42305018961951329</v>
      </c>
      <c r="CC52" s="97">
        <f t="shared" si="252"/>
        <v>174.43345479754308</v>
      </c>
      <c r="CD52" s="97">
        <f t="shared" si="271"/>
        <v>3688.9892994447246</v>
      </c>
      <c r="CE52" s="97">
        <f t="shared" si="272"/>
        <v>558.1692057695858</v>
      </c>
      <c r="CF52" s="97">
        <f t="shared" si="273"/>
        <v>41.510615434728372</v>
      </c>
      <c r="CG52" s="97">
        <f t="shared" si="274"/>
        <v>2.0135547549946113</v>
      </c>
      <c r="CH52" s="92">
        <f t="shared" si="224"/>
        <v>4465.1161302015762</v>
      </c>
      <c r="CI52" s="200">
        <f t="shared" si="225"/>
        <v>50</v>
      </c>
      <c r="CJ52" s="92">
        <f t="shared" si="226"/>
        <v>267.53313173112633</v>
      </c>
      <c r="CK52" s="92">
        <f t="shared" si="227"/>
        <v>1888.9682255549242</v>
      </c>
      <c r="CL52" s="92">
        <f t="shared" si="228"/>
        <v>2206.5013572860507</v>
      </c>
      <c r="CM52" s="72">
        <f t="shared" si="229"/>
        <v>1.9408823503423055E-2</v>
      </c>
      <c r="CN52" s="128">
        <f t="shared" si="230"/>
        <v>0.49416438295109671</v>
      </c>
      <c r="CO52" s="111">
        <f t="shared" si="231"/>
        <v>2258.6147729155255</v>
      </c>
      <c r="CP52" s="72">
        <f t="shared" si="232"/>
        <v>2.1155012297682978</v>
      </c>
      <c r="CQ52" s="96">
        <f t="shared" si="233"/>
        <v>4.0566912988003434</v>
      </c>
      <c r="CR52" s="92">
        <f t="shared" si="234"/>
        <v>4056.6912988003432</v>
      </c>
      <c r="CS52" s="120">
        <f t="shared" si="235"/>
        <v>-0.90461819600000004</v>
      </c>
      <c r="CT52" s="72">
        <f t="shared" si="97"/>
        <v>-0.33903293800000001</v>
      </c>
      <c r="CU52" s="72">
        <f t="shared" si="236"/>
        <v>-1.743057724</v>
      </c>
      <c r="CV52" s="104">
        <f t="shared" si="237"/>
        <v>2.4025333382167364</v>
      </c>
      <c r="CW52" s="105">
        <f t="shared" si="99"/>
        <v>0.80539560488772288</v>
      </c>
      <c r="CX52" s="105">
        <f t="shared" si="100"/>
        <v>8.7607802423182862E-2</v>
      </c>
      <c r="CY52" s="105">
        <f t="shared" si="101"/>
        <v>-0.52529507148126953</v>
      </c>
      <c r="CZ52" s="123">
        <f t="shared" si="242"/>
        <v>-0.68849257550252763</v>
      </c>
      <c r="DA52" s="81">
        <f t="shared" si="253"/>
        <v>1.3312759560892546</v>
      </c>
      <c r="DB52" s="9">
        <f t="shared" si="104"/>
        <v>1613061.6475909508</v>
      </c>
      <c r="DD52" s="1">
        <f t="shared" si="105"/>
        <v>1.3797848953195297</v>
      </c>
      <c r="DE52" s="114">
        <v>610</v>
      </c>
      <c r="DF52" s="61">
        <v>1989</v>
      </c>
      <c r="DG52" s="26">
        <v>7.6142131979695434E-3</v>
      </c>
      <c r="DH52" s="26">
        <v>0.29512169725367693</v>
      </c>
      <c r="DI52" s="26">
        <v>0.6060236886632826</v>
      </c>
      <c r="DJ52" s="26">
        <v>8.8702329819081091E-2</v>
      </c>
      <c r="DK52" s="26">
        <v>2.5380710659898475E-3</v>
      </c>
      <c r="DL52" s="106">
        <v>0.61</v>
      </c>
      <c r="DM52" s="106">
        <v>1.403</v>
      </c>
      <c r="DN52" s="26">
        <v>0.83290912293510411</v>
      </c>
      <c r="DO52" s="76">
        <f t="shared" si="107"/>
        <v>0.61</v>
      </c>
      <c r="DP52" s="119">
        <v>-0.48528878199999997</v>
      </c>
      <c r="DQ52" s="26">
        <v>0.65489779400000003</v>
      </c>
      <c r="DR52" s="26">
        <v>-1.103690579</v>
      </c>
      <c r="DS52" s="26">
        <v>0.89842493000000001</v>
      </c>
      <c r="DT52" s="113" cm="1">
        <f t="array" ref="DT52">$DN$11+SUMPRODUCT(DP$11:$DS$11*DP52:DS52)</f>
        <v>1.3683000601157485</v>
      </c>
      <c r="DU52" s="76">
        <f t="shared" si="254"/>
        <v>1.2844087340505783</v>
      </c>
      <c r="DV52" s="72">
        <f t="shared" si="179"/>
        <v>8.8314317808557932E-2</v>
      </c>
      <c r="DW52" s="199">
        <v>50</v>
      </c>
      <c r="DX52" s="61">
        <v>86.725808560148508</v>
      </c>
      <c r="DY52" s="26">
        <v>0.42305018961951335</v>
      </c>
      <c r="DZ52" s="98">
        <f t="shared" si="213"/>
        <v>0.42274096820239865</v>
      </c>
      <c r="EA52" s="98">
        <f t="shared" si="214"/>
        <v>0.42274096820239865</v>
      </c>
      <c r="EB52" s="100">
        <f t="shared" si="188"/>
        <v>546.84565143905274</v>
      </c>
      <c r="EC52" s="61">
        <v>1293.5714599992014</v>
      </c>
      <c r="EE52" s="72">
        <f t="shared" si="189"/>
        <v>3.1478324193922456E-2</v>
      </c>
      <c r="EF52">
        <v>1989</v>
      </c>
      <c r="EG52" s="110">
        <f t="shared" si="190"/>
        <v>0.42305018961951335</v>
      </c>
      <c r="EH52" s="97">
        <f t="shared" si="220"/>
        <v>12.992466775201787</v>
      </c>
      <c r="EI52" s="97">
        <f t="shared" si="238"/>
        <v>787.69781142242891</v>
      </c>
      <c r="EJ52" s="97">
        <f t="shared" si="243"/>
        <v>1706.8588831513312</v>
      </c>
      <c r="EK52" s="97">
        <f t="shared" si="246"/>
        <v>238.82077209223252</v>
      </c>
      <c r="EL52" s="97">
        <f t="shared" si="248"/>
        <v>6.7197913956117974</v>
      </c>
      <c r="EM52" s="111">
        <f t="shared" si="196"/>
        <v>2753.0897248368065</v>
      </c>
      <c r="EN52" s="200">
        <f t="shared" si="197"/>
        <v>50</v>
      </c>
      <c r="EO52" s="92">
        <f t="shared" si="198"/>
        <v>86.725808560148508</v>
      </c>
      <c r="EP52" s="92">
        <f t="shared" si="199"/>
        <v>1164.6951301317447</v>
      </c>
      <c r="EQ52" s="92">
        <f t="shared" si="239"/>
        <v>1301.4209386918933</v>
      </c>
      <c r="ER52" s="128">
        <f t="shared" si="201"/>
        <v>0.47271286763784531</v>
      </c>
      <c r="ES52" s="111">
        <f t="shared" si="240"/>
        <v>1451.6687861449132</v>
      </c>
      <c r="ET52" s="72">
        <f t="shared" si="203"/>
        <v>1.3683000601157485</v>
      </c>
      <c r="EU52" s="96">
        <f t="shared" si="204"/>
        <v>1.7634881397131212</v>
      </c>
      <c r="EV52" s="92">
        <f t="shared" si="205"/>
        <v>1763.4881397131212</v>
      </c>
      <c r="EW52" s="120">
        <f t="shared" si="244"/>
        <v>-0.87704872899999997</v>
      </c>
      <c r="EX52" s="9">
        <f t="shared" si="184"/>
        <v>0.65489779400000003</v>
      </c>
      <c r="EY52" s="9">
        <f t="shared" si="185"/>
        <v>-1.103690579</v>
      </c>
      <c r="EZ52" s="9">
        <f t="shared" si="186"/>
        <v>0.89842493000000001</v>
      </c>
      <c r="FA52" s="113" cm="1">
        <f t="array" ref="FA52">$DN$11+SUMPRODUCT($DP$11:$DS$11*EW52:EZ52)</f>
        <v>1.6788643085349055</v>
      </c>
      <c r="FB52">
        <v>1989</v>
      </c>
      <c r="FC52" s="116">
        <f t="shared" si="121"/>
        <v>703110.68176613085</v>
      </c>
      <c r="FD52" s="116">
        <f t="shared" si="255"/>
        <v>2171218.8875173102</v>
      </c>
      <c r="FE52" s="116">
        <f t="shared" si="159"/>
        <v>1644434.8479940284</v>
      </c>
      <c r="FF52" s="116">
        <f t="shared" si="256"/>
        <v>1879299.5925668031</v>
      </c>
      <c r="FG52" s="5">
        <f t="shared" si="257"/>
        <v>291919.29495050712</v>
      </c>
      <c r="FH52" s="5">
        <f t="shared" si="155"/>
        <v>221093.44395367126</v>
      </c>
      <c r="FI52" s="155">
        <f t="shared" si="258"/>
        <v>0.13444950052194116</v>
      </c>
      <c r="FJ52" s="117">
        <f t="shared" si="127"/>
        <v>13.444950052194116</v>
      </c>
      <c r="FK52" s="61">
        <f t="shared" si="259"/>
        <v>7775.0525071201791</v>
      </c>
      <c r="FL52" s="61">
        <f t="shared" si="142"/>
        <v>279.25456265780429</v>
      </c>
      <c r="FM52" s="92">
        <f t="shared" si="128"/>
        <v>37.545636467814909</v>
      </c>
      <c r="FN52" s="72">
        <f t="shared" si="129"/>
        <v>0.13444950052194116</v>
      </c>
      <c r="FO52" s="179">
        <f t="shared" si="260"/>
        <v>1.2515212155938302</v>
      </c>
      <c r="FP52" s="92">
        <f t="shared" si="160"/>
        <v>30.435226844303386</v>
      </c>
      <c r="FQ52" s="1">
        <f t="shared" si="143"/>
        <v>0</v>
      </c>
      <c r="FR52" s="26">
        <f t="shared" si="130"/>
        <v>1.2341408827186904</v>
      </c>
      <c r="FS52">
        <f t="shared" si="261"/>
        <v>1989</v>
      </c>
      <c r="FT52" s="5">
        <f t="shared" si="241"/>
        <v>2258.6147729155255</v>
      </c>
      <c r="FU52" s="214">
        <f t="shared" si="262"/>
        <v>6562.9081903128099</v>
      </c>
      <c r="FV52" s="213">
        <f t="shared" si="131"/>
        <v>3782.1860881340417</v>
      </c>
      <c r="FW52" s="5">
        <f t="shared" si="132"/>
        <v>2780.7221021787682</v>
      </c>
      <c r="FX52" s="1">
        <f t="shared" si="133"/>
        <v>0.423702727745492</v>
      </c>
      <c r="FY52">
        <f t="shared" si="263"/>
        <v>15926.985999210832</v>
      </c>
      <c r="FZ52" s="26">
        <f t="shared" si="134"/>
        <v>0.17459185952172937</v>
      </c>
      <c r="GA52" s="106">
        <f t="shared" si="264"/>
        <v>5.8197286507243127E-3</v>
      </c>
      <c r="GB52" s="61">
        <f t="shared" si="135"/>
        <v>1451.6687861449132</v>
      </c>
      <c r="GC52" s="61">
        <f t="shared" si="207"/>
        <v>2929.3241324345954</v>
      </c>
      <c r="GD52" s="61">
        <f t="shared" si="247"/>
        <v>4678.4598037974811</v>
      </c>
      <c r="GE52" s="61">
        <f t="shared" si="210"/>
        <v>1763.488139713121</v>
      </c>
      <c r="GF52" s="61">
        <f t="shared" si="137"/>
        <v>1165.8359927214744</v>
      </c>
      <c r="GG52" s="61">
        <f t="shared" si="245"/>
        <v>1861.9710838331171</v>
      </c>
      <c r="GH52" s="6">
        <f t="shared" si="138"/>
        <v>0.39798804775917185</v>
      </c>
      <c r="GI52">
        <f t="shared" si="265"/>
        <v>9248.6922093424037</v>
      </c>
      <c r="GJ52" s="26">
        <f t="shared" si="208"/>
        <v>0.12605414542218474</v>
      </c>
      <c r="GK52">
        <f t="shared" si="266"/>
        <v>4.2018048474061582E-3</v>
      </c>
      <c r="GL52" s="232">
        <f t="shared" si="140"/>
        <v>1.2341408827186904</v>
      </c>
      <c r="GY52">
        <v>1989</v>
      </c>
      <c r="GZ52" s="112">
        <f t="shared" si="267"/>
        <v>1.2865761692472459</v>
      </c>
      <c r="HA52" s="112">
        <f t="shared" si="268"/>
        <v>1.3683000601157485</v>
      </c>
      <c r="HB52" s="112">
        <f t="shared" si="269"/>
        <v>2.4025333382167364</v>
      </c>
    </row>
    <row r="53" spans="1:210" x14ac:dyDescent="0.35">
      <c r="A53">
        <v>1990</v>
      </c>
      <c r="D53" s="80">
        <f>'SR + catch data Murdoch_age var'!C42</f>
        <v>861972</v>
      </c>
      <c r="E53" s="80">
        <f>'SR + catch data Murdoch_age var'!E42</f>
        <v>2146403.1629478713</v>
      </c>
      <c r="F53" s="231">
        <f t="shared" si="63"/>
        <v>0.91232598517879238</v>
      </c>
      <c r="G53" s="80">
        <f>'SR + catch data Murdoch_age var'!D42</f>
        <v>1594885</v>
      </c>
      <c r="H53" s="80">
        <f>'Orig data'!Q44</f>
        <v>1594885</v>
      </c>
      <c r="I53" s="80">
        <f t="shared" si="64"/>
        <v>732913</v>
      </c>
      <c r="J53" s="150">
        <f t="shared" si="65"/>
        <v>0.45953971602968241</v>
      </c>
      <c r="K53" s="83">
        <f>'SR + catch data Murdoch_age var'!CM42</f>
        <v>1.1885599058057519</v>
      </c>
      <c r="L53" s="83">
        <f>'SR + catch data Murdoch_age var'!CN42</f>
        <v>1.0671722907532104</v>
      </c>
      <c r="M53" s="84">
        <f>'SR + catch data Murdoch_age var'!CO42</f>
        <v>1846392.0829323863</v>
      </c>
      <c r="N53" s="81">
        <f t="shared" si="66"/>
        <v>0.15055998425163106</v>
      </c>
      <c r="O53" s="82">
        <f t="shared" si="67"/>
        <v>1990</v>
      </c>
      <c r="P53" s="81">
        <f t="shared" si="270"/>
        <v>0.10741516534518507</v>
      </c>
      <c r="Q53" s="81">
        <f t="shared" si="270"/>
        <v>0.75930233821489568</v>
      </c>
      <c r="R53" s="81">
        <f t="shared" si="270"/>
        <v>0.13183604264117066</v>
      </c>
      <c r="S53" s="85">
        <f t="shared" si="270"/>
        <v>1.4464537987485602E-3</v>
      </c>
      <c r="T53" s="80">
        <f t="shared" si="144"/>
        <v>171314.83598155549</v>
      </c>
      <c r="U53" s="80">
        <f t="shared" si="145"/>
        <v>1210999.9096838639</v>
      </c>
      <c r="V53" s="80">
        <f t="shared" si="146"/>
        <v>210263.32686776348</v>
      </c>
      <c r="W53" s="80">
        <f t="shared" si="147"/>
        <v>2306.9274668170974</v>
      </c>
      <c r="X53" s="86">
        <f t="shared" si="73"/>
        <v>1990</v>
      </c>
      <c r="Y53" s="79">
        <f t="shared" si="149"/>
        <v>159264.93691262431</v>
      </c>
      <c r="Z53" s="79">
        <f t="shared" si="152"/>
        <v>1156072.1778528492</v>
      </c>
      <c r="AA53" s="79">
        <f t="shared" si="156"/>
        <v>152235.29603230019</v>
      </c>
      <c r="AB53" s="79">
        <f t="shared" si="161"/>
        <v>1423.6862723309116</v>
      </c>
      <c r="AC53" s="80">
        <f t="shared" si="78"/>
        <v>1468996.0970701047</v>
      </c>
      <c r="AD53" s="84">
        <f t="shared" si="79"/>
        <v>125888.90292989532</v>
      </c>
      <c r="AE53" s="80">
        <f t="shared" si="80"/>
        <v>732913</v>
      </c>
      <c r="AF53" s="72">
        <f t="shared" si="81"/>
        <v>0.49892099881121965</v>
      </c>
      <c r="AG53" s="26">
        <f t="shared" si="82"/>
        <v>3.9381282781537241E-2</v>
      </c>
      <c r="AH53" s="61">
        <f t="shared" si="249"/>
        <v>1990</v>
      </c>
      <c r="AI53" s="26">
        <f t="shared" si="15"/>
        <v>0.49892099881121965</v>
      </c>
      <c r="AJ53" s="75">
        <f t="shared" si="150"/>
        <v>343343.41212356213</v>
      </c>
      <c r="AK53" s="75">
        <f t="shared" si="153"/>
        <v>848182.92707305914</v>
      </c>
      <c r="AL53" s="75">
        <f t="shared" si="157"/>
        <v>132206.34148652741</v>
      </c>
      <c r="AM53" s="75">
        <f t="shared" si="162"/>
        <v>1378.6259745422469</v>
      </c>
      <c r="AN53" s="79">
        <f t="shared" si="84"/>
        <v>1325111.3066576908</v>
      </c>
      <c r="AO53" s="80">
        <f t="shared" si="85"/>
        <v>661125.85665369546</v>
      </c>
      <c r="AP53" s="80">
        <f t="shared" si="86"/>
        <v>663985.45000399533</v>
      </c>
      <c r="AQ53" s="81">
        <v>-0.34015402475930545</v>
      </c>
      <c r="AR53" s="81">
        <v>-0.85136813124068367</v>
      </c>
      <c r="AS53" s="81">
        <f>'SR + catch data Murdoch_age var'!N42</f>
        <v>-1.4188917944111041</v>
      </c>
      <c r="AT53" s="121">
        <f>'SR + catch data Murdoch_age var'!BR42</f>
        <v>-0.53437066183625082</v>
      </c>
      <c r="AU53" s="122">
        <f t="shared" si="250"/>
        <v>1.1885599058057519</v>
      </c>
      <c r="AV53" s="122">
        <f t="shared" si="88"/>
        <v>0.7617660009271614</v>
      </c>
      <c r="AW53" s="115">
        <f t="shared" si="251"/>
        <v>1887819.7675091415</v>
      </c>
      <c r="AX53" s="115"/>
      <c r="AY53" s="141">
        <f t="shared" si="89"/>
        <v>1.2249604690140687</v>
      </c>
      <c r="AZ53" s="141"/>
      <c r="BA53" s="84">
        <v>1200</v>
      </c>
      <c r="BB53" s="101">
        <v>1990</v>
      </c>
      <c r="BC53" s="72">
        <v>3.5750695088044487E-2</v>
      </c>
      <c r="BD53" s="72">
        <v>0.8358758109360519</v>
      </c>
      <c r="BE53" s="72">
        <v>0.11956904541241889</v>
      </c>
      <c r="BF53" s="72">
        <v>8.3410565338276187E-3</v>
      </c>
      <c r="BG53" s="72">
        <v>4.6339202965708991E-4</v>
      </c>
      <c r="BH53" s="76">
        <v>1.2</v>
      </c>
      <c r="BI53" s="76">
        <v>3.9169999999999998</v>
      </c>
      <c r="BJ53" s="72">
        <f t="shared" si="215"/>
        <v>1.1830044978897396</v>
      </c>
      <c r="BK53">
        <v>1.2</v>
      </c>
      <c r="BL53" s="120">
        <v>-0.48528878199999997</v>
      </c>
      <c r="BM53" s="125">
        <v>3.1181279999999999E-2</v>
      </c>
      <c r="BN53" s="4">
        <v>-1.103690579</v>
      </c>
      <c r="BO53" s="98">
        <f t="shared" si="221"/>
        <v>1.9810237212797557</v>
      </c>
      <c r="BP53" s="98">
        <f>BK53*EXP($BG$10*BK53+BO53)</f>
        <v>3.3135453766526437</v>
      </c>
      <c r="BQ53" s="99">
        <f t="shared" si="217"/>
        <v>0.16730732775338147</v>
      </c>
      <c r="BR53" s="200">
        <v>50</v>
      </c>
      <c r="BS53" s="100">
        <v>77.877234866571172</v>
      </c>
      <c r="BT53" s="98">
        <v>0.42305018961951335</v>
      </c>
      <c r="BU53" s="98">
        <f t="shared" si="222"/>
        <v>0.42305018961951335</v>
      </c>
      <c r="BV53" s="99">
        <f t="shared" si="92"/>
        <v>0.42305018961951335</v>
      </c>
      <c r="BW53" s="100">
        <f t="shared" si="218"/>
        <v>973.66998982332552</v>
      </c>
      <c r="BX53" s="100">
        <v>2301.5472246898967</v>
      </c>
      <c r="BY53" s="99" t="e">
        <f>NA()</f>
        <v>#N/A</v>
      </c>
      <c r="BZ53" s="89" t="e">
        <f>NA()</f>
        <v>#N/A</v>
      </c>
      <c r="CA53" s="78">
        <v>1990</v>
      </c>
      <c r="CB53" s="90">
        <f t="shared" si="223"/>
        <v>0.42305018961951335</v>
      </c>
      <c r="CC53" s="97">
        <f t="shared" si="252"/>
        <v>202.03255434669327</v>
      </c>
      <c r="CD53" s="97">
        <f t="shared" si="271"/>
        <v>4078.3740043150237</v>
      </c>
      <c r="CE53" s="97">
        <f t="shared" si="272"/>
        <v>527.69672635613426</v>
      </c>
      <c r="CF53" s="97">
        <f t="shared" si="273"/>
        <v>38.937509994390368</v>
      </c>
      <c r="CG53" s="97">
        <f t="shared" si="274"/>
        <v>2.3061453019293539</v>
      </c>
      <c r="CH53" s="92">
        <f t="shared" si="224"/>
        <v>4849.3469403141708</v>
      </c>
      <c r="CI53" s="200">
        <f t="shared" si="225"/>
        <v>50</v>
      </c>
      <c r="CJ53" s="92">
        <f t="shared" si="226"/>
        <v>77.877234866571172</v>
      </c>
      <c r="CK53" s="92">
        <f t="shared" si="227"/>
        <v>2051.517142630717</v>
      </c>
      <c r="CL53" s="92">
        <f t="shared" si="228"/>
        <v>2179.3943774972881</v>
      </c>
      <c r="CM53" s="72">
        <f t="shared" si="229"/>
        <v>1.7870994168908697E-2</v>
      </c>
      <c r="CN53" s="128">
        <f t="shared" si="230"/>
        <v>0.44942018055653765</v>
      </c>
      <c r="CO53" s="111">
        <f t="shared" si="231"/>
        <v>2669.9525628168826</v>
      </c>
      <c r="CP53" s="72">
        <f t="shared" si="232"/>
        <v>1.9810237212797557</v>
      </c>
      <c r="CQ53" s="96">
        <f t="shared" si="233"/>
        <v>3.1135237438066357</v>
      </c>
      <c r="CR53" s="92">
        <f t="shared" si="234"/>
        <v>3113.5237438066356</v>
      </c>
      <c r="CS53" s="120">
        <f t="shared" si="235"/>
        <v>-0.90461819600000004</v>
      </c>
      <c r="CT53" s="72">
        <f t="shared" si="97"/>
        <v>3.1181279999999999E-2</v>
      </c>
      <c r="CU53" s="72">
        <f t="shared" si="236"/>
        <v>-1.103690579</v>
      </c>
      <c r="CV53" s="104">
        <f t="shared" si="237"/>
        <v>2.301507831848066</v>
      </c>
      <c r="CW53" s="105">
        <f t="shared" si="99"/>
        <v>-0.34015402475930545</v>
      </c>
      <c r="CX53" s="105">
        <f t="shared" si="100"/>
        <v>-0.85136813124068367</v>
      </c>
      <c r="CY53" s="105">
        <f t="shared" si="101"/>
        <v>-1.4188917944111041</v>
      </c>
      <c r="CZ53" s="123">
        <f t="shared" si="242"/>
        <v>-0.68849257550252763</v>
      </c>
      <c r="DA53" s="81">
        <f t="shared" si="253"/>
        <v>1.2231211723689583</v>
      </c>
      <c r="DB53" s="9">
        <f t="shared" si="104"/>
        <v>1887819.7675091415</v>
      </c>
      <c r="DD53" s="1">
        <f t="shared" si="105"/>
        <v>2.202154622590641</v>
      </c>
      <c r="DE53" s="114">
        <v>403</v>
      </c>
      <c r="DF53" s="61">
        <v>1990</v>
      </c>
      <c r="DG53" s="26">
        <v>7.6142131979695434E-3</v>
      </c>
      <c r="DH53" s="26">
        <v>0.29512169725367693</v>
      </c>
      <c r="DI53" s="26">
        <v>0.6060236886632826</v>
      </c>
      <c r="DJ53" s="26">
        <v>8.8702329819081091E-2</v>
      </c>
      <c r="DK53" s="26">
        <v>2.5380710659898475E-3</v>
      </c>
      <c r="DL53" s="106">
        <v>0.40300000000000002</v>
      </c>
      <c r="DM53" s="106">
        <v>1.1299999999999999</v>
      </c>
      <c r="DN53" s="26">
        <v>1.031036349759703</v>
      </c>
      <c r="DO53" s="76">
        <f t="shared" si="107"/>
        <v>0.40300000000000002</v>
      </c>
      <c r="DP53" s="119">
        <v>-0.43948661700000002</v>
      </c>
      <c r="DQ53" s="26">
        <v>0.296112294</v>
      </c>
      <c r="DR53" s="26">
        <v>-0.39107203499999998</v>
      </c>
      <c r="DS53" s="26">
        <v>-0.62016070400000001</v>
      </c>
      <c r="DT53" s="113" cm="1">
        <f t="array" ref="DT53">$DN$11+SUMPRODUCT(DP$11:$DS$11*DP53:DS53)</f>
        <v>1.1787605568899193</v>
      </c>
      <c r="DU53" s="76">
        <f t="shared" si="254"/>
        <v>0.86752355439372175</v>
      </c>
      <c r="DV53" s="72">
        <f t="shared" si="179"/>
        <v>0.26433024821510942</v>
      </c>
      <c r="DW53" s="199">
        <v>50</v>
      </c>
      <c r="DX53" s="61">
        <v>37.451957016236562</v>
      </c>
      <c r="DY53" s="26">
        <v>0.42305018961951335</v>
      </c>
      <c r="DZ53" s="98">
        <f t="shared" si="213"/>
        <v>0.42328536642952302</v>
      </c>
      <c r="EA53" s="98">
        <f t="shared" si="214"/>
        <v>0.42328536642952302</v>
      </c>
      <c r="EB53" s="100">
        <f t="shared" si="188"/>
        <v>359.97202820469897</v>
      </c>
      <c r="EC53" s="61">
        <v>850.42398522093549</v>
      </c>
      <c r="EE53" s="72">
        <f t="shared" si="189"/>
        <v>3.6286569761321025E-2</v>
      </c>
      <c r="EF53">
        <v>1990</v>
      </c>
      <c r="EG53" s="110">
        <f t="shared" si="190"/>
        <v>0.42305018961951335</v>
      </c>
      <c r="EH53" s="97">
        <f t="shared" si="220"/>
        <v>10.528572856800825</v>
      </c>
      <c r="EI53" s="97">
        <f t="shared" si="238"/>
        <v>503.57912846885529</v>
      </c>
      <c r="EJ53" s="97">
        <f t="shared" si="243"/>
        <v>1617.5141904930465</v>
      </c>
      <c r="EK53" s="97">
        <f t="shared" si="246"/>
        <v>249.82911137000053</v>
      </c>
      <c r="EL53" s="97">
        <f t="shared" si="248"/>
        <v>6.8334630312524345</v>
      </c>
      <c r="EM53" s="111">
        <f t="shared" si="196"/>
        <v>2388.2844662199554</v>
      </c>
      <c r="EN53" s="200">
        <f t="shared" si="197"/>
        <v>50</v>
      </c>
      <c r="EO53" s="92">
        <f t="shared" si="198"/>
        <v>37.451957016236562</v>
      </c>
      <c r="EP53" s="92">
        <f t="shared" si="199"/>
        <v>1010.3641962996904</v>
      </c>
      <c r="EQ53" s="92">
        <f t="shared" si="239"/>
        <v>1097.8161533159271</v>
      </c>
      <c r="ER53" s="128">
        <f t="shared" si="201"/>
        <v>0.4596672502139118</v>
      </c>
      <c r="ES53" s="111">
        <f t="shared" si="240"/>
        <v>1290.4683129040284</v>
      </c>
      <c r="ET53" s="72">
        <f t="shared" si="203"/>
        <v>1.1787605568899193</v>
      </c>
      <c r="EU53" s="96">
        <f t="shared" si="204"/>
        <v>1.5859398154664655</v>
      </c>
      <c r="EV53" s="92">
        <f t="shared" si="205"/>
        <v>1585.9398154664655</v>
      </c>
      <c r="EW53" s="120">
        <f t="shared" si="244"/>
        <v>-0.87704872899999997</v>
      </c>
      <c r="EX53" s="9">
        <f t="shared" si="184"/>
        <v>0.296112294</v>
      </c>
      <c r="EY53" s="9">
        <f t="shared" si="185"/>
        <v>-0.39107203499999998</v>
      </c>
      <c r="EZ53" s="9">
        <f t="shared" si="186"/>
        <v>-0.62016070400000001</v>
      </c>
      <c r="FA53" s="113" cm="1">
        <f t="array" ref="FA53">$DN$11+SUMPRODUCT($DP$11:$DS$11*EW53:EZ53)</f>
        <v>1.5256340683108789</v>
      </c>
      <c r="FB53">
        <v>1990</v>
      </c>
      <c r="FC53" s="116">
        <f t="shared" si="121"/>
        <v>663985.45000399533</v>
      </c>
      <c r="FD53" s="116">
        <f t="shared" si="255"/>
        <v>1876206.9813081098</v>
      </c>
      <c r="FE53" s="116">
        <f t="shared" si="159"/>
        <v>1594885</v>
      </c>
      <c r="FF53" s="116">
        <f t="shared" si="256"/>
        <v>1623951.8897954554</v>
      </c>
      <c r="FG53" s="5">
        <f t="shared" si="257"/>
        <v>252255.09151265444</v>
      </c>
      <c r="FH53" s="5">
        <f t="shared" si="155"/>
        <v>164520.84836271033</v>
      </c>
      <c r="FI53" s="155">
        <f t="shared" si="258"/>
        <v>0.13444950052194121</v>
      </c>
      <c r="FJ53" s="117">
        <f t="shared" si="127"/>
        <v>13.444950052194121</v>
      </c>
      <c r="FK53" s="61">
        <f t="shared" si="259"/>
        <v>7775.0525071201791</v>
      </c>
      <c r="FL53" s="61">
        <f t="shared" si="142"/>
        <v>241.31116537025713</v>
      </c>
      <c r="FM53" s="92">
        <f t="shared" si="128"/>
        <v>32.444165654398624</v>
      </c>
      <c r="FN53" s="72">
        <f t="shared" si="129"/>
        <v>0.13444950052194121</v>
      </c>
      <c r="FO53" s="179">
        <f t="shared" si="260"/>
        <v>1.0814721884799541</v>
      </c>
      <c r="FP53" s="92">
        <f t="shared" si="160"/>
        <v>32.017913713999221</v>
      </c>
      <c r="FQ53" s="1">
        <f t="shared" si="143"/>
        <v>0</v>
      </c>
      <c r="FR53" s="26">
        <f t="shared" si="130"/>
        <v>1.2341408827186904</v>
      </c>
      <c r="FS53">
        <f t="shared" si="261"/>
        <v>1990</v>
      </c>
      <c r="FT53" s="5">
        <f t="shared" si="241"/>
        <v>2669.9525628168826</v>
      </c>
      <c r="FU53" s="214">
        <f t="shared" si="262"/>
        <v>5168.1864049339247</v>
      </c>
      <c r="FV53" s="213">
        <f t="shared" si="131"/>
        <v>2978.4117276662532</v>
      </c>
      <c r="FW53" s="5">
        <f t="shared" si="132"/>
        <v>2189.7746772676714</v>
      </c>
      <c r="FX53" s="1">
        <f t="shared" si="133"/>
        <v>0.42370272774549195</v>
      </c>
      <c r="FY53">
        <f t="shared" si="263"/>
        <v>16562.648853458159</v>
      </c>
      <c r="FZ53" s="26">
        <f t="shared" si="134"/>
        <v>0.13221162246704654</v>
      </c>
      <c r="GA53" s="106">
        <f t="shared" si="264"/>
        <v>4.4070540822348844E-3</v>
      </c>
      <c r="GB53" s="61">
        <f t="shared" si="135"/>
        <v>1290.4683129040284</v>
      </c>
      <c r="GC53" s="61">
        <f t="shared" si="207"/>
        <v>2634.3992167650977</v>
      </c>
      <c r="GD53" s="61">
        <f t="shared" si="247"/>
        <v>4433.5681156734536</v>
      </c>
      <c r="GE53" s="61">
        <f t="shared" si="210"/>
        <v>1585.9398154664655</v>
      </c>
      <c r="GF53" s="61">
        <f t="shared" si="137"/>
        <v>1048.4594012986322</v>
      </c>
      <c r="GG53" s="61">
        <f t="shared" si="245"/>
        <v>1764.5071189641881</v>
      </c>
      <c r="GH53" s="6">
        <f t="shared" si="138"/>
        <v>0.39798804775917168</v>
      </c>
      <c r="GI53">
        <f t="shared" si="265"/>
        <v>9248.6922093424037</v>
      </c>
      <c r="GJ53" s="26">
        <f t="shared" si="208"/>
        <v>0.11336298987650918</v>
      </c>
      <c r="GK53">
        <f t="shared" si="266"/>
        <v>3.7787663292169729E-3</v>
      </c>
      <c r="GL53" s="232">
        <f t="shared" si="140"/>
        <v>1.2341408827186904</v>
      </c>
      <c r="GY53">
        <v>1990</v>
      </c>
      <c r="GZ53" s="112">
        <f t="shared" si="267"/>
        <v>1.1885599058057519</v>
      </c>
      <c r="HA53" s="112">
        <f t="shared" si="268"/>
        <v>1.1787605568899193</v>
      </c>
      <c r="HB53" s="112">
        <f t="shared" si="269"/>
        <v>2.301507831848066</v>
      </c>
    </row>
    <row r="54" spans="1:210" x14ac:dyDescent="0.35">
      <c r="A54">
        <v>1991</v>
      </c>
      <c r="D54" s="80">
        <f>'SR + catch data Murdoch_age var'!C43</f>
        <v>1106348</v>
      </c>
      <c r="E54" s="80">
        <f>'SR + catch data Murdoch_age var'!E43</f>
        <v>1813267.302483201</v>
      </c>
      <c r="F54" s="231">
        <f t="shared" si="63"/>
        <v>0.49406585647799239</v>
      </c>
      <c r="G54" s="80">
        <f>'SR + catch data Murdoch_age var'!D43</f>
        <v>1454169</v>
      </c>
      <c r="H54" s="80">
        <f>'Orig data'!Q45</f>
        <v>1454169</v>
      </c>
      <c r="I54" s="80">
        <f t="shared" si="64"/>
        <v>347821</v>
      </c>
      <c r="J54" s="150">
        <f t="shared" si="65"/>
        <v>0.23918884256231565</v>
      </c>
      <c r="K54" s="83">
        <f>'SR + catch data Murdoch_age var'!CM43</f>
        <v>1.1525689423123353</v>
      </c>
      <c r="L54" s="83">
        <f>'SR + catch data Murdoch_age var'!CN43</f>
        <v>1.0586803587103646</v>
      </c>
      <c r="M54" s="84">
        <f>'SR + catch data Murdoch_age var'!CO43</f>
        <v>2025547.493405551</v>
      </c>
      <c r="N54" s="81">
        <f t="shared" si="66"/>
        <v>-0.11070967366478407</v>
      </c>
      <c r="O54" s="82">
        <f t="shared" si="67"/>
        <v>1991</v>
      </c>
      <c r="P54" s="81">
        <f t="shared" si="270"/>
        <v>0.10741516534518507</v>
      </c>
      <c r="Q54" s="81">
        <f t="shared" si="270"/>
        <v>0.75930233821489568</v>
      </c>
      <c r="R54" s="81">
        <f t="shared" si="270"/>
        <v>0.13183604264117066</v>
      </c>
      <c r="S54" s="85">
        <f t="shared" si="270"/>
        <v>1.4464537987485602E-3</v>
      </c>
      <c r="T54" s="80">
        <f t="shared" si="144"/>
        <v>156199.80357484243</v>
      </c>
      <c r="U54" s="80">
        <f t="shared" si="145"/>
        <v>1104153.9218596166</v>
      </c>
      <c r="V54" s="80">
        <f t="shared" si="146"/>
        <v>191711.88629146849</v>
      </c>
      <c r="W54" s="80">
        <f t="shared" si="147"/>
        <v>2103.3882740723952</v>
      </c>
      <c r="X54" s="86">
        <f t="shared" si="73"/>
        <v>1991</v>
      </c>
      <c r="Y54" s="79">
        <f t="shared" si="149"/>
        <v>164931.42692089544</v>
      </c>
      <c r="Z54" s="79">
        <f t="shared" si="152"/>
        <v>1125820.9081072202</v>
      </c>
      <c r="AA54" s="79">
        <f t="shared" si="156"/>
        <v>200726.34214981709</v>
      </c>
      <c r="AB54" s="79">
        <f t="shared" si="161"/>
        <v>1670.2664752223552</v>
      </c>
      <c r="AC54" s="80">
        <f t="shared" si="78"/>
        <v>1493148.9436531551</v>
      </c>
      <c r="AD54" s="84">
        <f t="shared" si="79"/>
        <v>-38979.943653155118</v>
      </c>
      <c r="AE54" s="80">
        <f t="shared" si="80"/>
        <v>347821</v>
      </c>
      <c r="AF54" s="72">
        <f t="shared" si="81"/>
        <v>0.23294461110424605</v>
      </c>
      <c r="AG54" s="26">
        <f t="shared" si="82"/>
        <v>-6.244231458069599E-3</v>
      </c>
      <c r="AH54" s="61">
        <f t="shared" si="249"/>
        <v>1991</v>
      </c>
      <c r="AI54" s="74" cm="1">
        <f t="array" ref="AI54">IF(Uhistoric=1,J54,Uapply)</f>
        <v>0.2</v>
      </c>
      <c r="AJ54" s="75">
        <f t="shared" si="150"/>
        <v>161491.71483908218</v>
      </c>
      <c r="AK54" s="75">
        <f t="shared" si="153"/>
        <v>2427045.145797817</v>
      </c>
      <c r="AL54" s="75">
        <f t="shared" si="157"/>
        <v>147268.18938027485</v>
      </c>
      <c r="AM54" s="75">
        <f t="shared" si="162"/>
        <v>1450.5165736984754</v>
      </c>
      <c r="AN54" s="79">
        <f t="shared" si="84"/>
        <v>2737255.5665908726</v>
      </c>
      <c r="AO54" s="80">
        <f t="shared" si="85"/>
        <v>547451.1133181745</v>
      </c>
      <c r="AP54" s="80">
        <f t="shared" si="86"/>
        <v>2189804.453272698</v>
      </c>
      <c r="AQ54" s="81">
        <v>0.8586447486963571</v>
      </c>
      <c r="AR54" s="81">
        <v>-0.28304059244413227</v>
      </c>
      <c r="AS54" s="81">
        <f>'SR + catch data Murdoch_age var'!N43</f>
        <v>0.41402055355195183</v>
      </c>
      <c r="AT54" s="121">
        <f>'SR + catch data Murdoch_age var'!BR43</f>
        <v>-0.48291432726648731</v>
      </c>
      <c r="AU54" s="122">
        <f t="shared" si="250"/>
        <v>1.1525689423123351</v>
      </c>
      <c r="AV54" s="122">
        <f t="shared" si="88"/>
        <v>0.60477553014277641</v>
      </c>
      <c r="AW54" s="115">
        <f t="shared" si="251"/>
        <v>2197937.2237846758</v>
      </c>
      <c r="AX54" s="115"/>
      <c r="AY54" s="141">
        <f t="shared" si="89"/>
        <v>2.8349985002943949</v>
      </c>
      <c r="AZ54" s="141"/>
      <c r="BA54" s="84">
        <v>1200</v>
      </c>
      <c r="BB54" s="101">
        <v>1991</v>
      </c>
      <c r="BC54" s="72">
        <v>3.5750695088044487E-2</v>
      </c>
      <c r="BD54" s="72">
        <v>0.8358758109360519</v>
      </c>
      <c r="BE54" s="72">
        <v>0.11956904541241889</v>
      </c>
      <c r="BF54" s="72">
        <v>8.3410565338276187E-3</v>
      </c>
      <c r="BG54" s="72">
        <v>4.6339202965708991E-4</v>
      </c>
      <c r="BH54" s="76">
        <v>1.2</v>
      </c>
      <c r="BI54" s="76">
        <v>1.5</v>
      </c>
      <c r="BJ54" s="72">
        <f t="shared" si="215"/>
        <v>0.22314355131420976</v>
      </c>
      <c r="BK54">
        <v>1.2</v>
      </c>
      <c r="BL54" s="120">
        <v>-0.43948661700000002</v>
      </c>
      <c r="BM54" s="125">
        <v>0.65489779400000003</v>
      </c>
      <c r="BN54" s="4">
        <v>-0.39107203499999998</v>
      </c>
      <c r="BO54" s="98">
        <f t="shared" si="221"/>
        <v>1.7904698028472514</v>
      </c>
      <c r="BP54" s="98">
        <f t="shared" si="216"/>
        <v>2.7386492064616101</v>
      </c>
      <c r="BQ54" s="99">
        <f t="shared" si="217"/>
        <v>-0.60199970038964401</v>
      </c>
      <c r="BR54" s="200">
        <v>50</v>
      </c>
      <c r="BS54" s="100">
        <v>36.23499920420182</v>
      </c>
      <c r="BT54" s="98">
        <v>0.42305018961951335</v>
      </c>
      <c r="BU54" s="98">
        <f t="shared" si="222"/>
        <v>0.42305018961951335</v>
      </c>
      <c r="BV54" s="99">
        <f t="shared" si="92"/>
        <v>0.42305018961951335</v>
      </c>
      <c r="BW54" s="100">
        <f t="shared" si="218"/>
        <v>943.13569485314792</v>
      </c>
      <c r="BX54" s="100">
        <v>2229.3706940573497</v>
      </c>
      <c r="BY54" s="99" t="e">
        <f>NA()</f>
        <v>#N/A</v>
      </c>
      <c r="BZ54" s="89" t="e">
        <f>NA()</f>
        <v>#N/A</v>
      </c>
      <c r="CA54" s="78">
        <v>1991</v>
      </c>
      <c r="CB54" s="91">
        <f t="shared" ref="CB54:CB81" si="275">IF(Uhistoric=1,BT54,byrate*AI54)</f>
        <v>0.13799999999999998</v>
      </c>
      <c r="CC54" s="97">
        <f t="shared" si="252"/>
        <v>92.753921644699062</v>
      </c>
      <c r="CD54" s="97">
        <f t="shared" si="271"/>
        <v>4723.6599116221942</v>
      </c>
      <c r="CE54" s="97">
        <f t="shared" si="272"/>
        <v>583.39681583162701</v>
      </c>
      <c r="CF54" s="97">
        <f t="shared" si="273"/>
        <v>36.811770237609657</v>
      </c>
      <c r="CG54" s="97">
        <f t="shared" si="274"/>
        <v>2.1631949996883537</v>
      </c>
      <c r="CH54" s="92">
        <f t="shared" si="224"/>
        <v>5438.7856143358185</v>
      </c>
      <c r="CI54" s="200">
        <f t="shared" si="225"/>
        <v>50</v>
      </c>
      <c r="CJ54" s="92">
        <f t="shared" si="226"/>
        <v>36.23499920420182</v>
      </c>
      <c r="CK54" s="92">
        <f t="shared" si="227"/>
        <v>750.55241477834284</v>
      </c>
      <c r="CL54" s="92">
        <f t="shared" si="228"/>
        <v>836.78741398254465</v>
      </c>
      <c r="CM54" s="72">
        <f t="shared" si="229"/>
        <v>1.0664998491269487E-2</v>
      </c>
      <c r="CN54" s="128">
        <f t="shared" si="230"/>
        <v>0.1538555613916642</v>
      </c>
      <c r="CO54" s="111">
        <f t="shared" si="231"/>
        <v>4601.9982003532741</v>
      </c>
      <c r="CP54" s="72">
        <f t="shared" si="232"/>
        <v>1.7904698028472514</v>
      </c>
      <c r="CQ54" s="96">
        <f t="shared" si="233"/>
        <v>0.97085729389377307</v>
      </c>
      <c r="CR54" s="92">
        <f t="shared" si="234"/>
        <v>970.85729389377309</v>
      </c>
      <c r="CS54" s="120">
        <f t="shared" si="235"/>
        <v>-0.90461819600000004</v>
      </c>
      <c r="CT54" s="72">
        <f t="shared" si="97"/>
        <v>0.65489779400000003</v>
      </c>
      <c r="CU54" s="72">
        <f t="shared" si="236"/>
        <v>-0.39107203499999998</v>
      </c>
      <c r="CV54" s="104">
        <f t="shared" si="237"/>
        <v>2.1459594856984734</v>
      </c>
      <c r="CW54" s="105">
        <f t="shared" si="99"/>
        <v>0.8586447486963571</v>
      </c>
      <c r="CX54" s="105">
        <f t="shared" si="100"/>
        <v>-0.28304059244413227</v>
      </c>
      <c r="CY54" s="105">
        <f t="shared" si="101"/>
        <v>0.41402055355195183</v>
      </c>
      <c r="CZ54" s="123">
        <f t="shared" si="242"/>
        <v>-0.68849257550252763</v>
      </c>
      <c r="DA54" s="81">
        <f t="shared" si="253"/>
        <v>1.1986691007380053</v>
      </c>
      <c r="DB54" s="9">
        <f t="shared" si="104"/>
        <v>2197937.2237846758</v>
      </c>
      <c r="DD54" s="1">
        <f t="shared" si="105"/>
        <v>1.9421990212693057</v>
      </c>
      <c r="DE54" s="114">
        <v>466</v>
      </c>
      <c r="DF54" s="61">
        <v>1991</v>
      </c>
      <c r="DG54" s="26">
        <v>7.6142131979695434E-3</v>
      </c>
      <c r="DH54" s="26">
        <v>0.29512169725367693</v>
      </c>
      <c r="DI54" s="26">
        <v>0.6060236886632826</v>
      </c>
      <c r="DJ54" s="26">
        <v>8.8702329819081091E-2</v>
      </c>
      <c r="DK54" s="26">
        <v>2.5380710659898475E-3</v>
      </c>
      <c r="DL54" s="106">
        <v>0.46600000000000003</v>
      </c>
      <c r="DM54" s="106">
        <v>1.3440000000000001</v>
      </c>
      <c r="DN54" s="26">
        <v>1.059219886957449</v>
      </c>
      <c r="DO54" s="76">
        <f t="shared" si="107"/>
        <v>0.46600000000000003</v>
      </c>
      <c r="DP54" s="119">
        <v>-0.39152388999999999</v>
      </c>
      <c r="DQ54" s="26">
        <v>-0.25997554099999998</v>
      </c>
      <c r="DR54" s="26">
        <v>-1.4789909539999999</v>
      </c>
      <c r="DS54" s="26">
        <v>0.91989593599999997</v>
      </c>
      <c r="DT54" s="113" cm="1">
        <f t="array" ref="DT54">$DN$11+SUMPRODUCT(DP$11:$DS$11*DP54:DS54)</f>
        <v>1.3581354138229949</v>
      </c>
      <c r="DU54" s="76">
        <f t="shared" si="254"/>
        <v>1.1253519744030207</v>
      </c>
      <c r="DV54" s="72">
        <f t="shared" si="179"/>
        <v>0.17755438924095959</v>
      </c>
      <c r="DW54" s="199">
        <v>50</v>
      </c>
      <c r="DX54" s="61">
        <v>45.979815410358981</v>
      </c>
      <c r="DY54" s="26">
        <v>0.42305018961951335</v>
      </c>
      <c r="DZ54" s="98">
        <f t="shared" si="213"/>
        <v>0.42263924193617558</v>
      </c>
      <c r="EA54" s="110">
        <f t="shared" si="214"/>
        <v>0.42263924193617558</v>
      </c>
      <c r="EB54" s="100">
        <f t="shared" si="188"/>
        <v>411.38009442306065</v>
      </c>
      <c r="EC54" s="61">
        <v>973.35990983341958</v>
      </c>
      <c r="EE54" s="72">
        <f t="shared" si="189"/>
        <v>3.4082127691549204E-2</v>
      </c>
      <c r="EF54">
        <v>1991</v>
      </c>
      <c r="EG54" s="110">
        <f t="shared" ref="EG54:EG80" si="276">IF(Uhistoric,DZ54,byrate*AI54)</f>
        <v>0.13799999999999998</v>
      </c>
      <c r="EH54" s="97">
        <f t="shared" si="220"/>
        <v>15.842312457559363</v>
      </c>
      <c r="EI54" s="97">
        <f t="shared" si="238"/>
        <v>408.08028490542432</v>
      </c>
      <c r="EJ54" s="97">
        <f t="shared" si="243"/>
        <v>1034.0848667125049</v>
      </c>
      <c r="EK54" s="97">
        <f t="shared" si="246"/>
        <v>236.75192883735053</v>
      </c>
      <c r="EL54" s="97">
        <f t="shared" si="248"/>
        <v>7.1484485278283341</v>
      </c>
      <c r="EM54" s="111">
        <f t="shared" si="196"/>
        <v>1701.9078414406674</v>
      </c>
      <c r="EN54" s="200">
        <f t="shared" si="197"/>
        <v>50</v>
      </c>
      <c r="EO54" s="92">
        <f t="shared" si="198"/>
        <v>45.979815410358981</v>
      </c>
      <c r="EP54" s="92">
        <f t="shared" si="199"/>
        <v>234.86328211881207</v>
      </c>
      <c r="EQ54" s="92">
        <f t="shared" si="239"/>
        <v>330.84309752917102</v>
      </c>
      <c r="ER54" s="128">
        <f t="shared" si="201"/>
        <v>0.19439542463657247</v>
      </c>
      <c r="ES54" s="111">
        <f t="shared" si="240"/>
        <v>1371.0647439114964</v>
      </c>
      <c r="ET54" s="72">
        <f t="shared" si="203"/>
        <v>1.3581354138229949</v>
      </c>
      <c r="EU54" s="96">
        <f t="shared" si="204"/>
        <v>1.9285130339513716</v>
      </c>
      <c r="EV54" s="92">
        <f t="shared" si="205"/>
        <v>1928.5130339513717</v>
      </c>
      <c r="EW54" s="120">
        <f t="shared" si="244"/>
        <v>-0.87704872899999997</v>
      </c>
      <c r="EX54" s="9">
        <f t="shared" si="184"/>
        <v>-0.25997554099999998</v>
      </c>
      <c r="EY54" s="9">
        <f t="shared" si="185"/>
        <v>-1.4789909539999999</v>
      </c>
      <c r="EZ54" s="9">
        <f t="shared" si="186"/>
        <v>0.91989593599999997</v>
      </c>
      <c r="FA54" s="113" cm="1">
        <f t="array" ref="FA54">$DN$11+SUMPRODUCT($DP$11:$DS$11*EW54:EZ54)</f>
        <v>1.7430309547468537</v>
      </c>
      <c r="FB54">
        <v>1991</v>
      </c>
      <c r="FC54" s="116">
        <f t="shared" si="121"/>
        <v>2189804.453272698</v>
      </c>
      <c r="FD54" s="116">
        <f t="shared" si="255"/>
        <v>2836635.1049793945</v>
      </c>
      <c r="FE54" s="116">
        <f t="shared" si="159"/>
        <v>2737255.5665908726</v>
      </c>
      <c r="FF54" s="116">
        <f t="shared" si="256"/>
        <v>2455250.9319519103</v>
      </c>
      <c r="FG54" s="5">
        <f t="shared" si="257"/>
        <v>381384.17302748421</v>
      </c>
      <c r="FH54" s="5">
        <f t="shared" si="155"/>
        <v>323738.51424869406</v>
      </c>
      <c r="FI54" s="155">
        <f t="shared" si="258"/>
        <v>0.13444950052194132</v>
      </c>
      <c r="FJ54" s="117">
        <f t="shared" si="127"/>
        <v>13.444950052194132</v>
      </c>
      <c r="FK54" s="61">
        <f t="shared" si="259"/>
        <v>7775.0525071201791</v>
      </c>
      <c r="FL54" s="61">
        <f t="shared" si="142"/>
        <v>364.83806410074817</v>
      </c>
      <c r="FM54" s="92">
        <f t="shared" si="128"/>
        <v>49.052295489737602</v>
      </c>
      <c r="FN54" s="72">
        <f t="shared" si="129"/>
        <v>0.13444950052194132</v>
      </c>
      <c r="FO54" s="179">
        <f t="shared" si="260"/>
        <v>1.6350765163245868</v>
      </c>
      <c r="FP54" s="92">
        <f t="shared" si="160"/>
        <v>35.453918999858985</v>
      </c>
      <c r="FQ54" s="1">
        <f t="shared" si="143"/>
        <v>0</v>
      </c>
      <c r="FR54" s="26">
        <f t="shared" si="130"/>
        <v>1.2341408827186904</v>
      </c>
      <c r="FS54">
        <f t="shared" si="261"/>
        <v>1991</v>
      </c>
      <c r="FT54" s="5">
        <f t="shared" si="241"/>
        <v>4601.9982003532741</v>
      </c>
      <c r="FU54" s="214">
        <f t="shared" si="262"/>
        <v>1658.3713071290449</v>
      </c>
      <c r="FV54" s="213">
        <f t="shared" si="131"/>
        <v>955.71486068361139</v>
      </c>
      <c r="FW54" s="5">
        <f t="shared" si="132"/>
        <v>702.65644644543352</v>
      </c>
      <c r="FX54" s="1">
        <f t="shared" si="133"/>
        <v>0.42370272774549206</v>
      </c>
      <c r="FY54">
        <f t="shared" si="263"/>
        <v>17227.833015296364</v>
      </c>
      <c r="FZ54" s="26">
        <f t="shared" si="134"/>
        <v>4.0786118940295865E-2</v>
      </c>
      <c r="GA54" s="106">
        <f t="shared" si="264"/>
        <v>1.3595372980098621E-3</v>
      </c>
      <c r="GB54" s="61">
        <f t="shared" si="135"/>
        <v>1371.0647439114964</v>
      </c>
      <c r="GC54" s="61">
        <f t="shared" si="207"/>
        <v>3203.4464212429643</v>
      </c>
      <c r="GD54" s="61">
        <f t="shared" si="247"/>
        <v>2834.4021467654029</v>
      </c>
      <c r="GE54" s="61">
        <f t="shared" si="210"/>
        <v>1928.5130339513714</v>
      </c>
      <c r="GF54" s="61">
        <f t="shared" si="137"/>
        <v>1274.9333872915929</v>
      </c>
      <c r="GG54" s="61">
        <f t="shared" si="245"/>
        <v>1128.0581769555681</v>
      </c>
      <c r="GH54" s="6">
        <f t="shared" si="138"/>
        <v>0.39798804775917179</v>
      </c>
      <c r="GI54">
        <f t="shared" si="265"/>
        <v>9248.6922093424037</v>
      </c>
      <c r="GJ54" s="26">
        <f t="shared" si="208"/>
        <v>0.1378501260971515</v>
      </c>
      <c r="GK54">
        <f t="shared" si="266"/>
        <v>4.5950042032383833E-3</v>
      </c>
      <c r="GL54" s="232">
        <f t="shared" si="140"/>
        <v>1.2341408827186904</v>
      </c>
      <c r="GY54">
        <v>1991</v>
      </c>
      <c r="GZ54" s="112">
        <f t="shared" si="267"/>
        <v>1.1525689423123351</v>
      </c>
      <c r="HA54" s="112">
        <f t="shared" si="268"/>
        <v>1.3581354138229949</v>
      </c>
      <c r="HB54" s="112">
        <f t="shared" si="269"/>
        <v>2.1459594856984734</v>
      </c>
    </row>
    <row r="55" spans="1:210" x14ac:dyDescent="0.35">
      <c r="A55">
        <v>1992</v>
      </c>
      <c r="D55" s="80">
        <f>'SR + catch data Murdoch_age var'!C44</f>
        <v>1035859</v>
      </c>
      <c r="E55" s="80">
        <f>'SR + catch data Murdoch_age var'!E44</f>
        <v>1301468.2344712224</v>
      </c>
      <c r="F55" s="231">
        <f t="shared" si="63"/>
        <v>0.22826200410556305</v>
      </c>
      <c r="G55" s="80">
        <f>'SR + catch data Murdoch_age var'!D44</f>
        <v>1555718</v>
      </c>
      <c r="H55" s="80">
        <f>'Orig data'!Q46</f>
        <v>1555718</v>
      </c>
      <c r="I55" s="80">
        <f t="shared" si="64"/>
        <v>519859</v>
      </c>
      <c r="J55" s="150">
        <f t="shared" si="65"/>
        <v>0.3341601755588095</v>
      </c>
      <c r="K55" s="83">
        <f>'SR + catch data Murdoch_age var'!CM44</f>
        <v>0.92501089346488052</v>
      </c>
      <c r="L55" s="83">
        <f>'SR + catch data Murdoch_age var'!CN44</f>
        <v>1.0566401209140162</v>
      </c>
      <c r="M55" s="84">
        <f>'SR + catch data Murdoch_age var'!CO44</f>
        <v>1564161.9742768079</v>
      </c>
      <c r="N55" s="81">
        <f t="shared" si="66"/>
        <v>-0.18385716258207649</v>
      </c>
      <c r="O55" s="82">
        <f t="shared" si="67"/>
        <v>1992</v>
      </c>
      <c r="P55" s="81">
        <f t="shared" si="270"/>
        <v>0.10741516534518507</v>
      </c>
      <c r="Q55" s="81">
        <f t="shared" si="270"/>
        <v>0.75930233821489568</v>
      </c>
      <c r="R55" s="81">
        <f t="shared" si="270"/>
        <v>0.13183604264117066</v>
      </c>
      <c r="S55" s="85">
        <f t="shared" si="270"/>
        <v>1.4464537987485602E-3</v>
      </c>
      <c r="T55" s="80">
        <f t="shared" si="144"/>
        <v>167107.70620048064</v>
      </c>
      <c r="U55" s="80">
        <f t="shared" si="145"/>
        <v>1181260.3150030011</v>
      </c>
      <c r="V55" s="80">
        <f t="shared" si="146"/>
        <v>205099.70458563673</v>
      </c>
      <c r="W55" s="80">
        <f t="shared" si="147"/>
        <v>2250.2742108815128</v>
      </c>
      <c r="X55" s="86">
        <f t="shared" si="73"/>
        <v>1992</v>
      </c>
      <c r="Y55" s="79">
        <f t="shared" si="149"/>
        <v>171177.98478456709</v>
      </c>
      <c r="Z55" s="79">
        <f t="shared" si="152"/>
        <v>1165876.5101157918</v>
      </c>
      <c r="AA55" s="79">
        <f t="shared" si="156"/>
        <v>195473.87881945187</v>
      </c>
      <c r="AB55" s="79">
        <f t="shared" si="161"/>
        <v>2202.2913787070574</v>
      </c>
      <c r="AC55" s="80">
        <f t="shared" si="78"/>
        <v>1534730.6650985179</v>
      </c>
      <c r="AD55" s="84">
        <f t="shared" si="79"/>
        <v>20987.3349014821</v>
      </c>
      <c r="AE55" s="80">
        <f t="shared" si="80"/>
        <v>519859</v>
      </c>
      <c r="AF55" s="72">
        <f t="shared" si="81"/>
        <v>0.338729792674488</v>
      </c>
      <c r="AG55" s="26">
        <f t="shared" si="82"/>
        <v>4.5696171156784926E-3</v>
      </c>
      <c r="AH55" s="61">
        <f t="shared" si="249"/>
        <v>1992</v>
      </c>
      <c r="AI55" s="74" cm="1">
        <f t="array" ref="AI55">IF(Uhistoric=1,J55,Uapply)</f>
        <v>0.2</v>
      </c>
      <c r="AJ55" s="75">
        <f t="shared" si="150"/>
        <v>173267.28358795863</v>
      </c>
      <c r="AK55" s="75">
        <f t="shared" si="153"/>
        <v>1141561.6806583896</v>
      </c>
      <c r="AL55" s="75">
        <f t="shared" si="157"/>
        <v>421402.66298362118</v>
      </c>
      <c r="AM55" s="75">
        <f t="shared" si="162"/>
        <v>1615.769312370111</v>
      </c>
      <c r="AN55" s="79">
        <f t="shared" si="84"/>
        <v>1737847.3965423396</v>
      </c>
      <c r="AO55" s="80">
        <f t="shared" si="85"/>
        <v>347569.47930846794</v>
      </c>
      <c r="AP55" s="80">
        <f t="shared" si="86"/>
        <v>1390277.9172338718</v>
      </c>
      <c r="AQ55" s="81">
        <v>0.8675858108945117</v>
      </c>
      <c r="AR55" s="81">
        <v>-2.1362825667807126</v>
      </c>
      <c r="AS55" s="81">
        <f>'SR + catch data Murdoch_age var'!N44</f>
        <v>0.60105242579308005</v>
      </c>
      <c r="AT55" s="121">
        <f>'SR + catch data Murdoch_age var'!BR44</f>
        <v>-0.40087219707546795</v>
      </c>
      <c r="AU55" s="122">
        <f t="shared" si="250"/>
        <v>0.92501089346488041</v>
      </c>
      <c r="AV55" s="122">
        <f t="shared" si="88"/>
        <v>0.41211916668763959</v>
      </c>
      <c r="AW55" s="115">
        <f t="shared" si="251"/>
        <v>1563266.7267185666</v>
      </c>
      <c r="AX55" s="115"/>
      <c r="AY55" s="141">
        <f t="shared" si="89"/>
        <v>1.7960299016539112</v>
      </c>
      <c r="AZ55" s="141"/>
      <c r="BA55" s="84">
        <v>900</v>
      </c>
      <c r="BB55" s="101">
        <v>1992</v>
      </c>
      <c r="BC55" s="72">
        <v>3.5750695088044487E-2</v>
      </c>
      <c r="BD55" s="72">
        <v>0.8358758109360519</v>
      </c>
      <c r="BE55" s="72">
        <v>0.11956904541241889</v>
      </c>
      <c r="BF55" s="72">
        <v>8.3410565338276187E-3</v>
      </c>
      <c r="BG55" s="72">
        <v>4.6339202965708991E-4</v>
      </c>
      <c r="BH55" s="76">
        <v>0.9</v>
      </c>
      <c r="BI55" s="76">
        <v>3.423</v>
      </c>
      <c r="BJ55" s="72">
        <f t="shared" si="215"/>
        <v>1.3358778752058746</v>
      </c>
      <c r="BK55">
        <v>0.9</v>
      </c>
      <c r="BL55" s="120">
        <v>-0.39152388999999999</v>
      </c>
      <c r="BM55" s="125">
        <v>0.296112294</v>
      </c>
      <c r="BN55" s="4">
        <v>-1.4789909539999999</v>
      </c>
      <c r="BO55" s="98">
        <f t="shared" si="221"/>
        <v>1.8705435363109464</v>
      </c>
      <c r="BP55" s="98">
        <f t="shared" si="216"/>
        <v>2.8325804253780071</v>
      </c>
      <c r="BQ55" s="99">
        <f t="shared" si="217"/>
        <v>0.18932925225247635</v>
      </c>
      <c r="BR55" s="200">
        <v>50</v>
      </c>
      <c r="BS55" s="100">
        <v>36.517985038994112</v>
      </c>
      <c r="BT55" s="98">
        <v>0.42305018961951335</v>
      </c>
      <c r="BU55" s="98">
        <f t="shared" si="222"/>
        <v>0.42305018961951329</v>
      </c>
      <c r="BV55" s="99">
        <f t="shared" si="92"/>
        <v>0.42305018961951329</v>
      </c>
      <c r="BW55" s="100">
        <f t="shared" si="218"/>
        <v>723.36728971030425</v>
      </c>
      <c r="BX55" s="100">
        <v>1709.8852747492983</v>
      </c>
      <c r="BY55" s="99" t="e">
        <f>NA()</f>
        <v>#N/A</v>
      </c>
      <c r="BZ55" s="89" t="e">
        <f>NA()</f>
        <v>#N/A</v>
      </c>
      <c r="CA55" s="78">
        <v>1992</v>
      </c>
      <c r="CB55" s="91">
        <f t="shared" si="275"/>
        <v>0.13799999999999998</v>
      </c>
      <c r="CC55" s="97">
        <f t="shared" si="252"/>
        <v>132.56211839087428</v>
      </c>
      <c r="CD55" s="97">
        <f t="shared" si="271"/>
        <v>2168.6504075326125</v>
      </c>
      <c r="CE55" s="97">
        <f t="shared" si="272"/>
        <v>675.70265713645188</v>
      </c>
      <c r="CF55" s="97">
        <f t="shared" si="273"/>
        <v>40.697371177651007</v>
      </c>
      <c r="CG55" s="97">
        <f t="shared" si="274"/>
        <v>2.0450983465338695</v>
      </c>
      <c r="CH55" s="92">
        <f t="shared" si="224"/>
        <v>3019.6576525841233</v>
      </c>
      <c r="CI55" s="200">
        <f t="shared" si="225"/>
        <v>50</v>
      </c>
      <c r="CJ55" s="92">
        <f t="shared" si="226"/>
        <v>36.517985038994112</v>
      </c>
      <c r="CK55" s="92">
        <f t="shared" si="227"/>
        <v>416.71275605660895</v>
      </c>
      <c r="CL55" s="92">
        <f t="shared" si="228"/>
        <v>503.23074109560309</v>
      </c>
      <c r="CM55" s="72">
        <f t="shared" si="229"/>
        <v>1.9209012094994028E-2</v>
      </c>
      <c r="CN55" s="128">
        <f t="shared" si="230"/>
        <v>0.166651587362877</v>
      </c>
      <c r="CO55" s="111">
        <f t="shared" si="231"/>
        <v>2516.4269114885201</v>
      </c>
      <c r="CP55" s="72">
        <f t="shared" si="232"/>
        <v>1.8705435363109464</v>
      </c>
      <c r="CQ55" s="96">
        <f t="shared" si="233"/>
        <v>3.1938230178983509</v>
      </c>
      <c r="CR55" s="92">
        <f t="shared" si="234"/>
        <v>3193.8230178983508</v>
      </c>
      <c r="CS55" s="120">
        <f t="shared" si="235"/>
        <v>-0.90461819600000004</v>
      </c>
      <c r="CT55" s="72">
        <f t="shared" si="97"/>
        <v>0.296112294</v>
      </c>
      <c r="CU55" s="72">
        <f t="shared" si="236"/>
        <v>-1.4789909539999999</v>
      </c>
      <c r="CV55" s="104">
        <f t="shared" si="237"/>
        <v>2.2626900607521687</v>
      </c>
      <c r="CW55" s="105">
        <f t="shared" si="99"/>
        <v>0.8675858108945117</v>
      </c>
      <c r="CX55" s="105">
        <f t="shared" si="100"/>
        <v>-2.1362825667807126</v>
      </c>
      <c r="CY55" s="105">
        <f t="shared" si="101"/>
        <v>0.60105242579308005</v>
      </c>
      <c r="CZ55" s="123">
        <f t="shared" si="242"/>
        <v>-0.68849257550252763</v>
      </c>
      <c r="DA55" s="81">
        <f t="shared" si="253"/>
        <v>0.98950869479216175</v>
      </c>
      <c r="DB55" s="9">
        <f t="shared" si="104"/>
        <v>1563266.7267185666</v>
      </c>
      <c r="DD55" s="1">
        <f t="shared" si="105"/>
        <v>1.4267338517949755</v>
      </c>
      <c r="DE55" s="114">
        <v>542</v>
      </c>
      <c r="DF55" s="61">
        <v>1992</v>
      </c>
      <c r="DG55" s="26">
        <v>7.6142131979695434E-3</v>
      </c>
      <c r="DH55" s="26">
        <v>0.29512169725367693</v>
      </c>
      <c r="DI55" s="26">
        <v>0.6060236886632826</v>
      </c>
      <c r="DJ55" s="26">
        <v>8.8702329819081091E-2</v>
      </c>
      <c r="DK55" s="26">
        <v>2.5380710659898475E-3</v>
      </c>
      <c r="DL55" s="106">
        <v>0.54200000000000004</v>
      </c>
      <c r="DM55" s="106">
        <v>1.0920000000000001</v>
      </c>
      <c r="DN55" s="26">
        <v>0.70050015486520401</v>
      </c>
      <c r="DO55" s="76">
        <f t="shared" si="107"/>
        <v>0.54200000000000004</v>
      </c>
      <c r="DP55" s="119">
        <v>-0.34126194500000001</v>
      </c>
      <c r="DQ55" s="26">
        <v>-0.11141192900000001</v>
      </c>
      <c r="DR55" s="26">
        <v>-1.2718974940000001</v>
      </c>
      <c r="DS55" s="26">
        <v>0.55098502900000002</v>
      </c>
      <c r="DT55" s="113" cm="1">
        <f t="array" ref="DT55">$DN$11+SUMPRODUCT(DP$11:$DS$11*DP55:DS55)</f>
        <v>1.2560880425488867</v>
      </c>
      <c r="DU55" s="76">
        <f t="shared" si="254"/>
        <v>1.093541277997647</v>
      </c>
      <c r="DV55" s="72">
        <f t="shared" si="179"/>
        <v>-1.410431611309163E-3</v>
      </c>
      <c r="DW55" s="199">
        <v>50</v>
      </c>
      <c r="DX55" s="61">
        <v>33.114048160640053</v>
      </c>
      <c r="DY55" s="26">
        <v>0.42305018961951335</v>
      </c>
      <c r="DZ55" s="98">
        <f t="shared" si="213"/>
        <v>0.42341913404982756</v>
      </c>
      <c r="EA55" s="110">
        <f t="shared" si="214"/>
        <v>0.42341913404982756</v>
      </c>
      <c r="EB55" s="100">
        <f t="shared" si="188"/>
        <v>459.06006353224052</v>
      </c>
      <c r="EC55" s="61">
        <v>1084.1741116928806</v>
      </c>
      <c r="EE55" s="72">
        <f t="shared" si="189"/>
        <v>3.5755051687483129E-2</v>
      </c>
      <c r="EF55">
        <v>1992</v>
      </c>
      <c r="EG55" s="110">
        <f t="shared" si="276"/>
        <v>0.13799999999999998</v>
      </c>
      <c r="EH55" s="97">
        <f t="shared" si="220"/>
        <v>12.129222746065809</v>
      </c>
      <c r="EI55" s="97">
        <f t="shared" si="238"/>
        <v>614.03719850460254</v>
      </c>
      <c r="EJ55" s="97">
        <f t="shared" si="243"/>
        <v>837.98081208706299</v>
      </c>
      <c r="EK55" s="97">
        <f t="shared" si="246"/>
        <v>151.35668559487212</v>
      </c>
      <c r="EL55" s="97">
        <f t="shared" si="248"/>
        <v>6.7742664891098094</v>
      </c>
      <c r="EM55" s="111">
        <f t="shared" si="196"/>
        <v>1622.2781854217133</v>
      </c>
      <c r="EN55" s="200">
        <f t="shared" si="197"/>
        <v>50</v>
      </c>
      <c r="EO55" s="92">
        <f t="shared" si="198"/>
        <v>33.114048160640053</v>
      </c>
      <c r="EP55" s="92">
        <f t="shared" si="199"/>
        <v>223.87438958819641</v>
      </c>
      <c r="EQ55" s="92">
        <f t="shared" si="239"/>
        <v>306.98843774883647</v>
      </c>
      <c r="ER55" s="128">
        <f t="shared" si="201"/>
        <v>0.18923291979607951</v>
      </c>
      <c r="ES55" s="111">
        <f t="shared" si="240"/>
        <v>1315.2897476728767</v>
      </c>
      <c r="ET55" s="72">
        <f t="shared" si="203"/>
        <v>1.2560880425488867</v>
      </c>
      <c r="EU55" s="96">
        <f t="shared" si="204"/>
        <v>1.8405125397454716</v>
      </c>
      <c r="EV55" s="92">
        <f t="shared" si="205"/>
        <v>1840.5125397454715</v>
      </c>
      <c r="EW55" s="120">
        <f t="shared" si="244"/>
        <v>-0.87704872899999997</v>
      </c>
      <c r="EX55" s="9">
        <f t="shared" si="184"/>
        <v>-0.11141192900000001</v>
      </c>
      <c r="EY55" s="9">
        <f t="shared" si="185"/>
        <v>-1.2718974940000001</v>
      </c>
      <c r="EZ55" s="9">
        <f t="shared" si="186"/>
        <v>0.55098502900000002</v>
      </c>
      <c r="FA55" s="113" cm="1">
        <f t="array" ref="FA55">$DN$11+SUMPRODUCT($DP$11:$DS$11*EW55:EZ55)</f>
        <v>1.6808282977998332</v>
      </c>
      <c r="FB55">
        <v>1992</v>
      </c>
      <c r="FC55" s="116">
        <f t="shared" si="121"/>
        <v>1390277.9172338718</v>
      </c>
      <c r="FD55" s="116">
        <f t="shared" si="255"/>
        <v>2170645.1094859769</v>
      </c>
      <c r="FE55" s="116">
        <f t="shared" si="159"/>
        <v>1785938.7190605476</v>
      </c>
      <c r="FF55" s="116">
        <f t="shared" si="256"/>
        <v>1878802.9587051929</v>
      </c>
      <c r="FG55" s="5">
        <f t="shared" si="257"/>
        <v>291842.15078078397</v>
      </c>
      <c r="FH55" s="5">
        <f t="shared" si="155"/>
        <v>240118.56874048593</v>
      </c>
      <c r="FI55" s="155">
        <f t="shared" si="258"/>
        <v>0.13444950052194121</v>
      </c>
      <c r="FJ55" s="117">
        <f t="shared" si="127"/>
        <v>13.444950052194121</v>
      </c>
      <c r="FK55" s="61">
        <f t="shared" si="259"/>
        <v>7775.0525071201791</v>
      </c>
      <c r="FL55" s="61">
        <f t="shared" si="142"/>
        <v>279.18076533864689</v>
      </c>
      <c r="FM55" s="92">
        <f t="shared" si="128"/>
        <v>37.535714455114352</v>
      </c>
      <c r="FN55" s="72">
        <f t="shared" si="129"/>
        <v>0.13444950052194121</v>
      </c>
      <c r="FO55" s="179">
        <f t="shared" si="260"/>
        <v>1.2511904818371451</v>
      </c>
      <c r="FP55" s="92">
        <f t="shared" si="160"/>
        <v>38.183188937296201</v>
      </c>
      <c r="FQ55" s="1">
        <f t="shared" si="143"/>
        <v>0</v>
      </c>
      <c r="FR55" s="26">
        <f t="shared" si="130"/>
        <v>1.2341408827186904</v>
      </c>
      <c r="FS55">
        <f t="shared" si="261"/>
        <v>1992</v>
      </c>
      <c r="FT55" s="5">
        <f t="shared" si="241"/>
        <v>2516.4269114885201</v>
      </c>
      <c r="FU55" s="214">
        <f t="shared" si="262"/>
        <v>5222.0990565819329</v>
      </c>
      <c r="FV55" s="213">
        <f t="shared" si="131"/>
        <v>3009.4814417510079</v>
      </c>
      <c r="FW55" s="5">
        <f t="shared" si="132"/>
        <v>2212.617614830925</v>
      </c>
      <c r="FX55" s="1">
        <f t="shared" si="133"/>
        <v>0.42370272774549195</v>
      </c>
      <c r="FY55">
        <f t="shared" si="263"/>
        <v>17924.394986962328</v>
      </c>
      <c r="FZ55" s="26">
        <f t="shared" si="134"/>
        <v>0.12344169030197769</v>
      </c>
      <c r="GA55" s="106">
        <f t="shared" si="264"/>
        <v>4.1147230100659227E-3</v>
      </c>
      <c r="GB55" s="61">
        <f t="shared" si="135"/>
        <v>1315.2897476728767</v>
      </c>
      <c r="GC55" s="61">
        <f t="shared" si="207"/>
        <v>3057.2691005463539</v>
      </c>
      <c r="GD55" s="61">
        <f t="shared" si="247"/>
        <v>2729.9598035712538</v>
      </c>
      <c r="GE55" s="61">
        <f t="shared" si="210"/>
        <v>1840.5125397454715</v>
      </c>
      <c r="GF55" s="61">
        <f t="shared" si="137"/>
        <v>1216.7565608008824</v>
      </c>
      <c r="GG55" s="61">
        <f t="shared" si="245"/>
        <v>914.13300555484034</v>
      </c>
      <c r="GH55" s="6">
        <f t="shared" si="138"/>
        <v>0.39798804775917179</v>
      </c>
      <c r="GI55">
        <f t="shared" si="265"/>
        <v>9248.6922093424037</v>
      </c>
      <c r="GJ55" s="26">
        <f t="shared" si="208"/>
        <v>0.13155985011284052</v>
      </c>
      <c r="GK55">
        <f t="shared" si="266"/>
        <v>4.3853283370946837E-3</v>
      </c>
      <c r="GL55" s="232">
        <f t="shared" si="140"/>
        <v>1.2341408827186904</v>
      </c>
      <c r="GY55">
        <v>1992</v>
      </c>
      <c r="GZ55" s="112">
        <f t="shared" si="267"/>
        <v>0.92501089346488041</v>
      </c>
      <c r="HA55" s="112">
        <f t="shared" si="268"/>
        <v>1.2560880425488867</v>
      </c>
      <c r="HB55" s="112">
        <f t="shared" si="269"/>
        <v>2.2626900607521687</v>
      </c>
    </row>
    <row r="56" spans="1:210" x14ac:dyDescent="0.35">
      <c r="A56">
        <v>1993</v>
      </c>
      <c r="D56" s="80">
        <f>'SR + catch data Murdoch_age var'!C45</f>
        <v>985479</v>
      </c>
      <c r="E56" s="80">
        <f>'SR + catch data Murdoch_age var'!E45</f>
        <v>1536216.2121439504</v>
      </c>
      <c r="F56" s="231">
        <f t="shared" si="63"/>
        <v>0.44394984953044858</v>
      </c>
      <c r="G56" s="80">
        <f>'SR + catch data Murdoch_age var'!D45</f>
        <v>1476663</v>
      </c>
      <c r="H56" s="80">
        <f>'Orig data'!Q47</f>
        <v>1476663</v>
      </c>
      <c r="I56" s="80">
        <f t="shared" si="64"/>
        <v>491184</v>
      </c>
      <c r="J56" s="150">
        <f t="shared" si="65"/>
        <v>0.3326310742532318</v>
      </c>
      <c r="K56" s="83">
        <f>'SR + catch data Murdoch_age var'!CM45</f>
        <v>0.93237277448570421</v>
      </c>
      <c r="L56" s="83">
        <f>'SR + catch data Murdoch_age var'!CN45</f>
        <v>1.0308978631060715</v>
      </c>
      <c r="M56" s="84">
        <f>'SR + catch data Murdoch_age var'!CO45</f>
        <v>1536947.9036582084</v>
      </c>
      <c r="N56" s="81">
        <f t="shared" si="66"/>
        <v>-4.761812259368067E-4</v>
      </c>
      <c r="O56" s="82">
        <f t="shared" si="67"/>
        <v>1993</v>
      </c>
      <c r="P56" s="81">
        <f t="shared" si="270"/>
        <v>0.10741516534518507</v>
      </c>
      <c r="Q56" s="81">
        <f t="shared" si="270"/>
        <v>0.75930233821489568</v>
      </c>
      <c r="R56" s="81">
        <f t="shared" si="270"/>
        <v>0.13183604264117066</v>
      </c>
      <c r="S56" s="85">
        <f t="shared" si="270"/>
        <v>1.4464537987485602E-3</v>
      </c>
      <c r="T56" s="80">
        <f>$G56*P56</f>
        <v>158616.00030411701</v>
      </c>
      <c r="U56" s="80">
        <f t="shared" si="145"/>
        <v>1121233.6686554225</v>
      </c>
      <c r="V56" s="80">
        <f t="shared" si="146"/>
        <v>194677.406234639</v>
      </c>
      <c r="W56" s="80">
        <f t="shared" si="147"/>
        <v>2135.9248058214453</v>
      </c>
      <c r="X56" s="86">
        <f t="shared" si="73"/>
        <v>1993</v>
      </c>
      <c r="Y56" s="79">
        <f t="shared" si="149"/>
        <v>230556.25064547377</v>
      </c>
      <c r="Z56" s="79">
        <f t="shared" si="152"/>
        <v>1210032.5282761559</v>
      </c>
      <c r="AA56" s="79">
        <f t="shared" si="156"/>
        <v>202428.64741246682</v>
      </c>
      <c r="AB56" s="79">
        <f t="shared" si="161"/>
        <v>2144.6633933337944</v>
      </c>
      <c r="AC56" s="80">
        <f t="shared" si="78"/>
        <v>1645162.0897274304</v>
      </c>
      <c r="AD56" s="84">
        <f t="shared" si="79"/>
        <v>-168499.08972743037</v>
      </c>
      <c r="AE56" s="80">
        <f t="shared" si="80"/>
        <v>491184</v>
      </c>
      <c r="AF56" s="72">
        <f t="shared" si="81"/>
        <v>0.29856267845399909</v>
      </c>
      <c r="AG56" s="26">
        <f t="shared" si="82"/>
        <v>-3.4068395799232709E-2</v>
      </c>
      <c r="AH56" s="61">
        <f t="shared" si="249"/>
        <v>1993</v>
      </c>
      <c r="AI56" s="74" cm="1">
        <f t="array" ref="AI56">IF(Uhistoric=1,J56,Uapply)</f>
        <v>0.2</v>
      </c>
      <c r="AJ56" s="75">
        <f t="shared" si="150"/>
        <v>202780.47246890326</v>
      </c>
      <c r="AK56" s="75">
        <f t="shared" si="153"/>
        <v>1224801.4807005811</v>
      </c>
      <c r="AL56" s="75">
        <f t="shared" si="157"/>
        <v>198206.91552540968</v>
      </c>
      <c r="AM56" s="75">
        <f t="shared" si="162"/>
        <v>4623.4661664902478</v>
      </c>
      <c r="AN56" s="79">
        <f t="shared" si="84"/>
        <v>1630412.3348613842</v>
      </c>
      <c r="AO56" s="80">
        <f t="shared" si="85"/>
        <v>326082.46697227686</v>
      </c>
      <c r="AP56" s="80">
        <f t="shared" si="86"/>
        <v>1304329.8678891074</v>
      </c>
      <c r="AQ56" s="81">
        <v>1.3503136121773469</v>
      </c>
      <c r="AR56" s="81">
        <v>-1.9633133158426319</v>
      </c>
      <c r="AS56" s="81">
        <f>'SR + catch data Murdoch_age var'!N45</f>
        <v>0.93978792774090103</v>
      </c>
      <c r="AT56" s="121">
        <f>'SR + catch data Murdoch_age var'!BR45</f>
        <v>-0.31450681719552676</v>
      </c>
      <c r="AU56" s="122">
        <f t="shared" si="250"/>
        <v>0.93237277448570433</v>
      </c>
      <c r="AV56" s="122">
        <f t="shared" si="88"/>
        <v>0.44442603075638548</v>
      </c>
      <c r="AW56" s="115">
        <f t="shared" si="251"/>
        <v>1888210.2491074738</v>
      </c>
      <c r="AX56" s="115"/>
      <c r="AY56" s="141">
        <f t="shared" si="89"/>
        <v>-1.116374196430441E-2</v>
      </c>
      <c r="AZ56" s="141"/>
      <c r="BA56" s="84">
        <v>2960</v>
      </c>
      <c r="BB56" s="101">
        <v>1993</v>
      </c>
      <c r="BC56" s="72">
        <v>3.5750695088044487E-2</v>
      </c>
      <c r="BD56" s="72">
        <v>0.8358758109360519</v>
      </c>
      <c r="BE56" s="72">
        <v>0.11956904541241889</v>
      </c>
      <c r="BF56" s="72">
        <v>8.3410565338276187E-3</v>
      </c>
      <c r="BG56" s="72">
        <v>4.6339202965708991E-4</v>
      </c>
      <c r="BH56" s="76">
        <v>2.96</v>
      </c>
      <c r="BI56" s="76">
        <v>2.2170000000000001</v>
      </c>
      <c r="BJ56" s="72">
        <f t="shared" si="215"/>
        <v>-0.2890343377017946</v>
      </c>
      <c r="BK56">
        <v>2.96</v>
      </c>
      <c r="BL56" s="120">
        <v>-0.34126194500000001</v>
      </c>
      <c r="BM56" s="125">
        <v>-0.25997554099999998</v>
      </c>
      <c r="BN56" s="4">
        <v>-1.2718974940000001</v>
      </c>
      <c r="BO56" s="98">
        <f t="shared" si="221"/>
        <v>1.9369482880490532</v>
      </c>
      <c r="BP56" s="98">
        <f t="shared" si="216"/>
        <v>1.8983758982410432</v>
      </c>
      <c r="BQ56" s="99">
        <f t="shared" si="217"/>
        <v>0.15515620040286651</v>
      </c>
      <c r="BR56" s="200">
        <v>50</v>
      </c>
      <c r="BS56" s="100">
        <v>129.72555573239958</v>
      </c>
      <c r="BT56" s="98">
        <v>0.28900000000000003</v>
      </c>
      <c r="BU56" s="98">
        <f t="shared" si="222"/>
        <v>0.28899999999999992</v>
      </c>
      <c r="BV56" s="99">
        <f t="shared" si="92"/>
        <v>0.28899999999999992</v>
      </c>
      <c r="BW56" s="100">
        <f t="shared" si="218"/>
        <v>1276.2034959306093</v>
      </c>
      <c r="BX56" s="100">
        <v>4415.929051663009</v>
      </c>
      <c r="BY56" s="99">
        <v>0</v>
      </c>
      <c r="BZ56" s="89">
        <f>0.2383*BY56^0.3096</f>
        <v>0</v>
      </c>
      <c r="CA56" s="78">
        <v>1993</v>
      </c>
      <c r="CB56" s="91">
        <f t="shared" si="275"/>
        <v>0.13799999999999998</v>
      </c>
      <c r="CC56" s="97">
        <f t="shared" si="252"/>
        <v>145.02953368973425</v>
      </c>
      <c r="CD56" s="97">
        <f t="shared" si="271"/>
        <v>3099.3933946315856</v>
      </c>
      <c r="CE56" s="97">
        <f t="shared" si="272"/>
        <v>310.21768505485022</v>
      </c>
      <c r="CF56" s="97">
        <f t="shared" si="273"/>
        <v>47.136564850816328</v>
      </c>
      <c r="CG56" s="97">
        <f t="shared" si="274"/>
        <v>2.2609650654250557</v>
      </c>
      <c r="CH56" s="92">
        <f t="shared" si="224"/>
        <v>3604.0381432924114</v>
      </c>
      <c r="CI56" s="200">
        <f t="shared" si="225"/>
        <v>50</v>
      </c>
      <c r="CJ56" s="92">
        <f t="shared" si="226"/>
        <v>129.72555573239958</v>
      </c>
      <c r="CK56" s="92">
        <f t="shared" si="227"/>
        <v>497.3572637743527</v>
      </c>
      <c r="CL56" s="92">
        <f t="shared" si="228"/>
        <v>677.08281950675223</v>
      </c>
      <c r="CM56" s="72">
        <f t="shared" si="229"/>
        <v>1.6094346969990857E-2</v>
      </c>
      <c r="CN56" s="128">
        <f t="shared" si="230"/>
        <v>0.18786782841543792</v>
      </c>
      <c r="CO56" s="111">
        <f t="shared" si="231"/>
        <v>2926.9553237856589</v>
      </c>
      <c r="CP56" s="72">
        <f t="shared" si="232"/>
        <v>1.9369482880490532</v>
      </c>
      <c r="CQ56" s="96">
        <f t="shared" si="233"/>
        <v>2.965113265211841</v>
      </c>
      <c r="CR56" s="92">
        <f t="shared" si="234"/>
        <v>2965.1132652118408</v>
      </c>
      <c r="CS56" s="120">
        <f t="shared" si="235"/>
        <v>-0.90461819600000004</v>
      </c>
      <c r="CT56" s="72">
        <f t="shared" si="97"/>
        <v>-0.25997554099999998</v>
      </c>
      <c r="CU56" s="72">
        <f t="shared" si="236"/>
        <v>-1.2718974940000001</v>
      </c>
      <c r="CV56" s="104">
        <f t="shared" si="237"/>
        <v>2.3675088950729926</v>
      </c>
      <c r="CW56" s="105">
        <f t="shared" si="99"/>
        <v>1.3503136121773469</v>
      </c>
      <c r="CX56" s="105">
        <f t="shared" si="100"/>
        <v>-1.9633133158426319</v>
      </c>
      <c r="CY56" s="105">
        <f t="shared" si="101"/>
        <v>0.93978792774090103</v>
      </c>
      <c r="CZ56" s="123">
        <f t="shared" si="242"/>
        <v>-0.68849257550252763</v>
      </c>
      <c r="DA56" s="81">
        <f t="shared" si="253"/>
        <v>1.0162376913960849</v>
      </c>
      <c r="DB56" s="9">
        <f t="shared" si="104"/>
        <v>1888210.2491074738</v>
      </c>
      <c r="DD56" s="1">
        <f t="shared" si="105"/>
        <v>-1.4909746983159717E-2</v>
      </c>
      <c r="DE56" s="114">
        <v>1546</v>
      </c>
      <c r="DF56" s="61">
        <v>1993</v>
      </c>
      <c r="DG56" s="26">
        <v>7.6142131979695434E-3</v>
      </c>
      <c r="DH56" s="26">
        <v>0.29512169725367693</v>
      </c>
      <c r="DI56" s="26">
        <v>0.6060236886632826</v>
      </c>
      <c r="DJ56" s="26">
        <v>8.8702329819081091E-2</v>
      </c>
      <c r="DK56" s="26">
        <v>2.5380710659898475E-3</v>
      </c>
      <c r="DL56" s="106">
        <v>1.546</v>
      </c>
      <c r="DM56" s="106">
        <v>0.91400000000000003</v>
      </c>
      <c r="DN56" s="26">
        <v>-0.52559565769321726</v>
      </c>
      <c r="DO56" s="76">
        <f t="shared" si="107"/>
        <v>1.546</v>
      </c>
      <c r="DP56" s="119">
        <v>-0.28855022200000002</v>
      </c>
      <c r="DQ56" s="26">
        <v>1.204387737</v>
      </c>
      <c r="DR56" s="26">
        <v>-0.91197086900000002</v>
      </c>
      <c r="DS56" s="26">
        <v>1.499613074</v>
      </c>
      <c r="DT56" s="113" cm="1">
        <f t="array" ref="DT56">$DN$11+SUMPRODUCT(DP$11:$DS$11*DP56:DS56)</f>
        <v>1.2931383595043155</v>
      </c>
      <c r="DU56" s="76">
        <f t="shared" si="254"/>
        <v>1.1595991116046311</v>
      </c>
      <c r="DV56" s="72">
        <f t="shared" si="179"/>
        <v>-0.23799905947080019</v>
      </c>
      <c r="DW56" s="199">
        <v>50</v>
      </c>
      <c r="DX56" s="61">
        <v>40.23123382226057</v>
      </c>
      <c r="DY56" s="26">
        <v>0.28900000000000003</v>
      </c>
      <c r="DZ56" s="98">
        <f t="shared" si="213"/>
        <v>0.2888261434345305</v>
      </c>
      <c r="EA56" s="110">
        <f t="shared" si="214"/>
        <v>0.2888261434345305</v>
      </c>
      <c r="EB56" s="100">
        <f t="shared" si="188"/>
        <v>664.51593048471614</v>
      </c>
      <c r="EC56" s="61">
        <v>2300.7471643069766</v>
      </c>
      <c r="ED56" s="99">
        <v>0</v>
      </c>
      <c r="EE56" s="72">
        <f t="shared" si="189"/>
        <v>3.0994666614701894E-2</v>
      </c>
      <c r="EF56">
        <v>1993</v>
      </c>
      <c r="EG56" s="110">
        <f t="shared" si="276"/>
        <v>0.13799999999999998</v>
      </c>
      <c r="EH56" s="97">
        <f t="shared" si="220"/>
        <v>13.427574667866406</v>
      </c>
      <c r="EI56" s="97">
        <f t="shared" si="238"/>
        <v>470.12038015187233</v>
      </c>
      <c r="EJ56" s="97">
        <f t="shared" si="243"/>
        <v>1260.9072510665469</v>
      </c>
      <c r="EK56" s="97">
        <f t="shared" si="246"/>
        <v>122.65337439161986</v>
      </c>
      <c r="EL56" s="97">
        <f t="shared" si="248"/>
        <v>4.3308222584005955</v>
      </c>
      <c r="EM56" s="111">
        <f t="shared" si="196"/>
        <v>1871.4394025363058</v>
      </c>
      <c r="EN56" s="200">
        <f t="shared" si="197"/>
        <v>50</v>
      </c>
      <c r="EO56" s="92">
        <f t="shared" si="198"/>
        <v>40.23123382226057</v>
      </c>
      <c r="EP56" s="92">
        <f t="shared" si="199"/>
        <v>258.25863755001018</v>
      </c>
      <c r="EQ56" s="92">
        <f t="shared" si="239"/>
        <v>348.48987137227073</v>
      </c>
      <c r="ER56" s="128">
        <f t="shared" si="201"/>
        <v>0.18621488406195405</v>
      </c>
      <c r="ES56" s="111">
        <f t="shared" si="240"/>
        <v>1522.9495311640351</v>
      </c>
      <c r="ET56" s="72">
        <f t="shared" si="203"/>
        <v>1.2931383595043155</v>
      </c>
      <c r="EU56" s="96">
        <f t="shared" si="204"/>
        <v>1.8647886180558519</v>
      </c>
      <c r="EV56" s="92">
        <f t="shared" si="205"/>
        <v>1864.7886180558519</v>
      </c>
      <c r="EW56" s="120">
        <f t="shared" si="244"/>
        <v>-0.87704872899999997</v>
      </c>
      <c r="EX56" s="9">
        <f t="shared" si="184"/>
        <v>1.204387737</v>
      </c>
      <c r="EY56" s="9">
        <f t="shared" si="185"/>
        <v>-0.91197086900000002</v>
      </c>
      <c r="EZ56" s="9">
        <f t="shared" si="186"/>
        <v>1.499613074</v>
      </c>
      <c r="FA56" s="113" cm="1">
        <f t="array" ref="FA56">$DN$11+SUMPRODUCT($DP$11:$DS$11*EW56:EZ56)</f>
        <v>1.7596653690208117</v>
      </c>
      <c r="FB56">
        <v>1993</v>
      </c>
      <c r="FC56" s="116">
        <f t="shared" si="121"/>
        <v>1304329.8678891074</v>
      </c>
      <c r="FD56" s="116">
        <f t="shared" si="255"/>
        <v>2182552.7160187014</v>
      </c>
      <c r="FE56" s="116">
        <f t="shared" si="159"/>
        <v>2171218.8875173102</v>
      </c>
      <c r="FF56" s="116">
        <f t="shared" si="256"/>
        <v>1889109.593487181</v>
      </c>
      <c r="FG56" s="5">
        <f t="shared" si="257"/>
        <v>293443.12253152044</v>
      </c>
      <c r="FH56" s="5">
        <f t="shared" si="155"/>
        <v>291919.29495050712</v>
      </c>
      <c r="FI56" s="155">
        <f t="shared" si="258"/>
        <v>0.13444950052194113</v>
      </c>
      <c r="FJ56" s="117">
        <f t="shared" si="127"/>
        <v>13.444950052194113</v>
      </c>
      <c r="FK56" s="61">
        <f t="shared" si="259"/>
        <v>7775.0525071201791</v>
      </c>
      <c r="FL56" s="61">
        <f t="shared" si="142"/>
        <v>280.71227995180482</v>
      </c>
      <c r="FM56" s="92">
        <f t="shared" si="128"/>
        <v>37.741625829895462</v>
      </c>
      <c r="FN56" s="72">
        <f t="shared" si="129"/>
        <v>0.13444950052194113</v>
      </c>
      <c r="FO56" s="179">
        <f t="shared" si="260"/>
        <v>1.2580541943298487</v>
      </c>
      <c r="FP56" s="92">
        <f t="shared" si="160"/>
        <v>37.533774422315325</v>
      </c>
      <c r="FQ56" s="1">
        <f t="shared" si="143"/>
        <v>0</v>
      </c>
      <c r="FR56" s="26">
        <f t="shared" si="130"/>
        <v>1.2341408827186904</v>
      </c>
      <c r="FS56">
        <f t="shared" si="261"/>
        <v>1993</v>
      </c>
      <c r="FT56" s="5">
        <f t="shared" si="241"/>
        <v>2926.9553237856589</v>
      </c>
      <c r="FU56" s="214">
        <f t="shared" si="262"/>
        <v>4888.6713029411012</v>
      </c>
      <c r="FV56" s="213">
        <f t="shared" si="131"/>
        <v>2817.3279368338481</v>
      </c>
      <c r="FW56" s="5">
        <f t="shared" si="132"/>
        <v>2071.3433661072531</v>
      </c>
      <c r="FX56" s="1">
        <f t="shared" si="133"/>
        <v>0.423702727745492</v>
      </c>
      <c r="FY56">
        <f t="shared" si="263"/>
        <v>18654.348467484113</v>
      </c>
      <c r="FZ56" s="26">
        <f t="shared" si="134"/>
        <v>0.11103809761663642</v>
      </c>
      <c r="GA56" s="106">
        <f t="shared" si="264"/>
        <v>3.7012699205545476E-3</v>
      </c>
      <c r="GB56" s="61">
        <f t="shared" si="135"/>
        <v>1522.9495311640351</v>
      </c>
      <c r="GC56" s="61">
        <f t="shared" si="207"/>
        <v>3097.594011405713</v>
      </c>
      <c r="GD56" s="61">
        <f t="shared" si="247"/>
        <v>3456.1169342483968</v>
      </c>
      <c r="GE56" s="61">
        <f t="shared" si="210"/>
        <v>1864.7886180558519</v>
      </c>
      <c r="GF56" s="61">
        <f t="shared" si="137"/>
        <v>1232.8053933498611</v>
      </c>
      <c r="GG56" s="61">
        <f t="shared" si="245"/>
        <v>1375.4932314889334</v>
      </c>
      <c r="GH56" s="6">
        <f t="shared" si="138"/>
        <v>0.39798804775917168</v>
      </c>
      <c r="GI56">
        <f t="shared" si="265"/>
        <v>9248.6922093424037</v>
      </c>
      <c r="GJ56" s="26">
        <f t="shared" si="208"/>
        <v>0.13329510437211484</v>
      </c>
      <c r="GK56">
        <f t="shared" si="266"/>
        <v>4.4431701457371608E-3</v>
      </c>
      <c r="GL56" s="232">
        <f t="shared" si="140"/>
        <v>1.2341408827186904</v>
      </c>
      <c r="GY56">
        <v>1993</v>
      </c>
      <c r="GZ56" s="112">
        <f t="shared" si="267"/>
        <v>0.93237277448570433</v>
      </c>
      <c r="HA56" s="112">
        <f t="shared" si="268"/>
        <v>1.2931383595043155</v>
      </c>
      <c r="HB56" s="112">
        <f t="shared" si="269"/>
        <v>2.3675088950729926</v>
      </c>
    </row>
    <row r="57" spans="1:210" x14ac:dyDescent="0.35">
      <c r="A57">
        <v>1994</v>
      </c>
      <c r="D57" s="80">
        <f>'SR + catch data Murdoch_age var'!C46</f>
        <v>1666079</v>
      </c>
      <c r="E57" s="80">
        <f>'SR + catch data Murdoch_age var'!E46</f>
        <v>3619664.876538008</v>
      </c>
      <c r="F57" s="231">
        <f t="shared" si="63"/>
        <v>0.77590848442231863</v>
      </c>
      <c r="G57" s="80">
        <f>'SR + catch data Murdoch_age var'!D46</f>
        <v>2295288</v>
      </c>
      <c r="H57" s="80">
        <f>'Orig data'!Q48</f>
        <v>2295288</v>
      </c>
      <c r="I57" s="80">
        <f t="shared" si="64"/>
        <v>629209</v>
      </c>
      <c r="J57" s="150">
        <f t="shared" si="65"/>
        <v>0.2741307408917748</v>
      </c>
      <c r="K57" s="83">
        <f>'SR + catch data Murdoch_age var'!CM46</f>
        <v>0.95475556384029281</v>
      </c>
      <c r="L57" s="83">
        <f>'SR + catch data Murdoch_age var'!CN46</f>
        <v>1.0314528950950455</v>
      </c>
      <c r="M57" s="84">
        <f>'SR + catch data Murdoch_age var'!CO46</f>
        <v>1897034.3462291346</v>
      </c>
      <c r="N57" s="81">
        <f t="shared" si="66"/>
        <v>0.64608964967092575</v>
      </c>
      <c r="O57" s="82">
        <f t="shared" si="67"/>
        <v>1994</v>
      </c>
      <c r="P57" s="81">
        <f t="shared" si="270"/>
        <v>0.10741516534518507</v>
      </c>
      <c r="Q57" s="81">
        <f t="shared" si="270"/>
        <v>0.75930233821489568</v>
      </c>
      <c r="R57" s="81">
        <f t="shared" si="270"/>
        <v>0.13183604264117066</v>
      </c>
      <c r="S57" s="85">
        <f t="shared" si="270"/>
        <v>1.4464537987485602E-3</v>
      </c>
      <c r="T57" s="80">
        <f t="shared" si="144"/>
        <v>246548.74003481914</v>
      </c>
      <c r="U57" s="80">
        <f t="shared" si="145"/>
        <v>1742817.5452765916</v>
      </c>
      <c r="V57" s="80">
        <f t="shared" si="146"/>
        <v>302601.68664176733</v>
      </c>
      <c r="W57" s="80">
        <f t="shared" si="147"/>
        <v>3320.0280468219853</v>
      </c>
      <c r="X57" s="86">
        <f t="shared" si="73"/>
        <v>1994</v>
      </c>
      <c r="Y57" s="79">
        <f t="shared" si="149"/>
        <v>194772.40711125074</v>
      </c>
      <c r="Z57" s="79">
        <f t="shared" si="152"/>
        <v>1629768.9403781663</v>
      </c>
      <c r="AA57" s="79">
        <f t="shared" si="156"/>
        <v>210095.36250087281</v>
      </c>
      <c r="AB57" s="79">
        <f t="shared" si="161"/>
        <v>2220.968410150509</v>
      </c>
      <c r="AC57" s="80">
        <f t="shared" si="78"/>
        <v>2036857.6784004406</v>
      </c>
      <c r="AD57" s="84">
        <f t="shared" si="79"/>
        <v>258430.32159955939</v>
      </c>
      <c r="AE57" s="80">
        <f t="shared" si="80"/>
        <v>629209</v>
      </c>
      <c r="AF57" s="72">
        <f t="shared" si="81"/>
        <v>0.30891161747448281</v>
      </c>
      <c r="AG57" s="26">
        <f t="shared" si="82"/>
        <v>3.4780876582708009E-2</v>
      </c>
      <c r="AH57" s="61">
        <f t="shared" si="249"/>
        <v>1994</v>
      </c>
      <c r="AI57" s="74" cm="1">
        <f t="array" ref="AI57">IF(Uhistoric=1,J57,Uapply)</f>
        <v>0.2</v>
      </c>
      <c r="AJ57" s="75">
        <f t="shared" si="150"/>
        <v>236091.79031116798</v>
      </c>
      <c r="AK57" s="75">
        <f t="shared" si="153"/>
        <v>1433425.963597992</v>
      </c>
      <c r="AL57" s="75">
        <f t="shared" si="157"/>
        <v>212659.6641546376</v>
      </c>
      <c r="AM57" s="75">
        <f t="shared" si="162"/>
        <v>2174.6492093993734</v>
      </c>
      <c r="AN57" s="79">
        <f t="shared" si="84"/>
        <v>1884352.067273197</v>
      </c>
      <c r="AO57" s="80">
        <f t="shared" si="85"/>
        <v>376870.41345463943</v>
      </c>
      <c r="AP57" s="80">
        <f t="shared" si="86"/>
        <v>1507481.6538185575</v>
      </c>
      <c r="AQ57" s="81">
        <v>-0.73534476773523816</v>
      </c>
      <c r="AR57" s="81">
        <v>-1.3208560980726174</v>
      </c>
      <c r="AS57" s="81">
        <f>'SR + catch data Murdoch_age var'!N46</f>
        <v>-0.67699870118796246</v>
      </c>
      <c r="AT57" s="121">
        <f>'SR + catch data Murdoch_age var'!BR46</f>
        <v>-0.22091940822865835</v>
      </c>
      <c r="AU57" s="122">
        <f>$AP$11+SUMPRODUCT($AR$11:$AU$11,AQ57:AT57)</f>
        <v>0.95475556384029281</v>
      </c>
      <c r="AV57" s="122">
        <f t="shared" si="88"/>
        <v>0.129818834751393</v>
      </c>
      <c r="AW57" s="115">
        <f t="shared" si="251"/>
        <v>3934279.8908228106</v>
      </c>
      <c r="AX57" s="115"/>
      <c r="AY57" s="141">
        <f t="shared" si="89"/>
        <v>0.21897927799548278</v>
      </c>
      <c r="AZ57" s="141"/>
      <c r="BA57" s="84">
        <v>2660</v>
      </c>
      <c r="BB57" s="101">
        <v>1994</v>
      </c>
      <c r="BC57" s="72">
        <v>3.5750695088044487E-2</v>
      </c>
      <c r="BD57" s="72">
        <v>0.8358758109360519</v>
      </c>
      <c r="BE57" s="72">
        <v>0.11956904541241889</v>
      </c>
      <c r="BF57" s="72">
        <v>8.3410565338276187E-3</v>
      </c>
      <c r="BG57" s="72">
        <v>4.6339202965708991E-4</v>
      </c>
      <c r="BH57" s="76">
        <v>2.66</v>
      </c>
      <c r="BI57" s="76">
        <v>3.3109999999999999</v>
      </c>
      <c r="BJ57" s="72">
        <f t="shared" si="215"/>
        <v>0.21892413577150149</v>
      </c>
      <c r="BK57">
        <v>2.66</v>
      </c>
      <c r="BL57" s="120">
        <v>-0.28855022200000002</v>
      </c>
      <c r="BM57" s="125">
        <v>-0.11141192900000001</v>
      </c>
      <c r="BN57" s="4">
        <v>-0.91197086900000002</v>
      </c>
      <c r="BO57" s="98">
        <f t="shared" si="221"/>
        <v>1.8519667485076614</v>
      </c>
      <c r="BP57" s="98">
        <f t="shared" si="216"/>
        <v>1.9946840820364125</v>
      </c>
      <c r="BQ57" s="99">
        <f t="shared" si="217"/>
        <v>0.50676457563170474</v>
      </c>
      <c r="BR57" s="200">
        <v>50</v>
      </c>
      <c r="BS57" s="100">
        <v>129.4975330256247</v>
      </c>
      <c r="BT57" s="98">
        <v>0.24399999999999999</v>
      </c>
      <c r="BU57" s="98">
        <f t="shared" si="222"/>
        <v>0.24399999999999999</v>
      </c>
      <c r="BV57" s="99">
        <f t="shared" si="92"/>
        <v>0.24399999999999999</v>
      </c>
      <c r="BW57" s="100">
        <f t="shared" si="218"/>
        <v>916.45158473313813</v>
      </c>
      <c r="BX57" s="100">
        <v>3755.9491177587629</v>
      </c>
      <c r="BY57" s="99">
        <v>0.01</v>
      </c>
      <c r="BZ57" s="89">
        <f t="shared" ref="BZ57:BZ81" si="277">0.2383*BY57^0.3096</f>
        <v>5.7269585831559222E-2</v>
      </c>
      <c r="CA57" s="78">
        <v>1994</v>
      </c>
      <c r="CB57" s="91">
        <f t="shared" si="275"/>
        <v>0.13799999999999998</v>
      </c>
      <c r="CC57" s="97">
        <f t="shared" si="252"/>
        <v>111.31063801421777</v>
      </c>
      <c r="CD57" s="97">
        <f t="shared" si="271"/>
        <v>3390.8901291019624</v>
      </c>
      <c r="CE57" s="97">
        <f t="shared" si="272"/>
        <v>443.35714074396998</v>
      </c>
      <c r="CF57" s="97">
        <f t="shared" si="273"/>
        <v>21.640577959877941</v>
      </c>
      <c r="CG57" s="97">
        <f t="shared" si="274"/>
        <v>2.6186980472675736</v>
      </c>
      <c r="CH57" s="92">
        <f t="shared" si="224"/>
        <v>3969.8171838672956</v>
      </c>
      <c r="CI57" s="200">
        <f t="shared" si="225"/>
        <v>50</v>
      </c>
      <c r="CJ57" s="92">
        <f t="shared" si="226"/>
        <v>129.4975330256247</v>
      </c>
      <c r="CK57" s="92">
        <f t="shared" si="227"/>
        <v>547.83477137368675</v>
      </c>
      <c r="CL57" s="92">
        <f t="shared" si="228"/>
        <v>727.3323043993114</v>
      </c>
      <c r="CM57" s="72">
        <f t="shared" si="229"/>
        <v>1.4611413494543606E-2</v>
      </c>
      <c r="CN57" s="128">
        <f t="shared" si="230"/>
        <v>0.18321556653920337</v>
      </c>
      <c r="CO57" s="111">
        <f t="shared" si="231"/>
        <v>3242.4848794679842</v>
      </c>
      <c r="CP57" s="72">
        <f t="shared" si="232"/>
        <v>1.8519667485076614</v>
      </c>
      <c r="CQ57" s="96">
        <f t="shared" si="233"/>
        <v>2.4370129808363212</v>
      </c>
      <c r="CR57" s="92">
        <f t="shared" si="234"/>
        <v>2437.0129808363213</v>
      </c>
      <c r="CS57" s="120">
        <f t="shared" si="235"/>
        <v>-0.90461819600000004</v>
      </c>
      <c r="CT57" s="72">
        <f t="shared" si="97"/>
        <v>-0.11141192900000001</v>
      </c>
      <c r="CU57" s="72">
        <f t="shared" si="236"/>
        <v>-0.91197086900000002</v>
      </c>
      <c r="CV57" s="104">
        <f t="shared" si="237"/>
        <v>2.3228137487541334</v>
      </c>
      <c r="CW57" s="105">
        <f t="shared" si="99"/>
        <v>-0.73534476773523816</v>
      </c>
      <c r="CX57" s="105">
        <f t="shared" si="100"/>
        <v>-1.3208560980726174</v>
      </c>
      <c r="CY57" s="105">
        <f t="shared" si="101"/>
        <v>-0.67699870118796246</v>
      </c>
      <c r="CZ57" s="123">
        <f t="shared" si="242"/>
        <v>-0.68849257550252763</v>
      </c>
      <c r="DA57" s="81">
        <f t="shared" si="253"/>
        <v>1.0596071095260433</v>
      </c>
      <c r="DB57" s="9">
        <f t="shared" si="104"/>
        <v>3934279.8908228106</v>
      </c>
      <c r="DD57" s="1">
        <f t="shared" si="105"/>
        <v>0.52539718512913203</v>
      </c>
      <c r="DE57" s="114">
        <v>917</v>
      </c>
      <c r="DF57" s="61">
        <v>1994</v>
      </c>
      <c r="DG57" s="26">
        <v>7.6142131979695434E-3</v>
      </c>
      <c r="DH57" s="26">
        <v>0.29512169725367693</v>
      </c>
      <c r="DI57" s="26">
        <v>0.6060236886632826</v>
      </c>
      <c r="DJ57" s="26">
        <v>8.8702329819081091E-2</v>
      </c>
      <c r="DK57" s="26">
        <v>2.5380710659898475E-3</v>
      </c>
      <c r="DL57" s="106">
        <v>0.91700000000000004</v>
      </c>
      <c r="DM57" s="106">
        <v>0.94099999999999995</v>
      </c>
      <c r="DN57" s="26">
        <v>2.5835667328914673E-2</v>
      </c>
      <c r="DO57" s="76">
        <f t="shared" si="107"/>
        <v>0.91700000000000004</v>
      </c>
      <c r="DP57" s="119">
        <v>-0.23322504999999999</v>
      </c>
      <c r="DQ57" s="26">
        <v>-0.353596297</v>
      </c>
      <c r="DR57" s="26">
        <v>0.13253981500000001</v>
      </c>
      <c r="DS57" s="26">
        <v>-0.72751573000000003</v>
      </c>
      <c r="DT57" s="113" cm="1">
        <f t="array" ref="DT57">$DN$11+SUMPRODUCT(DP$11:$DS$11*DP57:DS57)</f>
        <v>1.1564809818738837</v>
      </c>
      <c r="DU57" s="76">
        <f t="shared" si="254"/>
        <v>1.1413712122937461</v>
      </c>
      <c r="DV57" s="72">
        <f t="shared" si="179"/>
        <v>-0.19304249679890575</v>
      </c>
      <c r="DW57" s="199">
        <v>50</v>
      </c>
      <c r="DX57" s="61">
        <v>4.5111512014014172</v>
      </c>
      <c r="DY57" s="26">
        <v>0.24399999999999999</v>
      </c>
      <c r="DZ57" s="98">
        <f t="shared" si="213"/>
        <v>0.24384433412525636</v>
      </c>
      <c r="EA57" s="110">
        <f t="shared" si="214"/>
        <v>0.24384433412525636</v>
      </c>
      <c r="EB57" s="100">
        <f t="shared" si="188"/>
        <v>313.2919588533623</v>
      </c>
      <c r="EC57" s="61">
        <v>1284.8031100547637</v>
      </c>
      <c r="ED57" s="99">
        <v>0.01</v>
      </c>
      <c r="EE57" s="72">
        <f t="shared" si="189"/>
        <v>3.4404450059563739E-2</v>
      </c>
      <c r="EF57">
        <v>1994</v>
      </c>
      <c r="EG57" s="110">
        <f t="shared" si="276"/>
        <v>0.13799999999999998</v>
      </c>
      <c r="EH57" s="97">
        <f t="shared" si="220"/>
        <v>12.075683874110144</v>
      </c>
      <c r="EI57" s="97">
        <f t="shared" si="238"/>
        <v>520.44361287886568</v>
      </c>
      <c r="EJ57" s="97">
        <f t="shared" si="243"/>
        <v>965.37831527354001</v>
      </c>
      <c r="EK57" s="97">
        <f t="shared" si="246"/>
        <v>184.55616991156762</v>
      </c>
      <c r="EL57" s="97">
        <f t="shared" si="248"/>
        <v>3.5095242856002744</v>
      </c>
      <c r="EM57" s="111">
        <f t="shared" si="196"/>
        <v>1685.9633062236837</v>
      </c>
      <c r="EN57" s="200">
        <f t="shared" si="197"/>
        <v>50</v>
      </c>
      <c r="EO57" s="92">
        <f t="shared" si="198"/>
        <v>4.5111512014014172</v>
      </c>
      <c r="EP57" s="92">
        <f t="shared" si="199"/>
        <v>232.66293625886831</v>
      </c>
      <c r="EQ57" s="92">
        <f t="shared" si="239"/>
        <v>287.17408746026973</v>
      </c>
      <c r="ER57" s="128">
        <f t="shared" si="201"/>
        <v>0.17033234732937252</v>
      </c>
      <c r="ES57" s="111">
        <f t="shared" si="240"/>
        <v>1398.7892187634141</v>
      </c>
      <c r="ET57" s="72">
        <f t="shared" si="203"/>
        <v>1.1564809818738837</v>
      </c>
      <c r="EU57" s="96">
        <f t="shared" si="204"/>
        <v>1.7722622787473359</v>
      </c>
      <c r="EV57" s="92">
        <f t="shared" si="205"/>
        <v>1772.2622787473358</v>
      </c>
      <c r="EW57" s="120">
        <f t="shared" si="244"/>
        <v>-0.87704872899999997</v>
      </c>
      <c r="EX57" s="9">
        <f t="shared" si="184"/>
        <v>-0.353596297</v>
      </c>
      <c r="EY57" s="9">
        <f t="shared" si="185"/>
        <v>0.13253981500000001</v>
      </c>
      <c r="EZ57" s="9">
        <f t="shared" si="186"/>
        <v>-0.72751573000000003</v>
      </c>
      <c r="FA57" s="113" cm="1">
        <f t="array" ref="FA57">$DN$11+SUMPRODUCT($DP$11:$DS$11*EW57:EZ57)</f>
        <v>1.666866534338469</v>
      </c>
      <c r="FB57">
        <v>1994</v>
      </c>
      <c r="FC57" s="116">
        <f t="shared" si="121"/>
        <v>1507481.6538185575</v>
      </c>
      <c r="FD57" s="116">
        <f t="shared" si="255"/>
        <v>2382207.96328077</v>
      </c>
      <c r="FE57" s="116">
        <f t="shared" si="159"/>
        <v>2295288</v>
      </c>
      <c r="FF57" s="116">
        <f t="shared" si="256"/>
        <v>2061921.2924782794</v>
      </c>
      <c r="FG57" s="5">
        <f t="shared" si="257"/>
        <v>320286.67080249055</v>
      </c>
      <c r="FH57" s="5">
        <f t="shared" si="155"/>
        <v>252255.09151265444</v>
      </c>
      <c r="FI57" s="155">
        <f t="shared" si="258"/>
        <v>0.13444950052194127</v>
      </c>
      <c r="FJ57" s="117">
        <f t="shared" si="127"/>
        <v>13.444950052194127</v>
      </c>
      <c r="FK57" s="61">
        <f t="shared" si="259"/>
        <v>7775.0525071201791</v>
      </c>
      <c r="FL57" s="61">
        <f t="shared" si="142"/>
        <v>306.39123801404679</v>
      </c>
      <c r="FM57" s="92">
        <f t="shared" si="128"/>
        <v>41.194148915287819</v>
      </c>
      <c r="FN57" s="72">
        <f t="shared" si="129"/>
        <v>0.13444950052194127</v>
      </c>
      <c r="FO57" s="179">
        <f t="shared" si="260"/>
        <v>1.3731382971762607</v>
      </c>
      <c r="FP57" s="92">
        <f t="shared" si="160"/>
        <v>39.252264468708127</v>
      </c>
      <c r="FQ57" s="1">
        <f t="shared" si="143"/>
        <v>0</v>
      </c>
      <c r="FR57" s="26">
        <f t="shared" si="130"/>
        <v>1.2341408827186904</v>
      </c>
      <c r="FS57">
        <f t="shared" si="261"/>
        <v>1994</v>
      </c>
      <c r="FT57" s="5">
        <f t="shared" si="241"/>
        <v>3242.4848794679842</v>
      </c>
      <c r="FU57" s="214">
        <f t="shared" si="262"/>
        <v>4076.530882320299</v>
      </c>
      <c r="FV57" s="213">
        <f t="shared" si="131"/>
        <v>2349.2936277424515</v>
      </c>
      <c r="FW57" s="5">
        <f t="shared" si="132"/>
        <v>1727.2372545778476</v>
      </c>
      <c r="FX57" s="1">
        <f t="shared" si="133"/>
        <v>0.42370272774549189</v>
      </c>
      <c r="FY57">
        <f t="shared" si="263"/>
        <v>19419.880037504936</v>
      </c>
      <c r="FZ57" s="26">
        <f t="shared" si="134"/>
        <v>8.8941705676970947E-2</v>
      </c>
      <c r="GA57" s="106">
        <f t="shared" si="264"/>
        <v>2.9647235225656984E-3</v>
      </c>
      <c r="GB57" s="61">
        <f t="shared" si="135"/>
        <v>1398.7892187634141</v>
      </c>
      <c r="GC57" s="61">
        <f t="shared" si="207"/>
        <v>2943.8988248498454</v>
      </c>
      <c r="GD57" s="61">
        <f t="shared" si="247"/>
        <v>2725.1566543415956</v>
      </c>
      <c r="GE57" s="61">
        <f t="shared" si="210"/>
        <v>1772.2622787473358</v>
      </c>
      <c r="GF57" s="61">
        <f t="shared" si="137"/>
        <v>1171.6365461025096</v>
      </c>
      <c r="GG57" s="61">
        <f t="shared" si="245"/>
        <v>1053.1078613131567</v>
      </c>
      <c r="GH57" s="6">
        <f t="shared" si="138"/>
        <v>0.39798804775917163</v>
      </c>
      <c r="GI57">
        <f t="shared" si="265"/>
        <v>9248.6922093424037</v>
      </c>
      <c r="GJ57" s="26">
        <f t="shared" si="208"/>
        <v>0.12668132094600376</v>
      </c>
      <c r="GK57">
        <f t="shared" si="266"/>
        <v>4.2227106982001255E-3</v>
      </c>
      <c r="GL57" s="232">
        <f t="shared" si="140"/>
        <v>1.2341408827186904</v>
      </c>
      <c r="GY57">
        <v>1994</v>
      </c>
      <c r="GZ57" s="112">
        <f t="shared" si="267"/>
        <v>0.95475556384029281</v>
      </c>
      <c r="HA57" s="112">
        <f t="shared" si="268"/>
        <v>1.1564809818738837</v>
      </c>
      <c r="HB57" s="112">
        <f t="shared" si="269"/>
        <v>2.3228137487541334</v>
      </c>
    </row>
    <row r="58" spans="1:210" x14ac:dyDescent="0.35">
      <c r="A58">
        <v>1995</v>
      </c>
      <c r="D58" s="80">
        <f>'SR + catch data Murdoch_age var'!C47</f>
        <v>1628542</v>
      </c>
      <c r="E58" s="80">
        <f>'SR + catch data Murdoch_age var'!E47</f>
        <v>2891781.1987866559</v>
      </c>
      <c r="F58" s="231">
        <f t="shared" si="63"/>
        <v>0.57418750802358465</v>
      </c>
      <c r="G58" s="80">
        <f>'SR + catch data Murdoch_age var'!D47</f>
        <v>1844441</v>
      </c>
      <c r="H58" s="80">
        <f>'Orig data'!Q49</f>
        <v>1844441</v>
      </c>
      <c r="I58" s="80">
        <f t="shared" si="64"/>
        <v>215899</v>
      </c>
      <c r="J58" s="150">
        <f t="shared" si="65"/>
        <v>0.11705389329341519</v>
      </c>
      <c r="K58" s="83">
        <f>'SR + catch data Murdoch_age var'!CM47</f>
        <v>0.76948621763916047</v>
      </c>
      <c r="L58" s="83">
        <f>'SR + catch data Murdoch_age var'!CN47</f>
        <v>1.0348411221846434</v>
      </c>
      <c r="M58" s="84">
        <f>'SR + catch data Murdoch_age var'!CO47</f>
        <v>1569599.6203628709</v>
      </c>
      <c r="N58" s="81">
        <f t="shared" si="66"/>
        <v>0.61105207606979384</v>
      </c>
      <c r="O58" s="82">
        <f t="shared" si="67"/>
        <v>1995</v>
      </c>
      <c r="P58" s="81">
        <f t="shared" si="270"/>
        <v>0.10741516534518507</v>
      </c>
      <c r="Q58" s="81">
        <f t="shared" si="270"/>
        <v>0.75930233821489568</v>
      </c>
      <c r="R58" s="81">
        <f t="shared" si="270"/>
        <v>0.13183604264117066</v>
      </c>
      <c r="S58" s="85">
        <f t="shared" si="270"/>
        <v>1.4464537987485602E-3</v>
      </c>
      <c r="T58" s="80">
        <f t="shared" si="144"/>
        <v>198120.9349844385</v>
      </c>
      <c r="U58" s="80">
        <f t="shared" si="145"/>
        <v>1400488.3639994203</v>
      </c>
      <c r="V58" s="80">
        <f t="shared" si="146"/>
        <v>243163.80232512346</v>
      </c>
      <c r="W58" s="80">
        <f t="shared" si="147"/>
        <v>2667.8986910175931</v>
      </c>
      <c r="X58" s="86">
        <f t="shared" si="73"/>
        <v>1995</v>
      </c>
      <c r="Y58" s="79">
        <f t="shared" si="149"/>
        <v>139797.42559723245</v>
      </c>
      <c r="Z58" s="79">
        <f t="shared" si="152"/>
        <v>1376818.102584111</v>
      </c>
      <c r="AA58" s="79">
        <f t="shared" si="156"/>
        <v>282973.29891553911</v>
      </c>
      <c r="AB58" s="79">
        <f t="shared" si="161"/>
        <v>2305.0846270922689</v>
      </c>
      <c r="AC58" s="80">
        <f t="shared" si="78"/>
        <v>1801893.9117239751</v>
      </c>
      <c r="AD58" s="84">
        <f t="shared" si="79"/>
        <v>42547.088276024908</v>
      </c>
      <c r="AE58" s="80">
        <f t="shared" si="80"/>
        <v>215899</v>
      </c>
      <c r="AF58" s="72">
        <f t="shared" si="81"/>
        <v>0.11981781979241889</v>
      </c>
      <c r="AG58" s="26">
        <f t="shared" si="82"/>
        <v>2.7639264990036994E-3</v>
      </c>
      <c r="AH58" s="61">
        <f t="shared" si="249"/>
        <v>1995</v>
      </c>
      <c r="AI58" s="74" cm="1">
        <f t="array" ref="AI58">IF(Uhistoric=1,J58,Uapply)</f>
        <v>0.2</v>
      </c>
      <c r="AJ58" s="75">
        <f t="shared" si="150"/>
        <v>167918.55392910106</v>
      </c>
      <c r="AK58" s="75">
        <f t="shared" si="153"/>
        <v>1668898.8732692609</v>
      </c>
      <c r="AL58" s="75">
        <f t="shared" si="157"/>
        <v>248882.68736818005</v>
      </c>
      <c r="AM58" s="75">
        <f t="shared" si="162"/>
        <v>2333.2191477735423</v>
      </c>
      <c r="AN58" s="79">
        <f t="shared" si="84"/>
        <v>2088033.3337143154</v>
      </c>
      <c r="AO58" s="80">
        <f t="shared" si="85"/>
        <v>417606.66674286313</v>
      </c>
      <c r="AP58" s="80">
        <f t="shared" si="86"/>
        <v>1670426.6669714523</v>
      </c>
      <c r="AQ58" s="81">
        <v>-1.3879316172562517</v>
      </c>
      <c r="AR58" s="81">
        <v>-0.67839888030260287</v>
      </c>
      <c r="AS58" s="81">
        <f>'SR + catch data Murdoch_age var'!N47</f>
        <v>0.96264737879259443</v>
      </c>
      <c r="AT58" s="121">
        <f>'SR + catch data Murdoch_age var'!BR47</f>
        <v>-0.14591972996097652</v>
      </c>
      <c r="AU58" s="122">
        <f t="shared" si="250"/>
        <v>0.76948621763916059</v>
      </c>
      <c r="AV58" s="122">
        <f t="shared" si="88"/>
        <v>-3.6864568046209079E-2</v>
      </c>
      <c r="AW58" s="115">
        <f t="shared" si="251"/>
        <v>3281162.9037540765</v>
      </c>
      <c r="AX58" s="115"/>
      <c r="AY58" s="141">
        <f t="shared" si="89"/>
        <v>-2.117285669102335E-2</v>
      </c>
      <c r="AZ58" s="141"/>
      <c r="BA58" s="84">
        <v>2590</v>
      </c>
      <c r="BB58" s="101">
        <v>1995</v>
      </c>
      <c r="BC58" s="72">
        <v>3.5750695088044487E-2</v>
      </c>
      <c r="BD58" s="72">
        <v>0.8358758109360519</v>
      </c>
      <c r="BE58" s="72">
        <v>0.11956904541241889</v>
      </c>
      <c r="BF58" s="72">
        <v>8.3410565338276187E-3</v>
      </c>
      <c r="BG58" s="72">
        <v>4.6339202965708991E-4</v>
      </c>
      <c r="BH58" s="76">
        <v>2.59</v>
      </c>
      <c r="BI58" s="76">
        <v>1.5029999999999999</v>
      </c>
      <c r="BJ58" s="72">
        <f t="shared" si="215"/>
        <v>-0.54419476494060903</v>
      </c>
      <c r="BK58">
        <v>2.59</v>
      </c>
      <c r="BL58" s="120">
        <v>-0.23322504999999999</v>
      </c>
      <c r="BM58" s="125">
        <v>1.204387737</v>
      </c>
      <c r="BN58" s="4">
        <v>0.13253981500000001</v>
      </c>
      <c r="BO58" s="98">
        <f t="shared" si="221"/>
        <v>1.4999801961291137</v>
      </c>
      <c r="BP58" s="98">
        <f t="shared" si="216"/>
        <v>1.4450466415836858</v>
      </c>
      <c r="BQ58" s="99">
        <f t="shared" si="217"/>
        <v>3.9321511814777145E-2</v>
      </c>
      <c r="BR58" s="200">
        <v>50</v>
      </c>
      <c r="BS58" s="100">
        <v>133.94193325905883</v>
      </c>
      <c r="BT58" s="98">
        <v>0.42549999999999999</v>
      </c>
      <c r="BU58" s="98">
        <f t="shared" si="222"/>
        <v>0.42549999999999999</v>
      </c>
      <c r="BV58" s="99">
        <f t="shared" si="92"/>
        <v>0.42549999999999999</v>
      </c>
      <c r="BW58" s="100">
        <f t="shared" si="218"/>
        <v>2054.5035554425231</v>
      </c>
      <c r="BX58" s="100">
        <v>4828.4454887015818</v>
      </c>
      <c r="BY58" s="99">
        <v>0.02</v>
      </c>
      <c r="BZ58" s="89">
        <f t="shared" si="277"/>
        <v>7.0977864556646328E-2</v>
      </c>
      <c r="CA58" s="78">
        <v>1995</v>
      </c>
      <c r="CB58" s="91">
        <f t="shared" si="275"/>
        <v>0.13799999999999998</v>
      </c>
      <c r="CC58" s="97">
        <f t="shared" si="252"/>
        <v>34.708823088000273</v>
      </c>
      <c r="CD58" s="97">
        <f t="shared" si="271"/>
        <v>2602.5191842230238</v>
      </c>
      <c r="CE58" s="97">
        <f t="shared" si="272"/>
        <v>485.0547061304228</v>
      </c>
      <c r="CF58" s="97">
        <f t="shared" si="273"/>
        <v>30.928297226645977</v>
      </c>
      <c r="CG58" s="97">
        <f t="shared" si="274"/>
        <v>1.2022543311043299</v>
      </c>
      <c r="CH58" s="92">
        <f t="shared" si="224"/>
        <v>3154.4132649991975</v>
      </c>
      <c r="CI58" s="200">
        <f t="shared" si="225"/>
        <v>50</v>
      </c>
      <c r="CJ58" s="92">
        <f t="shared" si="226"/>
        <v>133.94193325905883</v>
      </c>
      <c r="CK58" s="92">
        <f t="shared" si="227"/>
        <v>435.30903056988922</v>
      </c>
      <c r="CL58" s="92">
        <f t="shared" si="228"/>
        <v>619.25096382894799</v>
      </c>
      <c r="CM58" s="72">
        <f t="shared" si="229"/>
        <v>1.8388408714494944E-2</v>
      </c>
      <c r="CN58" s="128">
        <f t="shared" si="230"/>
        <v>0.19631256649217316</v>
      </c>
      <c r="CO58" s="111">
        <f t="shared" si="231"/>
        <v>2535.1623011702495</v>
      </c>
      <c r="CP58" s="72">
        <f t="shared" si="232"/>
        <v>1.4999801961291137</v>
      </c>
      <c r="CQ58" s="96">
        <f t="shared" si="233"/>
        <v>2.4694260341676522</v>
      </c>
      <c r="CR58" s="92">
        <f t="shared" si="234"/>
        <v>2469.4260341676522</v>
      </c>
      <c r="CS58" s="120">
        <f t="shared" si="235"/>
        <v>-0.90461819600000004</v>
      </c>
      <c r="CT58" s="72">
        <f t="shared" si="97"/>
        <v>1.204387737</v>
      </c>
      <c r="CU58" s="72">
        <f t="shared" si="236"/>
        <v>0.13253981500000001</v>
      </c>
      <c r="CV58" s="104">
        <f t="shared" si="237"/>
        <v>2.0131109903296598</v>
      </c>
      <c r="CW58" s="105">
        <f t="shared" si="99"/>
        <v>-1.3879316172562517</v>
      </c>
      <c r="CX58" s="105">
        <f t="shared" si="100"/>
        <v>-0.67839888030260287</v>
      </c>
      <c r="CY58" s="105">
        <f t="shared" si="101"/>
        <v>0.96264737879259443</v>
      </c>
      <c r="CZ58" s="123">
        <f t="shared" si="242"/>
        <v>-0.68849257550252763</v>
      </c>
      <c r="DA58" s="81">
        <f t="shared" si="253"/>
        <v>0.89115616254604169</v>
      </c>
      <c r="DB58" s="9">
        <f t="shared" si="104"/>
        <v>3281162.9037540765</v>
      </c>
      <c r="DD58" s="1">
        <f t="shared" si="105"/>
        <v>0.69614321993044026</v>
      </c>
      <c r="DE58" s="114">
        <v>830</v>
      </c>
      <c r="DF58" s="61">
        <v>1995</v>
      </c>
      <c r="DG58" s="26">
        <v>7.6142131979695434E-3</v>
      </c>
      <c r="DH58" s="26">
        <v>0.29512169725367693</v>
      </c>
      <c r="DI58" s="26">
        <v>0.6060236886632826</v>
      </c>
      <c r="DJ58" s="26">
        <v>8.8702329819081091E-2</v>
      </c>
      <c r="DK58" s="26">
        <v>2.5380710659898475E-3</v>
      </c>
      <c r="DL58" s="106">
        <v>0.83</v>
      </c>
      <c r="DM58" s="106">
        <v>1.2430000000000001</v>
      </c>
      <c r="DN58" s="26">
        <v>0.4038573907200676</v>
      </c>
      <c r="DO58" s="76">
        <f t="shared" si="107"/>
        <v>0.83</v>
      </c>
      <c r="DP58" s="119">
        <v>-0.17510831299999999</v>
      </c>
      <c r="DQ58" s="26">
        <v>-1.2603346879999999</v>
      </c>
      <c r="DR58" s="26">
        <v>1.332596678</v>
      </c>
      <c r="DS58" s="26">
        <v>-1.3443191489999999</v>
      </c>
      <c r="DT58" s="113" cm="1">
        <f t="array" ref="DT58">$DN$11+SUMPRODUCT(DP$11:$DS$11*DP58:DS58)</f>
        <v>1.2844349054880517</v>
      </c>
      <c r="DU58" s="76">
        <f t="shared" si="254"/>
        <v>1.2833286284202081</v>
      </c>
      <c r="DV58" s="72">
        <f t="shared" si="179"/>
        <v>-3.1929380930217008E-2</v>
      </c>
      <c r="DW58" s="199">
        <v>50</v>
      </c>
      <c r="DX58" s="61">
        <v>5.8995215311004792</v>
      </c>
      <c r="DY58" s="26">
        <v>0.42549999999999999</v>
      </c>
      <c r="DZ58" s="98">
        <f t="shared" si="213"/>
        <v>0.42575928029341942</v>
      </c>
      <c r="EA58" s="110">
        <f t="shared" si="214"/>
        <v>0.42575928029341942</v>
      </c>
      <c r="EB58" s="100">
        <f t="shared" si="188"/>
        <v>656.83245676498404</v>
      </c>
      <c r="EC58" s="61">
        <v>1542.7319782960844</v>
      </c>
      <c r="ED58" s="99">
        <v>0.02</v>
      </c>
      <c r="EE58" s="72">
        <f t="shared" si="189"/>
        <v>3.4160042944949641E-2</v>
      </c>
      <c r="EF58">
        <v>1995</v>
      </c>
      <c r="EG58" s="110">
        <f t="shared" si="276"/>
        <v>0.13799999999999998</v>
      </c>
      <c r="EH58" s="97">
        <f t="shared" si="220"/>
        <v>14.68410939556882</v>
      </c>
      <c r="EI58" s="97">
        <f t="shared" si="238"/>
        <v>468.04525008264648</v>
      </c>
      <c r="EJ58" s="97">
        <f t="shared" si="243"/>
        <v>1068.715587342896</v>
      </c>
      <c r="EK58" s="97">
        <f t="shared" si="246"/>
        <v>141.3002615631427</v>
      </c>
      <c r="EL58" s="97">
        <f t="shared" si="248"/>
        <v>5.2807708191864542</v>
      </c>
      <c r="EM58" s="111">
        <f t="shared" si="196"/>
        <v>1698.0259792034406</v>
      </c>
      <c r="EN58" s="200">
        <f t="shared" si="197"/>
        <v>50</v>
      </c>
      <c r="EO58" s="92">
        <f t="shared" si="198"/>
        <v>5.8995215311004792</v>
      </c>
      <c r="EP58" s="92">
        <f t="shared" si="199"/>
        <v>234.32758513007477</v>
      </c>
      <c r="EQ58" s="92">
        <f t="shared" si="239"/>
        <v>290.22710666117524</v>
      </c>
      <c r="ER58" s="128">
        <f t="shared" si="201"/>
        <v>0.17092029816724208</v>
      </c>
      <c r="ES58" s="111">
        <f t="shared" si="240"/>
        <v>1407.7988725422654</v>
      </c>
      <c r="ET58" s="72">
        <f t="shared" si="203"/>
        <v>1.2844349054880517</v>
      </c>
      <c r="EU58" s="96">
        <f t="shared" si="204"/>
        <v>2.1032643968715483</v>
      </c>
      <c r="EV58" s="92">
        <f t="shared" si="205"/>
        <v>2103.2643968715483</v>
      </c>
      <c r="EW58" s="120">
        <f t="shared" si="244"/>
        <v>-0.87704872899999997</v>
      </c>
      <c r="EX58" s="9">
        <f t="shared" si="184"/>
        <v>-1.2603346879999999</v>
      </c>
      <c r="EY58" s="9">
        <f t="shared" si="185"/>
        <v>1.332596678</v>
      </c>
      <c r="EZ58" s="9">
        <f t="shared" si="186"/>
        <v>-1.3443191489999999</v>
      </c>
      <c r="FA58" s="113" cm="1">
        <f t="array" ref="FA58">$DN$11+SUMPRODUCT($DP$11:$DS$11*EW58:EZ58)</f>
        <v>1.8408919894738998</v>
      </c>
      <c r="FB58">
        <v>1995</v>
      </c>
      <c r="FC58" s="116">
        <f t="shared" si="121"/>
        <v>1670426.6669714523</v>
      </c>
      <c r="FD58" s="116">
        <f t="shared" si="255"/>
        <v>2057589.981882639</v>
      </c>
      <c r="FE58" s="116">
        <f t="shared" si="159"/>
        <v>2836635.1049793945</v>
      </c>
      <c r="FF58" s="116">
        <f t="shared" si="256"/>
        <v>1780948.0365395681</v>
      </c>
      <c r="FG58" s="5">
        <f t="shared" si="257"/>
        <v>276641.9453430709</v>
      </c>
      <c r="FH58" s="5">
        <f t="shared" si="155"/>
        <v>381384.17302748421</v>
      </c>
      <c r="FI58" s="155">
        <f t="shared" si="258"/>
        <v>0.13444950052194121</v>
      </c>
      <c r="FJ58" s="117">
        <f t="shared" si="127"/>
        <v>13.444950052194121</v>
      </c>
      <c r="FK58" s="61">
        <f t="shared" si="259"/>
        <v>7775.0525071201791</v>
      </c>
      <c r="FL58" s="61">
        <f t="shared" si="142"/>
        <v>264.64001111225355</v>
      </c>
      <c r="FM58" s="92">
        <f t="shared" si="128"/>
        <v>35.580717312163465</v>
      </c>
      <c r="FN58" s="72">
        <f t="shared" si="129"/>
        <v>0.13444950052194121</v>
      </c>
      <c r="FO58" s="179">
        <f t="shared" si="260"/>
        <v>1.1860239104054489</v>
      </c>
      <c r="FP58" s="92">
        <f t="shared" si="160"/>
        <v>38.924777942766219</v>
      </c>
      <c r="FQ58" s="1">
        <f t="shared" si="143"/>
        <v>0</v>
      </c>
      <c r="FR58" s="26">
        <f t="shared" si="130"/>
        <v>1.2341408827186904</v>
      </c>
      <c r="FS58">
        <f t="shared" si="261"/>
        <v>1995</v>
      </c>
      <c r="FT58" s="5">
        <f t="shared" si="241"/>
        <v>2535.1623011702495</v>
      </c>
      <c r="FU58" s="214">
        <f t="shared" si="262"/>
        <v>4307.8765043550402</v>
      </c>
      <c r="FV58" s="213">
        <f t="shared" si="131"/>
        <v>2482.6174786690949</v>
      </c>
      <c r="FW58" s="5">
        <f t="shared" si="132"/>
        <v>1825.2590256859453</v>
      </c>
      <c r="FX58" s="1">
        <f t="shared" si="133"/>
        <v>0.423702727745492</v>
      </c>
      <c r="FY58">
        <f t="shared" si="263"/>
        <v>20223.366688526228</v>
      </c>
      <c r="FZ58" s="26">
        <f t="shared" si="134"/>
        <v>9.0254953776885721E-2</v>
      </c>
      <c r="GA58" s="106">
        <f t="shared" si="264"/>
        <v>3.0084984592295238E-3</v>
      </c>
      <c r="GB58" s="61">
        <f t="shared" si="135"/>
        <v>1407.7988725422654</v>
      </c>
      <c r="GC58" s="61">
        <f t="shared" si="207"/>
        <v>3493.7253139953623</v>
      </c>
      <c r="GD58" s="61">
        <f t="shared" si="247"/>
        <v>2929.3241324345954</v>
      </c>
      <c r="GE58" s="61">
        <f t="shared" si="210"/>
        <v>2103.2643968715488</v>
      </c>
      <c r="GF58" s="61">
        <f t="shared" si="137"/>
        <v>1390.4609171238135</v>
      </c>
      <c r="GG58" s="61">
        <f t="shared" si="245"/>
        <v>1165.8359927214744</v>
      </c>
      <c r="GH58" s="6">
        <f t="shared" si="138"/>
        <v>0.39798804775917174</v>
      </c>
      <c r="GI58">
        <f t="shared" si="265"/>
        <v>9248.6922093424037</v>
      </c>
      <c r="GJ58" s="26">
        <f t="shared" si="208"/>
        <v>0.15034135482628169</v>
      </c>
      <c r="GK58">
        <f t="shared" si="266"/>
        <v>5.0113784942093899E-3</v>
      </c>
      <c r="GL58" s="232">
        <f t="shared" si="140"/>
        <v>1.2341408827186904</v>
      </c>
      <c r="GY58">
        <v>1995</v>
      </c>
      <c r="GZ58" s="112">
        <f t="shared" si="267"/>
        <v>0.76948621763916059</v>
      </c>
      <c r="HA58" s="112">
        <f t="shared" si="268"/>
        <v>1.2844349054880517</v>
      </c>
      <c r="HB58" s="112">
        <f t="shared" si="269"/>
        <v>2.0131109903296598</v>
      </c>
    </row>
    <row r="59" spans="1:210" x14ac:dyDescent="0.35">
      <c r="A59">
        <v>1996</v>
      </c>
      <c r="D59" s="80">
        <f>'SR + catch data Murdoch_age var'!C48</f>
        <v>1186180</v>
      </c>
      <c r="E59" s="80">
        <f>'SR + catch data Murdoch_age var'!E48</f>
        <v>1406508.3752676437</v>
      </c>
      <c r="F59" s="231">
        <f t="shared" si="63"/>
        <v>0.17037224390010886</v>
      </c>
      <c r="G59" s="80">
        <f>'SR + catch data Murdoch_age var'!D48</f>
        <v>1248442.946191224</v>
      </c>
      <c r="H59" s="80">
        <f>'Orig data'!Q50</f>
        <v>1248442.946191224</v>
      </c>
      <c r="I59" s="80">
        <f t="shared" si="64"/>
        <v>62262.946191224037</v>
      </c>
      <c r="J59" s="150">
        <f t="shared" si="65"/>
        <v>4.9872480261254341E-2</v>
      </c>
      <c r="K59" s="83">
        <f>'SR + catch data Murdoch_age var'!CM48</f>
        <v>0.84323355308114556</v>
      </c>
      <c r="L59" s="83">
        <f>'SR + catch data Murdoch_age var'!CN48</f>
        <v>1.0368138423775961</v>
      </c>
      <c r="M59" s="84">
        <f>'SR + catch data Murdoch_age var'!CO48</f>
        <v>1532117.0223869774</v>
      </c>
      <c r="N59" s="81">
        <f t="shared" si="66"/>
        <v>-8.5540150153961089E-2</v>
      </c>
      <c r="O59" s="82">
        <f t="shared" si="67"/>
        <v>1996</v>
      </c>
      <c r="P59" s="81">
        <f t="shared" si="270"/>
        <v>0.10741516534518507</v>
      </c>
      <c r="Q59" s="81">
        <f t="shared" si="270"/>
        <v>0.75930233821489568</v>
      </c>
      <c r="R59" s="81">
        <f t="shared" si="270"/>
        <v>0.13183604264117066</v>
      </c>
      <c r="S59" s="85">
        <f t="shared" si="270"/>
        <v>1.4464537987485602E-3</v>
      </c>
      <c r="T59" s="80">
        <f t="shared" si="144"/>
        <v>134101.70548916032</v>
      </c>
      <c r="U59" s="80">
        <f t="shared" si="145"/>
        <v>947945.64817088959</v>
      </c>
      <c r="V59" s="80">
        <f t="shared" si="146"/>
        <v>164589.77748913493</v>
      </c>
      <c r="W59" s="80">
        <f t="shared" si="147"/>
        <v>1805.8150420391403</v>
      </c>
      <c r="X59" s="86">
        <f t="shared" si="73"/>
        <v>1996</v>
      </c>
      <c r="Y59" s="79">
        <f t="shared" si="149"/>
        <v>165012.91843339632</v>
      </c>
      <c r="Z59" s="79">
        <f t="shared" si="152"/>
        <v>988207.87354641117</v>
      </c>
      <c r="AA59" s="79">
        <f t="shared" si="156"/>
        <v>239053.9854100158</v>
      </c>
      <c r="AB59" s="79">
        <f t="shared" si="161"/>
        <v>3104.6730086918733</v>
      </c>
      <c r="AC59" s="80">
        <f t="shared" si="78"/>
        <v>1395379.4503985152</v>
      </c>
      <c r="AD59" s="84">
        <f t="shared" si="79"/>
        <v>-146936.50420729117</v>
      </c>
      <c r="AE59" s="80">
        <f t="shared" si="80"/>
        <v>62262.946191224037</v>
      </c>
      <c r="AF59" s="72">
        <f t="shared" si="81"/>
        <v>4.4620799147817441E-2</v>
      </c>
      <c r="AG59" s="26">
        <f t="shared" si="82"/>
        <v>-5.2516811134368999E-3</v>
      </c>
      <c r="AH59" s="61">
        <f t="shared" si="249"/>
        <v>1996</v>
      </c>
      <c r="AI59" s="74" cm="1">
        <f t="array" ref="AI59">IF(Uhistoric=1,J59,Uapply)</f>
        <v>0.2</v>
      </c>
      <c r="AJ59" s="75">
        <f t="shared" si="150"/>
        <v>202822.41611435238</v>
      </c>
      <c r="AK59" s="75">
        <f t="shared" si="153"/>
        <v>1186992.0808509539</v>
      </c>
      <c r="AL59" s="75">
        <f t="shared" si="157"/>
        <v>289767.34555749275</v>
      </c>
      <c r="AM59" s="75">
        <f t="shared" si="162"/>
        <v>2730.6440740662215</v>
      </c>
      <c r="AN59" s="79">
        <f t="shared" si="84"/>
        <v>1682312.4865968653</v>
      </c>
      <c r="AO59" s="80">
        <f t="shared" si="85"/>
        <v>336462.49731937307</v>
      </c>
      <c r="AP59" s="80">
        <f t="shared" si="86"/>
        <v>1345849.9892774923</v>
      </c>
      <c r="AQ59" s="81">
        <v>-0.26913195325044026</v>
      </c>
      <c r="AR59" s="81">
        <v>-1.1973066331168454</v>
      </c>
      <c r="AS59" s="81">
        <f>'SR + catch data Murdoch_age var'!N48</f>
        <v>0.56988044708622532</v>
      </c>
      <c r="AT59" s="121">
        <f>'SR + catch data Murdoch_age var'!BR48</f>
        <v>-6.2940749098387677E-2</v>
      </c>
      <c r="AU59" s="122">
        <f t="shared" si="250"/>
        <v>0.84323355308114545</v>
      </c>
      <c r="AV59" s="122">
        <f t="shared" si="88"/>
        <v>0.25591239405406985</v>
      </c>
      <c r="AW59" s="115">
        <f t="shared" si="251"/>
        <v>1696584.705409758</v>
      </c>
      <c r="AX59" s="115"/>
      <c r="AY59" s="141">
        <f t="shared" si="89"/>
        <v>9.2293856100430574E-3</v>
      </c>
      <c r="AZ59" s="141"/>
      <c r="BA59" s="84">
        <v>1020</v>
      </c>
      <c r="BB59" s="101">
        <v>1996</v>
      </c>
      <c r="BC59" s="72">
        <v>3.5750695088044487E-2</v>
      </c>
      <c r="BD59" s="72">
        <v>0.8358758109360519</v>
      </c>
      <c r="BE59" s="72">
        <v>0.11956904541241889</v>
      </c>
      <c r="BF59" s="72">
        <v>8.3410565338276187E-3</v>
      </c>
      <c r="BG59" s="72">
        <v>4.6339202965708991E-4</v>
      </c>
      <c r="BH59" s="76">
        <v>1.02</v>
      </c>
      <c r="BI59" s="76">
        <v>2.234</v>
      </c>
      <c r="BJ59" s="72">
        <f t="shared" si="215"/>
        <v>0.78399107335082918</v>
      </c>
      <c r="BK59">
        <v>1.02</v>
      </c>
      <c r="BL59" s="120">
        <v>-0.17510831299999999</v>
      </c>
      <c r="BM59" s="125">
        <v>-0.353596297</v>
      </c>
      <c r="BN59" s="4">
        <v>1.332596678</v>
      </c>
      <c r="BO59" s="98">
        <f t="shared" si="221"/>
        <v>1.7243165517116192</v>
      </c>
      <c r="BP59" s="98">
        <f t="shared" si="216"/>
        <v>2.5183189876362757</v>
      </c>
      <c r="BQ59" s="99">
        <f t="shared" si="217"/>
        <v>-0.11979790988890203</v>
      </c>
      <c r="BR59" s="200">
        <v>50</v>
      </c>
      <c r="BS59" s="100">
        <v>70.092259536314913</v>
      </c>
      <c r="BT59" s="98">
        <v>0.33699999999999997</v>
      </c>
      <c r="BU59" s="98">
        <f t="shared" si="222"/>
        <v>0.33699999999999997</v>
      </c>
      <c r="BV59" s="99">
        <f t="shared" si="92"/>
        <v>0.33699999999999997</v>
      </c>
      <c r="BW59" s="100">
        <f t="shared" si="218"/>
        <v>579.50390869342095</v>
      </c>
      <c r="BX59" s="100">
        <v>1719.5961682297359</v>
      </c>
      <c r="BY59" s="99">
        <v>0.04</v>
      </c>
      <c r="BZ59" s="89">
        <f t="shared" si="277"/>
        <v>8.7967412089183461E-2</v>
      </c>
      <c r="CA59" s="78">
        <v>1996</v>
      </c>
      <c r="CB59" s="91">
        <f t="shared" si="275"/>
        <v>0.13799999999999998</v>
      </c>
      <c r="CC59" s="97">
        <f t="shared" si="252"/>
        <v>114.18139287806198</v>
      </c>
      <c r="CD59" s="97">
        <f t="shared" si="271"/>
        <v>811.51612783663847</v>
      </c>
      <c r="CE59" s="97">
        <f t="shared" si="272"/>
        <v>372.28106191586011</v>
      </c>
      <c r="CF59" s="97">
        <f t="shared" si="273"/>
        <v>33.837091463580251</v>
      </c>
      <c r="CG59" s="97">
        <f t="shared" si="274"/>
        <v>1.7182387348136654</v>
      </c>
      <c r="CH59" s="92">
        <f t="shared" si="224"/>
        <v>1333.5339128289545</v>
      </c>
      <c r="CI59" s="200">
        <f t="shared" si="225"/>
        <v>50</v>
      </c>
      <c r="CJ59" s="92">
        <f t="shared" si="226"/>
        <v>70.092259536314913</v>
      </c>
      <c r="CK59" s="92">
        <f t="shared" si="227"/>
        <v>184.0276799703957</v>
      </c>
      <c r="CL59" s="92">
        <f t="shared" si="228"/>
        <v>304.11993950671058</v>
      </c>
      <c r="CM59" s="72">
        <f t="shared" si="229"/>
        <v>4.3496936833183973E-2</v>
      </c>
      <c r="CN59" s="128">
        <f t="shared" si="230"/>
        <v>0.2280556471650215</v>
      </c>
      <c r="CO59" s="111">
        <f t="shared" si="231"/>
        <v>1029.4139733222439</v>
      </c>
      <c r="CP59" s="72">
        <f t="shared" si="232"/>
        <v>1.7243165517116192</v>
      </c>
      <c r="CQ59" s="96">
        <f t="shared" si="233"/>
        <v>4.4050597316385609</v>
      </c>
      <c r="CR59" s="92">
        <f t="shared" si="234"/>
        <v>4405.0597316385611</v>
      </c>
      <c r="CS59" s="120">
        <f t="shared" si="235"/>
        <v>-0.90461819600000004</v>
      </c>
      <c r="CT59" s="72">
        <f t="shared" si="97"/>
        <v>-0.353596297</v>
      </c>
      <c r="CU59" s="72">
        <f t="shared" si="236"/>
        <v>1.332596678</v>
      </c>
      <c r="CV59" s="104">
        <f t="shared" si="237"/>
        <v>2.281864670680557</v>
      </c>
      <c r="CW59" s="105">
        <f t="shared" si="99"/>
        <v>-0.26913195325044026</v>
      </c>
      <c r="CX59" s="105">
        <f t="shared" si="100"/>
        <v>-1.1973066331168454</v>
      </c>
      <c r="CY59" s="105">
        <f t="shared" si="101"/>
        <v>0.56988044708622532</v>
      </c>
      <c r="CZ59" s="123">
        <f t="shared" si="242"/>
        <v>-0.68849257550252763</v>
      </c>
      <c r="DA59" s="81">
        <f t="shared" si="253"/>
        <v>0.98351122617225473</v>
      </c>
      <c r="DB59" s="9">
        <f t="shared" si="104"/>
        <v>1696584.705409758</v>
      </c>
      <c r="DD59" s="1">
        <f t="shared" si="105"/>
        <v>1.7335684623582499</v>
      </c>
      <c r="DE59" s="114">
        <v>518</v>
      </c>
      <c r="DF59" s="61">
        <v>1996</v>
      </c>
      <c r="DG59" s="26">
        <v>7.6142131979695434E-3</v>
      </c>
      <c r="DH59" s="26">
        <v>0.29512169725367693</v>
      </c>
      <c r="DI59" s="26">
        <v>0.6060236886632826</v>
      </c>
      <c r="DJ59" s="26">
        <v>8.8702329819081091E-2</v>
      </c>
      <c r="DK59" s="26">
        <v>2.5380710659898475E-3</v>
      </c>
      <c r="DL59" s="106">
        <v>0.51800000000000002</v>
      </c>
      <c r="DM59" s="106">
        <v>1.274</v>
      </c>
      <c r="DN59" s="26">
        <v>0.89994159387262551</v>
      </c>
      <c r="DO59" s="76">
        <f t="shared" si="107"/>
        <v>0.51800000000000002</v>
      </c>
      <c r="DP59" s="119">
        <v>-0.11400597599999999</v>
      </c>
      <c r="DQ59" s="26">
        <v>0.25265755200000001</v>
      </c>
      <c r="DR59" s="26">
        <v>1.888764704</v>
      </c>
      <c r="DS59" s="26">
        <v>7.2767187999999997E-2</v>
      </c>
      <c r="DT59" s="113" cm="1">
        <f t="array" ref="DT59">$DN$11+SUMPRODUCT(DP$11:$DS$11*DP59:DS59)</f>
        <v>1.4144951630128628</v>
      </c>
      <c r="DU59" s="76">
        <f t="shared" si="254"/>
        <v>1.2549263597410092</v>
      </c>
      <c r="DV59" s="72">
        <f t="shared" si="179"/>
        <v>1.5084663785019917E-2</v>
      </c>
      <c r="DW59" s="199">
        <v>50</v>
      </c>
      <c r="DX59" s="61">
        <v>3.5023923444976077</v>
      </c>
      <c r="DY59" s="26">
        <v>0.33699999999999997</v>
      </c>
      <c r="DZ59" s="98">
        <f t="shared" si="213"/>
        <v>0.33746371549332532</v>
      </c>
      <c r="EA59" s="110">
        <f t="shared" si="214"/>
        <v>0.33746371549332532</v>
      </c>
      <c r="EB59" s="100">
        <f t="shared" si="188"/>
        <v>291.09548449486522</v>
      </c>
      <c r="EC59" s="61">
        <v>862.59787683936281</v>
      </c>
      <c r="ED59" s="99">
        <v>0.04</v>
      </c>
      <c r="EE59" s="72">
        <f t="shared" si="189"/>
        <v>3.4025390359582811E-2</v>
      </c>
      <c r="EF59">
        <v>1996</v>
      </c>
      <c r="EG59" s="110">
        <f t="shared" si="276"/>
        <v>0.13799999999999998</v>
      </c>
      <c r="EH59" s="97">
        <f t="shared" si="220"/>
        <v>14.014054871158413</v>
      </c>
      <c r="EI59" s="97">
        <f t="shared" si="238"/>
        <v>569.14603975556668</v>
      </c>
      <c r="EJ59" s="97">
        <f t="shared" si="243"/>
        <v>961.11709696695311</v>
      </c>
      <c r="EK59" s="97">
        <f t="shared" si="246"/>
        <v>156.42550660087105</v>
      </c>
      <c r="EL59" s="97">
        <f t="shared" si="248"/>
        <v>4.043074248688602</v>
      </c>
      <c r="EM59" s="111">
        <f t="shared" si="196"/>
        <v>1704.7457724432379</v>
      </c>
      <c r="EN59" s="200">
        <f t="shared" si="197"/>
        <v>50</v>
      </c>
      <c r="EO59" s="92">
        <f t="shared" si="198"/>
        <v>3.5023923444976077</v>
      </c>
      <c r="EP59" s="92">
        <f t="shared" si="199"/>
        <v>235.25491659716681</v>
      </c>
      <c r="EQ59" s="92">
        <f t="shared" si="239"/>
        <v>288.75730894166441</v>
      </c>
      <c r="ER59" s="128">
        <f t="shared" si="201"/>
        <v>0.16938438188810878</v>
      </c>
      <c r="ES59" s="111">
        <f t="shared" si="240"/>
        <v>1415.9884635015735</v>
      </c>
      <c r="ET59" s="72">
        <f t="shared" si="203"/>
        <v>1.4144951630128628</v>
      </c>
      <c r="EU59" s="96">
        <f t="shared" si="204"/>
        <v>2.5078255542776873</v>
      </c>
      <c r="EV59" s="92">
        <f t="shared" si="205"/>
        <v>2507.8255542776874</v>
      </c>
      <c r="EW59" s="120">
        <f t="shared" si="244"/>
        <v>-0.87704872899999997</v>
      </c>
      <c r="EX59" s="9">
        <f t="shared" si="184"/>
        <v>0.25265755200000001</v>
      </c>
      <c r="EY59" s="9">
        <f t="shared" si="185"/>
        <v>1.888764704</v>
      </c>
      <c r="EZ59" s="9">
        <f t="shared" si="186"/>
        <v>7.2767187999999997E-2</v>
      </c>
      <c r="FA59" s="113" cm="1">
        <f t="array" ref="FA59">$DN$11+SUMPRODUCT($DP$11:$DS$11*EW59:EZ59)</f>
        <v>2.0193905866308608</v>
      </c>
      <c r="FB59">
        <v>1996</v>
      </c>
      <c r="FC59" s="116">
        <f t="shared" si="121"/>
        <v>1345849.9892774923</v>
      </c>
      <c r="FD59" s="116">
        <f t="shared" si="255"/>
        <v>2135171.4385694358</v>
      </c>
      <c r="FE59" s="116">
        <f t="shared" si="159"/>
        <v>2170645.1094859769</v>
      </c>
      <c r="FF59" s="116">
        <f t="shared" si="256"/>
        <v>1848098.7051250609</v>
      </c>
      <c r="FG59" s="5">
        <f t="shared" si="257"/>
        <v>287072.73344437499</v>
      </c>
      <c r="FH59" s="5">
        <f t="shared" si="155"/>
        <v>291842.15078078397</v>
      </c>
      <c r="FI59" s="155">
        <f t="shared" si="258"/>
        <v>0.13444950052194105</v>
      </c>
      <c r="FJ59" s="117">
        <f t="shared" si="127"/>
        <v>13.444950052194105</v>
      </c>
      <c r="FK59" s="61">
        <f t="shared" si="259"/>
        <v>7775.0525071201791</v>
      </c>
      <c r="FL59" s="61">
        <f t="shared" si="142"/>
        <v>274.61826612927752</v>
      </c>
      <c r="FM59" s="92">
        <f t="shared" si="128"/>
        <v>36.922288715282846</v>
      </c>
      <c r="FN59" s="72">
        <f t="shared" si="129"/>
        <v>0.13444950052194105</v>
      </c>
      <c r="FO59" s="179">
        <f t="shared" si="260"/>
        <v>1.2307429571760948</v>
      </c>
      <c r="FP59" s="92">
        <f t="shared" si="160"/>
        <v>39.671131786246924</v>
      </c>
      <c r="FQ59" s="1">
        <f t="shared" si="143"/>
        <v>0</v>
      </c>
      <c r="FR59" s="26">
        <f t="shared" si="130"/>
        <v>1.2341408827186904</v>
      </c>
      <c r="FS59">
        <f t="shared" si="261"/>
        <v>1996</v>
      </c>
      <c r="FT59" s="5">
        <f t="shared" si="241"/>
        <v>1029.4139733222439</v>
      </c>
      <c r="FU59" s="214">
        <f t="shared" si="262"/>
        <v>8064.3388369063787</v>
      </c>
      <c r="FV59" s="213">
        <f t="shared" si="131"/>
        <v>4647.4564742452385</v>
      </c>
      <c r="FW59" s="5">
        <f t="shared" si="132"/>
        <v>3416.8823626611402</v>
      </c>
      <c r="FX59" s="1">
        <f t="shared" si="133"/>
        <v>0.42370272774549189</v>
      </c>
      <c r="FY59">
        <f t="shared" si="263"/>
        <v>21067.395196569825</v>
      </c>
      <c r="FZ59" s="26">
        <f t="shared" si="134"/>
        <v>0.16218817422751314</v>
      </c>
      <c r="GA59" s="106">
        <f t="shared" si="264"/>
        <v>5.4062724742504377E-3</v>
      </c>
      <c r="GB59" s="61">
        <f t="shared" si="135"/>
        <v>1415.9884635015735</v>
      </c>
      <c r="GC59" s="61">
        <f t="shared" si="207"/>
        <v>4165.7404723327809</v>
      </c>
      <c r="GD59" s="61">
        <f t="shared" si="247"/>
        <v>2634.3992167650977</v>
      </c>
      <c r="GE59" s="61">
        <f t="shared" si="210"/>
        <v>2507.8255542776874</v>
      </c>
      <c r="GF59" s="61">
        <f t="shared" si="137"/>
        <v>1657.9149180550935</v>
      </c>
      <c r="GG59" s="61">
        <f t="shared" si="245"/>
        <v>1048.4594012986322</v>
      </c>
      <c r="GH59" s="6">
        <f t="shared" si="138"/>
        <v>0.39798804775917174</v>
      </c>
      <c r="GI59">
        <f t="shared" si="265"/>
        <v>9248.6922093424037</v>
      </c>
      <c r="GJ59" s="26">
        <f t="shared" si="208"/>
        <v>0.17925938938484512</v>
      </c>
      <c r="GK59">
        <f t="shared" si="266"/>
        <v>5.9753129794948377E-3</v>
      </c>
      <c r="GL59" s="232">
        <f t="shared" si="140"/>
        <v>1.2341408827186904</v>
      </c>
      <c r="GY59">
        <v>1996</v>
      </c>
      <c r="GZ59" s="112">
        <f t="shared" si="267"/>
        <v>0.84323355308114545</v>
      </c>
      <c r="HA59" s="112">
        <f t="shared" si="268"/>
        <v>1.4144951630128628</v>
      </c>
      <c r="HB59" s="112">
        <f t="shared" si="269"/>
        <v>2.281864670680557</v>
      </c>
    </row>
    <row r="60" spans="1:210" x14ac:dyDescent="0.35">
      <c r="A60">
        <v>1997</v>
      </c>
      <c r="D60" s="80">
        <f>'SR + catch data Murdoch_age var'!C49</f>
        <v>1045815</v>
      </c>
      <c r="E60" s="80">
        <f>'SR + catch data Murdoch_age var'!E49</f>
        <v>3026044.5640955563</v>
      </c>
      <c r="F60" s="231">
        <f t="shared" si="63"/>
        <v>1.0624598565660222</v>
      </c>
      <c r="G60" s="80">
        <f>'SR + catch data Murdoch_age var'!D49</f>
        <v>1134098.414512618</v>
      </c>
      <c r="H60" s="80">
        <f>'Orig data'!Q51</f>
        <v>1134098.414512618</v>
      </c>
      <c r="I60" s="80">
        <f t="shared" si="64"/>
        <v>88283.414512617979</v>
      </c>
      <c r="J60" s="149">
        <f t="shared" si="65"/>
        <v>7.784457978504275E-2</v>
      </c>
      <c r="K60" s="83">
        <f>'SR + catch data Murdoch_age var'!CM49</f>
        <v>0.90034576495095775</v>
      </c>
      <c r="L60" s="83">
        <f>'SR + catch data Murdoch_age var'!CN49</f>
        <v>1.0411316449408758</v>
      </c>
      <c r="M60" s="84">
        <f>'SR + catch data Murdoch_age var'!CO49</f>
        <v>1533144.635906117</v>
      </c>
      <c r="N60" s="81">
        <f t="shared" si="66"/>
        <v>0.67993539860717445</v>
      </c>
      <c r="O60" s="82">
        <f t="shared" si="67"/>
        <v>1997</v>
      </c>
      <c r="P60" s="81">
        <f t="shared" si="270"/>
        <v>0.10741516534518507</v>
      </c>
      <c r="Q60" s="81">
        <f t="shared" si="270"/>
        <v>0.75930233821489568</v>
      </c>
      <c r="R60" s="81">
        <f t="shared" si="270"/>
        <v>0.13183604264117066</v>
      </c>
      <c r="S60" s="85">
        <f t="shared" si="270"/>
        <v>1.4464537987485602E-3</v>
      </c>
      <c r="T60" s="80">
        <f t="shared" si="144"/>
        <v>121819.3687125851</v>
      </c>
      <c r="U60" s="80">
        <f t="shared" si="145"/>
        <v>861123.57790523686</v>
      </c>
      <c r="V60" s="80">
        <f t="shared" si="146"/>
        <v>149515.04693496955</v>
      </c>
      <c r="W60" s="80">
        <f t="shared" si="147"/>
        <v>1640.4209598264956</v>
      </c>
      <c r="X60" s="86">
        <f t="shared" si="73"/>
        <v>1997</v>
      </c>
      <c r="Y60" s="79">
        <f t="shared" si="149"/>
        <v>388806.90120748902</v>
      </c>
      <c r="Z60" s="79">
        <f t="shared" si="152"/>
        <v>1166452.5618845318</v>
      </c>
      <c r="AA60" s="79">
        <f t="shared" si="156"/>
        <v>171580.42165587717</v>
      </c>
      <c r="AB60" s="79">
        <f t="shared" si="161"/>
        <v>2622.8073778233806</v>
      </c>
      <c r="AC60" s="80">
        <f t="shared" si="78"/>
        <v>1729462.6921257214</v>
      </c>
      <c r="AD60" s="84">
        <f t="shared" si="79"/>
        <v>-595364.27761310339</v>
      </c>
      <c r="AE60" s="80">
        <f t="shared" si="80"/>
        <v>88283.414512617979</v>
      </c>
      <c r="AF60" s="72">
        <f t="shared" si="81"/>
        <v>5.1046729666140905E-2</v>
      </c>
      <c r="AG60" s="26">
        <f t="shared" si="82"/>
        <v>-2.6797850118901845E-2</v>
      </c>
      <c r="AH60" s="61">
        <f t="shared" si="249"/>
        <v>1997</v>
      </c>
      <c r="AI60" s="74" cm="1">
        <f t="array" ref="AI60">IF(Uhistoric=1,J60,Uapply)</f>
        <v>0.2</v>
      </c>
      <c r="AJ60" s="75">
        <f t="shared" si="150"/>
        <v>422601.32498696883</v>
      </c>
      <c r="AK60" s="75">
        <f t="shared" si="153"/>
        <v>1433722.4571886354</v>
      </c>
      <c r="AL60" s="75">
        <f t="shared" si="157"/>
        <v>206094.89884319223</v>
      </c>
      <c r="AM60" s="75">
        <f t="shared" si="162"/>
        <v>3179.2146467542088</v>
      </c>
      <c r="AN60" s="79">
        <f t="shared" si="84"/>
        <v>2065597.8956655508</v>
      </c>
      <c r="AO60" s="80">
        <f t="shared" si="85"/>
        <v>413119.57913311018</v>
      </c>
      <c r="AP60" s="80">
        <f t="shared" si="86"/>
        <v>1652478.3165324407</v>
      </c>
      <c r="AQ60" s="81">
        <v>-0.54897412018810221</v>
      </c>
      <c r="AR60" s="81">
        <v>0.85361448514897043</v>
      </c>
      <c r="AS60" s="81">
        <f>'SR + catch data Murdoch_age var'!N49</f>
        <v>1.5798525571883175</v>
      </c>
      <c r="AT60" s="121">
        <f>'SR + catch data Murdoch_age var'!BR49</f>
        <v>2.7720142388261978E-2</v>
      </c>
      <c r="AU60" s="122">
        <f t="shared" si="250"/>
        <v>0.90034576495095786</v>
      </c>
      <c r="AV60" s="122">
        <f t="shared" si="88"/>
        <v>0.38252445795884782</v>
      </c>
      <c r="AW60" s="115">
        <f t="shared" si="251"/>
        <v>4157703.3528671321</v>
      </c>
      <c r="AX60" s="115"/>
      <c r="AY60" s="141">
        <f t="shared" si="89"/>
        <v>-0.21620390799132944</v>
      </c>
      <c r="AZ60" s="141"/>
      <c r="BA60" s="84">
        <v>3000</v>
      </c>
      <c r="BB60" s="101">
        <v>1997</v>
      </c>
      <c r="BC60" s="72">
        <v>3.5750695088044487E-2</v>
      </c>
      <c r="BD60" s="72">
        <v>0.8358758109360519</v>
      </c>
      <c r="BE60" s="72">
        <v>0.11956904541241889</v>
      </c>
      <c r="BF60" s="72">
        <v>8.3410565338276187E-3</v>
      </c>
      <c r="BG60" s="72">
        <v>4.6339202965708991E-4</v>
      </c>
      <c r="BH60" s="76">
        <v>3</v>
      </c>
      <c r="BI60" s="76">
        <v>3.347</v>
      </c>
      <c r="BJ60" s="72">
        <f t="shared" si="215"/>
        <v>0.10945213356107979</v>
      </c>
      <c r="BK60">
        <v>3</v>
      </c>
      <c r="BL60" s="120">
        <v>-0.11400597599999999</v>
      </c>
      <c r="BM60" s="125">
        <v>-1.2603346879999999</v>
      </c>
      <c r="BN60" s="4">
        <v>1.888764704</v>
      </c>
      <c r="BO60" s="98">
        <f t="shared" si="221"/>
        <v>1.8397489640896869</v>
      </c>
      <c r="BP60" s="98">
        <f t="shared" si="216"/>
        <v>1.6905347092517997</v>
      </c>
      <c r="BQ60" s="99">
        <f t="shared" si="217"/>
        <v>0.68301954732988668</v>
      </c>
      <c r="BR60" s="200">
        <v>50</v>
      </c>
      <c r="BS60" s="100">
        <v>115.28852989548517</v>
      </c>
      <c r="BT60" s="98">
        <v>0.10950000000000004</v>
      </c>
      <c r="BU60" s="98">
        <f t="shared" si="222"/>
        <v>0.10949999999999997</v>
      </c>
      <c r="BV60" s="124">
        <f t="shared" si="92"/>
        <v>0.10949999999999997</v>
      </c>
      <c r="BW60" s="100">
        <f t="shared" si="218"/>
        <v>389.21852220500341</v>
      </c>
      <c r="BX60" s="100">
        <v>3554.5070521004886</v>
      </c>
      <c r="BY60" s="99">
        <v>0.06</v>
      </c>
      <c r="BZ60" s="89">
        <f t="shared" si="277"/>
        <v>9.9733180618137643E-2</v>
      </c>
      <c r="CA60" s="78">
        <v>1997</v>
      </c>
      <c r="CB60" s="91">
        <f t="shared" si="275"/>
        <v>0.13799999999999998</v>
      </c>
      <c r="CC60" s="97">
        <f t="shared" si="252"/>
        <v>106.00486024610451</v>
      </c>
      <c r="CD60" s="97">
        <f t="shared" si="271"/>
        <v>2669.6394050720128</v>
      </c>
      <c r="CE60" s="97">
        <f t="shared" si="272"/>
        <v>116.08447986256267</v>
      </c>
      <c r="CF60" s="97">
        <f t="shared" si="273"/>
        <v>25.970077566505768</v>
      </c>
      <c r="CG60" s="97">
        <f t="shared" si="274"/>
        <v>1.8798384146433473</v>
      </c>
      <c r="CH60" s="92">
        <f t="shared" si="224"/>
        <v>2919.5786611618291</v>
      </c>
      <c r="CI60" s="200">
        <f t="shared" si="225"/>
        <v>50</v>
      </c>
      <c r="CJ60" s="93">
        <f t="shared" si="226"/>
        <v>115.28852989548517</v>
      </c>
      <c r="CK60" s="92">
        <f t="shared" si="227"/>
        <v>402.9018552403324</v>
      </c>
      <c r="CL60" s="92">
        <f t="shared" si="228"/>
        <v>568.19038513581756</v>
      </c>
      <c r="CM60" s="72">
        <f t="shared" si="229"/>
        <v>1.9867469625958662E-2</v>
      </c>
      <c r="CN60" s="128">
        <f t="shared" si="230"/>
        <v>0.19461382996603679</v>
      </c>
      <c r="CO60" s="111">
        <f t="shared" si="231"/>
        <v>2351.3882760260117</v>
      </c>
      <c r="CP60" s="72">
        <f t="shared" si="232"/>
        <v>1.8397489640896869</v>
      </c>
      <c r="CQ60" s="96">
        <f t="shared" si="233"/>
        <v>4.0855411785999758</v>
      </c>
      <c r="CR60" s="92">
        <f t="shared" si="234"/>
        <v>4085.5411785999759</v>
      </c>
      <c r="CS60" s="120">
        <f t="shared" si="235"/>
        <v>-0.90461819600000004</v>
      </c>
      <c r="CT60" s="72">
        <f t="shared" si="97"/>
        <v>-1.2603346879999999</v>
      </c>
      <c r="CU60" s="72">
        <f t="shared" si="236"/>
        <v>1.888764704</v>
      </c>
      <c r="CV60" s="104">
        <f t="shared" si="237"/>
        <v>2.443996235260455</v>
      </c>
      <c r="CW60" s="105">
        <f t="shared" si="99"/>
        <v>-0.54897412018810221</v>
      </c>
      <c r="CX60" s="105">
        <f t="shared" si="100"/>
        <v>0.85361448514897043</v>
      </c>
      <c r="CY60" s="105">
        <f t="shared" si="101"/>
        <v>1.5798525571883175</v>
      </c>
      <c r="CZ60" s="123">
        <f t="shared" si="242"/>
        <v>-0.68849257550252763</v>
      </c>
      <c r="DA60" s="81">
        <f t="shared" si="253"/>
        <v>1.0609538061447674</v>
      </c>
      <c r="DB60" s="9">
        <f t="shared" si="104"/>
        <v>4157703.3528671321</v>
      </c>
      <c r="DD60" s="1">
        <f t="shared" si="105"/>
        <v>0.13544834960721175</v>
      </c>
      <c r="DE60" s="114">
        <v>1373</v>
      </c>
      <c r="DF60" s="61">
        <v>1997</v>
      </c>
      <c r="DG60" s="26">
        <v>7.6142131979695434E-3</v>
      </c>
      <c r="DH60" s="26">
        <v>0.29512169725367693</v>
      </c>
      <c r="DI60" s="26">
        <v>0.6060236886632826</v>
      </c>
      <c r="DJ60" s="26">
        <v>8.8702329819081091E-2</v>
      </c>
      <c r="DK60" s="26">
        <v>2.5380710659898475E-3</v>
      </c>
      <c r="DL60" s="106">
        <v>1.373</v>
      </c>
      <c r="DM60" s="106">
        <v>1.04</v>
      </c>
      <c r="DN60" s="26">
        <v>-0.27777741363255271</v>
      </c>
      <c r="DO60" s="76">
        <f t="shared" si="107"/>
        <v>1.373</v>
      </c>
      <c r="DP60" s="119">
        <v>-4.9706443000000003E-2</v>
      </c>
      <c r="DQ60" s="26">
        <v>-0.85755870000000001</v>
      </c>
      <c r="DR60" s="26">
        <v>1.648210728</v>
      </c>
      <c r="DS60" s="26">
        <v>-0.82315929799999998</v>
      </c>
      <c r="DT60" s="113" cm="1">
        <f t="array" ref="DT60">$DN$11+SUMPRODUCT(DP$11:$DS$11*DP60:DS60)</f>
        <v>1.2872714199267605</v>
      </c>
      <c r="DU60" s="76">
        <f t="shared" si="254"/>
        <v>1.2219176747048108</v>
      </c>
      <c r="DV60" s="72">
        <f t="shared" si="179"/>
        <v>-0.161200776018043</v>
      </c>
      <c r="DW60" s="199">
        <v>50</v>
      </c>
      <c r="DX60" s="61">
        <v>4.0478468899521536</v>
      </c>
      <c r="DY60" s="26">
        <v>0.10950000000000004</v>
      </c>
      <c r="DZ60" s="98">
        <f t="shared" si="213"/>
        <v>0.10937517940305387</v>
      </c>
      <c r="EA60" s="110">
        <f t="shared" si="214"/>
        <v>0.10937517940305387</v>
      </c>
      <c r="EB60" s="100">
        <f t="shared" si="188"/>
        <v>175.251812728186</v>
      </c>
      <c r="EC60" s="61">
        <v>1602.2996596181381</v>
      </c>
      <c r="ED60" s="99">
        <v>0.06</v>
      </c>
      <c r="EE60" s="72">
        <f t="shared" si="189"/>
        <v>3.099778591623514E-2</v>
      </c>
      <c r="EF60" s="37">
        <v>1997</v>
      </c>
      <c r="EG60" s="110">
        <f t="shared" si="276"/>
        <v>0.13799999999999998</v>
      </c>
      <c r="EH60" s="97">
        <f t="shared" si="220"/>
        <v>14.198898107024254</v>
      </c>
      <c r="EI60" s="97">
        <f t="shared" si="238"/>
        <v>543.17518454635911</v>
      </c>
      <c r="EJ60" s="97">
        <f t="shared" si="243"/>
        <v>1168.7245824704287</v>
      </c>
      <c r="EK60" s="97">
        <f t="shared" si="246"/>
        <v>140.67655658471901</v>
      </c>
      <c r="EL60" s="97">
        <f t="shared" si="248"/>
        <v>4.4758582226221346</v>
      </c>
      <c r="EM60" s="111">
        <f t="shared" si="196"/>
        <v>1871.2510799311531</v>
      </c>
      <c r="EN60" s="200">
        <f t="shared" si="197"/>
        <v>50</v>
      </c>
      <c r="EO60" s="92">
        <f t="shared" si="198"/>
        <v>4.0478468899521536</v>
      </c>
      <c r="EP60" s="92">
        <f>MAX(EM60*EG60,0)</f>
        <v>258.23264903049909</v>
      </c>
      <c r="EQ60" s="92">
        <f t="shared" si="239"/>
        <v>312.28049592045124</v>
      </c>
      <c r="ER60" s="128">
        <f t="shared" si="201"/>
        <v>0.16688326824209002</v>
      </c>
      <c r="ES60" s="111">
        <f t="shared" si="240"/>
        <v>1558.9705840107017</v>
      </c>
      <c r="ET60" s="72">
        <f t="shared" si="203"/>
        <v>1.2872714199267605</v>
      </c>
      <c r="EU60" s="96">
        <f t="shared" si="204"/>
        <v>2.21038894557647</v>
      </c>
      <c r="EV60" s="92">
        <f t="shared" si="205"/>
        <v>2210.3889455764702</v>
      </c>
      <c r="EW60" s="120">
        <f t="shared" si="244"/>
        <v>-0.87704872899999997</v>
      </c>
      <c r="EX60" s="9">
        <f t="shared" si="184"/>
        <v>-0.85755870000000001</v>
      </c>
      <c r="EY60" s="9">
        <f t="shared" si="185"/>
        <v>1.648210728</v>
      </c>
      <c r="EZ60" s="9">
        <f t="shared" si="186"/>
        <v>-0.82315929799999998</v>
      </c>
      <c r="FA60" s="113" cm="1">
        <f t="array" ref="FA60">$DN$11+SUMPRODUCT($DP$11:$DS$11*EW60:EZ60)</f>
        <v>1.9431397321536286</v>
      </c>
      <c r="FB60">
        <v>1997</v>
      </c>
      <c r="FC60" s="116">
        <f t="shared" si="121"/>
        <v>1652478.3165324407</v>
      </c>
      <c r="FD60" s="116">
        <f t="shared" si="255"/>
        <v>2433710.3929094174</v>
      </c>
      <c r="FE60" s="116">
        <f t="shared" si="159"/>
        <v>2182552.7160187014</v>
      </c>
      <c r="FF60" s="116">
        <f t="shared" si="256"/>
        <v>2106499.2461676891</v>
      </c>
      <c r="FG60" s="5">
        <f t="shared" si="257"/>
        <v>327211.1467417283</v>
      </c>
      <c r="FH60" s="5">
        <f t="shared" si="155"/>
        <v>293443.12253152044</v>
      </c>
      <c r="FI60" s="155">
        <f t="shared" si="258"/>
        <v>0.13444950052194116</v>
      </c>
      <c r="FJ60" s="117">
        <f t="shared" si="127"/>
        <v>13.444950052194116</v>
      </c>
      <c r="FK60" s="61">
        <f t="shared" si="259"/>
        <v>7775.0525071201791</v>
      </c>
      <c r="FL60" s="61">
        <f t="shared" si="142"/>
        <v>313.01529998423706</v>
      </c>
      <c r="FM60" s="92">
        <f t="shared" si="128"/>
        <v>42.084750738606246</v>
      </c>
      <c r="FN60" s="72">
        <f t="shared" si="129"/>
        <v>0.13444950052194116</v>
      </c>
      <c r="FO60" s="179">
        <f t="shared" si="260"/>
        <v>1.4028250246202083</v>
      </c>
      <c r="FP60" s="92">
        <f t="shared" si="160"/>
        <v>38.509874327725036</v>
      </c>
      <c r="FQ60" s="1">
        <f t="shared" si="143"/>
        <v>0</v>
      </c>
      <c r="FR60" s="26">
        <f t="shared" si="130"/>
        <v>1.2341408827186904</v>
      </c>
      <c r="FS60">
        <f t="shared" si="261"/>
        <v>1997</v>
      </c>
      <c r="FT60" s="5">
        <f t="shared" si="241"/>
        <v>2351.3882760260117</v>
      </c>
      <c r="FU60" s="214">
        <f t="shared" si="262"/>
        <v>7648.4907391969564</v>
      </c>
      <c r="FV60" s="213">
        <f t="shared" si="131"/>
        <v>4407.8043498630723</v>
      </c>
      <c r="FW60" s="5">
        <f t="shared" si="132"/>
        <v>3240.6863893338841</v>
      </c>
      <c r="FX60" s="1">
        <f t="shared" si="133"/>
        <v>0.42370272774549189</v>
      </c>
      <c r="FY60">
        <f t="shared" si="263"/>
        <v>21954.783529058051</v>
      </c>
      <c r="FZ60" s="26">
        <f t="shared" si="134"/>
        <v>0.14760730321229101</v>
      </c>
      <c r="GA60" s="106">
        <f t="shared" si="264"/>
        <v>4.9202434404097004E-3</v>
      </c>
      <c r="GB60" s="61">
        <f t="shared" si="135"/>
        <v>1558.9705840107017</v>
      </c>
      <c r="GC60" s="61">
        <f t="shared" si="207"/>
        <v>3671.6695363752983</v>
      </c>
      <c r="GD60" s="61">
        <f t="shared" si="247"/>
        <v>3203.4464212429643</v>
      </c>
      <c r="GE60" s="61">
        <f t="shared" si="210"/>
        <v>2210.3889455764697</v>
      </c>
      <c r="GF60" s="61">
        <f t="shared" si="137"/>
        <v>1461.2805907988286</v>
      </c>
      <c r="GG60" s="61">
        <f t="shared" si="245"/>
        <v>1274.9333872915929</v>
      </c>
      <c r="GH60" s="6">
        <f t="shared" si="138"/>
        <v>0.39798804775917185</v>
      </c>
      <c r="GI60">
        <f t="shared" si="265"/>
        <v>9248.6922093424037</v>
      </c>
      <c r="GJ60" s="26">
        <f t="shared" si="208"/>
        <v>0.15799861836928056</v>
      </c>
      <c r="GK60">
        <f t="shared" si="266"/>
        <v>5.2666206123093522E-3</v>
      </c>
      <c r="GL60" s="232">
        <f t="shared" si="140"/>
        <v>1.2341408827186904</v>
      </c>
      <c r="GY60">
        <v>1997</v>
      </c>
      <c r="GZ60" s="112">
        <f t="shared" si="267"/>
        <v>0.90034576495095786</v>
      </c>
      <c r="HA60" s="112">
        <f t="shared" si="268"/>
        <v>1.2872714199267605</v>
      </c>
      <c r="HB60" s="112">
        <f t="shared" si="269"/>
        <v>2.443996235260455</v>
      </c>
    </row>
    <row r="61" spans="1:210" x14ac:dyDescent="0.35">
      <c r="A61">
        <v>1998</v>
      </c>
      <c r="D61" s="80">
        <f>'SR + catch data Murdoch_age var'!C50</f>
        <v>3561043</v>
      </c>
      <c r="E61" s="80">
        <f>'SR + catch data Murdoch_age var'!E50</f>
        <v>2543320.0171653759</v>
      </c>
      <c r="F61" s="231">
        <f t="shared" si="63"/>
        <v>-0.33658315858273746</v>
      </c>
      <c r="G61" s="80">
        <f>'SR + catch data Murdoch_age var'!D50</f>
        <v>4069680.1971950848</v>
      </c>
      <c r="H61" s="80">
        <f>'Orig data'!Q52</f>
        <v>4069680.1971950848</v>
      </c>
      <c r="I61" s="80">
        <f t="shared" si="64"/>
        <v>508637.19719508477</v>
      </c>
      <c r="J61" s="149">
        <f t="shared" si="65"/>
        <v>0.12498210487046353</v>
      </c>
      <c r="K61" s="83">
        <f>'SR + catch data Murdoch_age var'!CM50</f>
        <v>1.3616191661229819</v>
      </c>
      <c r="L61" s="83">
        <f>'SR + catch data Murdoch_age var'!CN50</f>
        <v>1.0327961415270726</v>
      </c>
      <c r="M61" s="84">
        <f>'SR + catch data Murdoch_age var'!CO50</f>
        <v>2383261.2946447632</v>
      </c>
      <c r="N61" s="81">
        <f t="shared" si="66"/>
        <v>6.5000479341941489E-2</v>
      </c>
      <c r="O61" s="82">
        <f t="shared" si="67"/>
        <v>1998</v>
      </c>
      <c r="P61" s="81">
        <f t="shared" si="270"/>
        <v>0.10741516534518507</v>
      </c>
      <c r="Q61" s="81">
        <f t="shared" si="270"/>
        <v>0.75930233821489568</v>
      </c>
      <c r="R61" s="81">
        <f t="shared" si="270"/>
        <v>0.13183604264117066</v>
      </c>
      <c r="S61" s="85">
        <f t="shared" si="270"/>
        <v>1.4464537987485602E-3</v>
      </c>
      <c r="T61" s="80">
        <f t="shared" si="144"/>
        <v>437145.37128373538</v>
      </c>
      <c r="U61" s="80">
        <f t="shared" si="145"/>
        <v>3090117.6895170854</v>
      </c>
      <c r="V61" s="80">
        <f t="shared" si="146"/>
        <v>536530.53201333899</v>
      </c>
      <c r="W61" s="80">
        <f t="shared" si="147"/>
        <v>5886.6043809246203</v>
      </c>
      <c r="X61" s="86">
        <f t="shared" si="73"/>
        <v>1998</v>
      </c>
      <c r="Y61" s="79">
        <f t="shared" si="149"/>
        <v>310621.15560976608</v>
      </c>
      <c r="Z61" s="79">
        <f t="shared" si="152"/>
        <v>2748420.0043096412</v>
      </c>
      <c r="AA61" s="79">
        <f t="shared" si="156"/>
        <v>202528.66605026749</v>
      </c>
      <c r="AB61" s="79">
        <f t="shared" si="161"/>
        <v>1882.5136717014814</v>
      </c>
      <c r="AC61" s="80">
        <f t="shared" si="78"/>
        <v>3263452.3396413759</v>
      </c>
      <c r="AD61" s="84">
        <f t="shared" si="79"/>
        <v>806227.85755370883</v>
      </c>
      <c r="AE61" s="80">
        <f t="shared" si="80"/>
        <v>508637.19719508477</v>
      </c>
      <c r="AF61" s="72">
        <f t="shared" si="81"/>
        <v>0.15585862585355834</v>
      </c>
      <c r="AG61" s="26">
        <f t="shared" si="82"/>
        <v>3.0876520983094805E-2</v>
      </c>
      <c r="AH61" s="61">
        <f t="shared" si="249"/>
        <v>1998</v>
      </c>
      <c r="AI61" s="74" cm="1">
        <f t="array" ref="AI61">IF(Uhistoric=1,J61,Uapply)</f>
        <v>0.2</v>
      </c>
      <c r="AJ61" s="75">
        <f t="shared" si="150"/>
        <v>352446.65583123168</v>
      </c>
      <c r="AK61" s="75">
        <f t="shared" si="153"/>
        <v>2987307.9202936045</v>
      </c>
      <c r="AL61" s="75">
        <f t="shared" si="157"/>
        <v>248934.16691682837</v>
      </c>
      <c r="AM61" s="75">
        <f t="shared" si="162"/>
        <v>2261.1930953192982</v>
      </c>
      <c r="AN61" s="79">
        <f t="shared" si="84"/>
        <v>3590949.9361369838</v>
      </c>
      <c r="AO61" s="80">
        <f t="shared" si="85"/>
        <v>718189.98722739681</v>
      </c>
      <c r="AP61" s="80">
        <f t="shared" si="86"/>
        <v>2872759.9489095872</v>
      </c>
      <c r="AQ61" s="81">
        <v>1.2775355841188252</v>
      </c>
      <c r="AR61" s="81">
        <v>1.4960717029189849</v>
      </c>
      <c r="AS61" s="81">
        <f>'SR + catch data Murdoch_age var'!N50</f>
        <v>-0.79129595644642958</v>
      </c>
      <c r="AT61" s="121">
        <f>'SR + catch data Murdoch_age var'!BR50</f>
        <v>0.14210077735627383</v>
      </c>
      <c r="AU61" s="122">
        <f t="shared" si="250"/>
        <v>1.3616191661229819</v>
      </c>
      <c r="AV61" s="122">
        <f t="shared" si="88"/>
        <v>-0.40158363792467888</v>
      </c>
      <c r="AW61" s="115">
        <f t="shared" si="251"/>
        <v>3475511.5706132618</v>
      </c>
      <c r="AX61" s="115"/>
      <c r="AY61" s="141">
        <f t="shared" si="89"/>
        <v>0.63294604129369025</v>
      </c>
      <c r="AZ61" s="141"/>
      <c r="BA61" s="84">
        <v>1470</v>
      </c>
      <c r="BB61" s="101">
        <v>1998</v>
      </c>
      <c r="BC61" s="72">
        <v>3.5750695088044487E-2</v>
      </c>
      <c r="BD61" s="72">
        <v>0.8358758109360519</v>
      </c>
      <c r="BE61" s="72">
        <v>0.11956904541241889</v>
      </c>
      <c r="BF61" s="72">
        <v>8.3410565338276187E-3</v>
      </c>
      <c r="BG61" s="72">
        <v>4.6339202965708991E-4</v>
      </c>
      <c r="BH61" s="76">
        <v>1.47</v>
      </c>
      <c r="BI61" s="76">
        <v>1.7889999999999999</v>
      </c>
      <c r="BJ61" s="72">
        <f t="shared" si="215"/>
        <v>0.19639440373593706</v>
      </c>
      <c r="BK61">
        <v>1.47</v>
      </c>
      <c r="BL61" s="120">
        <v>-4.9706443000000003E-2</v>
      </c>
      <c r="BM61" s="125">
        <v>0.25265755200000001</v>
      </c>
      <c r="BN61" s="4">
        <v>1.648210728</v>
      </c>
      <c r="BO61" s="98">
        <f t="shared" si="221"/>
        <v>1.4924377135061409</v>
      </c>
      <c r="BP61" s="98">
        <f t="shared" si="216"/>
        <v>2.0040599323668666</v>
      </c>
      <c r="BQ61" s="99">
        <f t="shared" si="217"/>
        <v>-0.11351828461954168</v>
      </c>
      <c r="BR61" s="200">
        <v>50</v>
      </c>
      <c r="BS61" s="100">
        <v>98.515809857286854</v>
      </c>
      <c r="BT61" s="98">
        <v>0.23150000000000004</v>
      </c>
      <c r="BU61" s="98">
        <f t="shared" si="222"/>
        <v>0.23150000000000015</v>
      </c>
      <c r="BV61" s="124">
        <f t="shared" si="92"/>
        <v>0.23150000000000015</v>
      </c>
      <c r="BW61" s="100">
        <f t="shared" si="218"/>
        <v>487.55551071172704</v>
      </c>
      <c r="BX61" s="100">
        <v>2106.071320569014</v>
      </c>
      <c r="BY61" s="99">
        <v>0.08</v>
      </c>
      <c r="BZ61" s="89">
        <f t="shared" si="277"/>
        <v>0.1090236461466438</v>
      </c>
      <c r="CA61" s="78">
        <v>1998</v>
      </c>
      <c r="CB61" s="91">
        <f t="shared" si="275"/>
        <v>0.13799999999999998</v>
      </c>
      <c r="CC61" s="97">
        <f t="shared" si="252"/>
        <v>87.124908003485729</v>
      </c>
      <c r="CD61" s="97">
        <f t="shared" si="271"/>
        <v>2478.4664550761922</v>
      </c>
      <c r="CE61" s="97">
        <f t="shared" si="272"/>
        <v>381.88236946631667</v>
      </c>
      <c r="CF61" s="97">
        <f t="shared" si="273"/>
        <v>8.0979755746468562</v>
      </c>
      <c r="CG61" s="97">
        <f t="shared" si="274"/>
        <v>1.4427820870280981</v>
      </c>
      <c r="CH61" s="92">
        <f t="shared" si="224"/>
        <v>2957.01449020767</v>
      </c>
      <c r="CI61" s="200">
        <f t="shared" si="225"/>
        <v>50</v>
      </c>
      <c r="CJ61" s="93">
        <f t="shared" si="226"/>
        <v>98.515809857286854</v>
      </c>
      <c r="CK61" s="92">
        <f t="shared" si="227"/>
        <v>408.06799964865843</v>
      </c>
      <c r="CL61" s="92">
        <f t="shared" si="228"/>
        <v>556.58380950594528</v>
      </c>
      <c r="CM61" s="72">
        <f t="shared" si="229"/>
        <v>1.9615947288495042E-2</v>
      </c>
      <c r="CN61" s="128">
        <f t="shared" si="230"/>
        <v>0.18822491785180823</v>
      </c>
      <c r="CO61" s="111">
        <f t="shared" si="231"/>
        <v>2400.4306807017247</v>
      </c>
      <c r="CP61" s="72">
        <f t="shared" si="232"/>
        <v>1.4924377135061409</v>
      </c>
      <c r="CQ61" s="96">
        <f t="shared" si="233"/>
        <v>2.9756910430677475</v>
      </c>
      <c r="CR61" s="92">
        <f t="shared" si="234"/>
        <v>2975.6910430677476</v>
      </c>
      <c r="CS61" s="120">
        <f t="shared" si="235"/>
        <v>-0.90461819600000004</v>
      </c>
      <c r="CT61" s="72">
        <f t="shared" si="97"/>
        <v>0.25265755200000001</v>
      </c>
      <c r="CU61" s="72">
        <f t="shared" si="236"/>
        <v>1.648210728</v>
      </c>
      <c r="CV61" s="104">
        <f t="shared" si="237"/>
        <v>2.1458276824115892</v>
      </c>
      <c r="CW61" s="105">
        <f t="shared" si="99"/>
        <v>1.2775355841188252</v>
      </c>
      <c r="CX61" s="105">
        <f t="shared" si="100"/>
        <v>1.4960717029189849</v>
      </c>
      <c r="CY61" s="105">
        <f t="shared" si="101"/>
        <v>-0.79129595644642958</v>
      </c>
      <c r="CZ61" s="123">
        <f t="shared" si="242"/>
        <v>-0.68849257550252763</v>
      </c>
      <c r="DA61" s="81">
        <f t="shared" si="253"/>
        <v>1.5478766397742558</v>
      </c>
      <c r="DB61" s="9">
        <f t="shared" si="104"/>
        <v>3475511.5706132618</v>
      </c>
      <c r="DD61" s="1">
        <f t="shared" si="105"/>
        <v>1.3013878058685227</v>
      </c>
      <c r="DE61" s="114">
        <v>672</v>
      </c>
      <c r="DF61" s="61">
        <v>1998</v>
      </c>
      <c r="DG61" s="26">
        <v>7.6142131979695434E-3</v>
      </c>
      <c r="DH61" s="26">
        <v>0.29512169725367693</v>
      </c>
      <c r="DI61" s="26">
        <v>0.6060236886632826</v>
      </c>
      <c r="DJ61" s="26">
        <v>8.8702329819081091E-2</v>
      </c>
      <c r="DK61" s="26">
        <v>2.5380710659898475E-3</v>
      </c>
      <c r="DL61" s="106">
        <v>0.67200000000000004</v>
      </c>
      <c r="DM61" s="106">
        <v>0.55000000000000004</v>
      </c>
      <c r="DN61" s="26">
        <v>-0.20034006229663295</v>
      </c>
      <c r="DO61" s="76">
        <f t="shared" si="107"/>
        <v>0.67200000000000004</v>
      </c>
      <c r="DP61" s="119">
        <v>1.8021255999999999E-2</v>
      </c>
      <c r="DQ61" s="26">
        <v>0.34956636200000002</v>
      </c>
      <c r="DR61" s="26">
        <v>0.87861887400000005</v>
      </c>
      <c r="DS61" s="26">
        <v>1.501564983</v>
      </c>
      <c r="DT61" s="113" cm="1">
        <f t="array" ref="DT61">$DN$11+SUMPRODUCT(DP$11:$DS$11*DP61:DS61)</f>
        <v>1.4329875367100484</v>
      </c>
      <c r="DU61" s="76">
        <f t="shared" si="254"/>
        <v>1.4167880176705614</v>
      </c>
      <c r="DV61" s="72">
        <f t="shared" si="179"/>
        <v>-0.94622935088742888</v>
      </c>
      <c r="DW61" s="199">
        <v>50</v>
      </c>
      <c r="DX61" s="61">
        <v>1.8886401265439638</v>
      </c>
      <c r="DY61" s="26">
        <v>0.23150000000000004</v>
      </c>
      <c r="DZ61" s="98">
        <f t="shared" si="213"/>
        <v>0.23150000000000015</v>
      </c>
      <c r="EA61" s="110">
        <f t="shared" si="214"/>
        <v>0.23150000000000015</v>
      </c>
      <c r="EB61" s="100">
        <f t="shared" si="188"/>
        <v>218.06144461847111</v>
      </c>
      <c r="EC61" s="61">
        <v>941.95008474501503</v>
      </c>
      <c r="ED61" s="99">
        <v>0.08</v>
      </c>
      <c r="EE61" s="72">
        <f t="shared" si="189"/>
        <v>3.1280865501156323E-2</v>
      </c>
      <c r="EF61" s="37">
        <v>1998</v>
      </c>
      <c r="EG61" s="110">
        <f t="shared" si="276"/>
        <v>0.13799999999999998</v>
      </c>
      <c r="EH61" s="97">
        <f t="shared" si="220"/>
        <v>13.494382833101541</v>
      </c>
      <c r="EI61" s="97">
        <f t="shared" si="238"/>
        <v>550.33958197998174</v>
      </c>
      <c r="EJ61" s="97">
        <f t="shared" si="243"/>
        <v>1115.3941983675772</v>
      </c>
      <c r="EK61" s="97">
        <f t="shared" si="246"/>
        <v>171.06359919795131</v>
      </c>
      <c r="EL61" s="97">
        <f t="shared" si="248"/>
        <v>4.0252279580367141</v>
      </c>
      <c r="EM61" s="111">
        <f t="shared" si="196"/>
        <v>1854.3169903366486</v>
      </c>
      <c r="EN61" s="200">
        <f t="shared" si="197"/>
        <v>50</v>
      </c>
      <c r="EO61" s="92">
        <f t="shared" si="198"/>
        <v>1.8886401265439638</v>
      </c>
      <c r="EP61" s="92">
        <f t="shared" ref="EP61:EP103" si="278">MAX(EM61*EG61,0)</f>
        <v>255.89574466645749</v>
      </c>
      <c r="EQ61" s="92">
        <f t="shared" si="239"/>
        <v>307.78438479300144</v>
      </c>
      <c r="ER61" s="128">
        <f t="shared" si="201"/>
        <v>0.16598261591569821</v>
      </c>
      <c r="ES61" s="111">
        <f t="shared" si="240"/>
        <v>1546.5326055436472</v>
      </c>
      <c r="ET61" s="72">
        <f t="shared" si="203"/>
        <v>1.4329875367100484</v>
      </c>
      <c r="EU61" s="96">
        <f t="shared" si="204"/>
        <v>2.7109042549928093</v>
      </c>
      <c r="EV61" s="92">
        <f t="shared" si="205"/>
        <v>2710.9042549928095</v>
      </c>
      <c r="EW61" s="120">
        <f t="shared" si="244"/>
        <v>-0.87704872899999997</v>
      </c>
      <c r="EX61" s="9">
        <f t="shared" si="184"/>
        <v>0.34956636200000002</v>
      </c>
      <c r="EY61" s="9">
        <f t="shared" si="185"/>
        <v>0.87861887400000005</v>
      </c>
      <c r="EZ61" s="9">
        <f t="shared" si="186"/>
        <v>1.501564983</v>
      </c>
      <c r="FA61" s="113" cm="1">
        <f t="array" ref="FA61">$DN$11+SUMPRODUCT($DP$11:$DS$11*EW61:EZ61)</f>
        <v>2.1425463859562455</v>
      </c>
      <c r="FB61">
        <v>1998</v>
      </c>
      <c r="FC61" s="116">
        <f t="shared" si="121"/>
        <v>2872759.9489095872</v>
      </c>
      <c r="FD61" s="116">
        <f t="shared" si="255"/>
        <v>3762677.3391756839</v>
      </c>
      <c r="FE61" s="116">
        <f t="shared" si="159"/>
        <v>4069680.1971950848</v>
      </c>
      <c r="FF61" s="116">
        <f t="shared" si="256"/>
        <v>3256787.2502982863</v>
      </c>
      <c r="FG61" s="5">
        <f t="shared" si="257"/>
        <v>505890.08887739759</v>
      </c>
      <c r="FH61" s="5">
        <f t="shared" si="155"/>
        <v>320286.67080249055</v>
      </c>
      <c r="FI61" s="155">
        <f t="shared" si="258"/>
        <v>0.13444950052194124</v>
      </c>
      <c r="FJ61" s="117">
        <f t="shared" si="127"/>
        <v>13.444950052194123</v>
      </c>
      <c r="FK61" s="61">
        <f t="shared" si="259"/>
        <v>7775.0525071201791</v>
      </c>
      <c r="FL61" s="61">
        <f t="shared" si="142"/>
        <v>483.94237025794069</v>
      </c>
      <c r="FM61" s="92">
        <f t="shared" si="128"/>
        <v>65.065809962584481</v>
      </c>
      <c r="FN61" s="72">
        <f t="shared" si="129"/>
        <v>0.13444950052194124</v>
      </c>
      <c r="FO61" s="179">
        <f t="shared" si="260"/>
        <v>2.1688603320861493</v>
      </c>
      <c r="FP61" s="92">
        <f t="shared" si="160"/>
        <v>43.09822357897005</v>
      </c>
      <c r="FQ61" s="1">
        <f t="shared" si="143"/>
        <v>0</v>
      </c>
      <c r="FR61" s="26">
        <f t="shared" si="130"/>
        <v>1.2341408827186904</v>
      </c>
      <c r="FS61">
        <f t="shared" si="261"/>
        <v>1998</v>
      </c>
      <c r="FT61" s="5">
        <f t="shared" si="241"/>
        <v>2400.4306807017247</v>
      </c>
      <c r="FU61" s="214">
        <f t="shared" si="262"/>
        <v>5517.1471805884585</v>
      </c>
      <c r="FV61" s="213">
        <f t="shared" si="131"/>
        <v>3179.5168707997786</v>
      </c>
      <c r="FW61" s="5">
        <f t="shared" si="132"/>
        <v>2337.6303097886798</v>
      </c>
      <c r="FX61" s="1">
        <f t="shared" si="133"/>
        <v>0.42370272774549189</v>
      </c>
      <c r="FY61">
        <f t="shared" si="263"/>
        <v>22888.604691555352</v>
      </c>
      <c r="FZ61" s="26">
        <f t="shared" si="134"/>
        <v>0.1021307476489005</v>
      </c>
      <c r="GA61" s="106">
        <f t="shared" si="264"/>
        <v>3.40435825496335E-3</v>
      </c>
      <c r="GB61" s="61">
        <f t="shared" si="135"/>
        <v>1546.5326055436472</v>
      </c>
      <c r="GC61" s="61">
        <f t="shared" si="207"/>
        <v>4503.073809252779</v>
      </c>
      <c r="GD61" s="61">
        <f t="shared" si="247"/>
        <v>3057.2691005463539</v>
      </c>
      <c r="GE61" s="61">
        <f t="shared" si="210"/>
        <v>2710.904254992809</v>
      </c>
      <c r="GF61" s="61">
        <f t="shared" si="137"/>
        <v>1792.16955425997</v>
      </c>
      <c r="GG61" s="61">
        <f t="shared" si="245"/>
        <v>1216.7565608008824</v>
      </c>
      <c r="GH61" s="6">
        <f t="shared" si="138"/>
        <v>0.39798804775917163</v>
      </c>
      <c r="GI61">
        <f t="shared" si="265"/>
        <v>9248.6922093424037</v>
      </c>
      <c r="GJ61" s="26">
        <f t="shared" si="208"/>
        <v>0.19377545643152028</v>
      </c>
      <c r="GK61">
        <f t="shared" si="266"/>
        <v>6.4591818810506756E-3</v>
      </c>
      <c r="GL61" s="232">
        <f t="shared" si="140"/>
        <v>1.2341408827186904</v>
      </c>
      <c r="GY61">
        <v>1998</v>
      </c>
      <c r="GZ61" s="112">
        <f t="shared" si="267"/>
        <v>1.3616191661229819</v>
      </c>
      <c r="HA61" s="112">
        <f t="shared" si="268"/>
        <v>1.4329875367100484</v>
      </c>
      <c r="HB61" s="112">
        <f t="shared" si="269"/>
        <v>2.1458276824115892</v>
      </c>
    </row>
    <row r="62" spans="1:210" x14ac:dyDescent="0.35">
      <c r="A62">
        <v>1999</v>
      </c>
      <c r="D62" s="80">
        <f>'SR + catch data Murdoch_age var'!C51</f>
        <v>2987256</v>
      </c>
      <c r="E62" s="80">
        <f>'SR + catch data Murdoch_age var'!E51</f>
        <v>3078021.5509376186</v>
      </c>
      <c r="F62" s="231">
        <f t="shared" si="63"/>
        <v>2.9931796714352529E-2</v>
      </c>
      <c r="G62" s="80">
        <f>'SR + catch data Murdoch_age var'!D51</f>
        <v>3083677.2941336296</v>
      </c>
      <c r="H62" s="80">
        <f>'Orig data'!Q53</f>
        <v>3083677.2941336296</v>
      </c>
      <c r="I62" s="80">
        <f t="shared" si="64"/>
        <v>96421.29413362965</v>
      </c>
      <c r="J62" s="149">
        <f t="shared" si="65"/>
        <v>3.1268282941623295E-2</v>
      </c>
      <c r="K62" s="83">
        <f>'SR + catch data Murdoch_age var'!CM51</f>
        <v>1.3204584401432213</v>
      </c>
      <c r="L62" s="83">
        <f>'SR + catch data Murdoch_age var'!CN51</f>
        <v>1.0224149321633895</v>
      </c>
      <c r="M62" s="84">
        <f>'SR + catch data Murdoch_age var'!CO51</f>
        <v>2549032.3935874631</v>
      </c>
      <c r="N62" s="81">
        <f t="shared" si="66"/>
        <v>0.18857320333181318</v>
      </c>
      <c r="O62" s="82">
        <f t="shared" si="67"/>
        <v>1999</v>
      </c>
      <c r="P62" s="81">
        <f t="shared" si="270"/>
        <v>0.10741516534518507</v>
      </c>
      <c r="Q62" s="81">
        <f t="shared" si="270"/>
        <v>0.75930233821489568</v>
      </c>
      <c r="R62" s="81">
        <f t="shared" si="270"/>
        <v>0.13183604264117066</v>
      </c>
      <c r="S62" s="85">
        <f t="shared" si="270"/>
        <v>1.4464537987485602E-3</v>
      </c>
      <c r="T62" s="80">
        <f t="shared" si="144"/>
        <v>331233.7064205567</v>
      </c>
      <c r="U62" s="80">
        <f t="shared" si="145"/>
        <v>2341443.3797358475</v>
      </c>
      <c r="V62" s="80">
        <f t="shared" si="146"/>
        <v>406539.81124101096</v>
      </c>
      <c r="W62" s="80">
        <f t="shared" si="147"/>
        <v>4460.3967362142703</v>
      </c>
      <c r="X62" s="86">
        <f t="shared" si="73"/>
        <v>1999</v>
      </c>
      <c r="Y62" s="79">
        <f t="shared" si="149"/>
        <v>151080.32968876156</v>
      </c>
      <c r="Z62" s="79">
        <f t="shared" si="152"/>
        <v>2195736.2258445821</v>
      </c>
      <c r="AA62" s="79">
        <f t="shared" si="156"/>
        <v>477202.29301001254</v>
      </c>
      <c r="AB62" s="79">
        <f t="shared" si="161"/>
        <v>2222.065775754741</v>
      </c>
      <c r="AC62" s="80">
        <f t="shared" si="78"/>
        <v>2826240.914319111</v>
      </c>
      <c r="AD62" s="84">
        <f t="shared" si="79"/>
        <v>257436.37981451862</v>
      </c>
      <c r="AE62" s="80">
        <f t="shared" si="80"/>
        <v>96421.29413362965</v>
      </c>
      <c r="AF62" s="72">
        <f t="shared" si="81"/>
        <v>3.4116445503676804E-2</v>
      </c>
      <c r="AG62" s="26">
        <f t="shared" si="82"/>
        <v>2.8481625620535092E-3</v>
      </c>
      <c r="AH62" s="61">
        <f t="shared" si="249"/>
        <v>1999</v>
      </c>
      <c r="AI62" s="74" cm="1">
        <f t="array" ref="AI62">IF(Uhistoric=1,J62,Uapply)</f>
        <v>0.2</v>
      </c>
      <c r="AJ62" s="75">
        <f t="shared" si="150"/>
        <v>182238.92665370126</v>
      </c>
      <c r="AK62" s="75">
        <f t="shared" si="153"/>
        <v>2491394.6648844471</v>
      </c>
      <c r="AL62" s="75">
        <f t="shared" si="157"/>
        <v>518679.89144881628</v>
      </c>
      <c r="AM62" s="75">
        <f t="shared" si="162"/>
        <v>2731.2088876574708</v>
      </c>
      <c r="AN62" s="79">
        <f t="shared" si="84"/>
        <v>3195044.6918746224</v>
      </c>
      <c r="AO62" s="80">
        <f t="shared" si="85"/>
        <v>639008.93837492447</v>
      </c>
      <c r="AP62" s="80">
        <f t="shared" si="86"/>
        <v>2556035.7534996979</v>
      </c>
      <c r="AQ62" s="81">
        <v>0.1060355855913865</v>
      </c>
      <c r="AR62" s="81">
        <v>1.619621167874757</v>
      </c>
      <c r="AS62" s="81">
        <f>'SR + catch data Murdoch_age var'!N51</f>
        <v>-1.4479856412041683</v>
      </c>
      <c r="AT62" s="121">
        <f>'SR + catch data Murdoch_age var'!BR51</f>
        <v>0.20688339859684265</v>
      </c>
      <c r="AU62" s="122">
        <f t="shared" si="250"/>
        <v>1.3204584401432218</v>
      </c>
      <c r="AV62" s="122">
        <f t="shared" si="88"/>
        <v>-0.15864140661746018</v>
      </c>
      <c r="AW62" s="115">
        <f t="shared" si="251"/>
        <v>3985596.5242588394</v>
      </c>
      <c r="AX62" s="115"/>
      <c r="AY62" s="141">
        <f t="shared" si="89"/>
        <v>-0.18361090805918623</v>
      </c>
      <c r="AZ62" s="141"/>
      <c r="BA62" s="84">
        <v>2520</v>
      </c>
      <c r="BB62" s="101">
        <v>1999</v>
      </c>
      <c r="BC62" s="72">
        <v>3.5750695088044487E-2</v>
      </c>
      <c r="BD62" s="72">
        <v>0.8358758109360519</v>
      </c>
      <c r="BE62" s="72">
        <v>0.11956904541241889</v>
      </c>
      <c r="BF62" s="72">
        <v>8.3410565338276187E-3</v>
      </c>
      <c r="BG62" s="72">
        <v>4.6339202965708991E-4</v>
      </c>
      <c r="BH62" s="76">
        <v>2.52</v>
      </c>
      <c r="BI62" s="76">
        <v>1.48</v>
      </c>
      <c r="BJ62" s="72">
        <f t="shared" si="215"/>
        <v>-0.53221681374730823</v>
      </c>
      <c r="BK62">
        <v>2.52</v>
      </c>
      <c r="BL62" s="120">
        <v>1.8021255999999999E-2</v>
      </c>
      <c r="BM62" s="125">
        <v>-0.85755870000000001</v>
      </c>
      <c r="BN62" s="4">
        <v>0.87861887400000005</v>
      </c>
      <c r="BO62" s="98">
        <f t="shared" si="221"/>
        <v>1.6974981818605719</v>
      </c>
      <c r="BP62" s="98">
        <f t="shared" si="216"/>
        <v>1.8122539122603798</v>
      </c>
      <c r="BQ62" s="99">
        <f t="shared" si="217"/>
        <v>-0.20252923820674529</v>
      </c>
      <c r="BR62" s="200">
        <v>50</v>
      </c>
      <c r="BS62" s="100">
        <v>53.689877447079425</v>
      </c>
      <c r="BT62" s="98">
        <v>0.11349999999999993</v>
      </c>
      <c r="BU62" s="98">
        <f t="shared" si="222"/>
        <v>0.11349999999999981</v>
      </c>
      <c r="BV62" s="124">
        <f t="shared" si="92"/>
        <v>0.11349999999999981</v>
      </c>
      <c r="BW62" s="100">
        <f t="shared" si="218"/>
        <v>335.9151732546452</v>
      </c>
      <c r="BX62" s="100">
        <v>2959.6050507017248</v>
      </c>
      <c r="BY62" s="99">
        <v>0.1</v>
      </c>
      <c r="BZ62" s="89">
        <f t="shared" si="277"/>
        <v>0.11682184001144889</v>
      </c>
      <c r="CA62" s="78">
        <v>1999</v>
      </c>
      <c r="CB62" s="91">
        <f t="shared" si="275"/>
        <v>0.13799999999999998</v>
      </c>
      <c r="CC62" s="97">
        <f t="shared" si="252"/>
        <v>88.283697190006663</v>
      </c>
      <c r="CD62" s="97">
        <f t="shared" si="271"/>
        <v>2037.0402016182452</v>
      </c>
      <c r="CE62" s="97">
        <f t="shared" si="272"/>
        <v>354.53576266108024</v>
      </c>
      <c r="CF62" s="97">
        <f t="shared" si="273"/>
        <v>26.639858351330084</v>
      </c>
      <c r="CG62" s="97">
        <f t="shared" si="274"/>
        <v>0.44988753192482533</v>
      </c>
      <c r="CH62" s="92">
        <f t="shared" si="224"/>
        <v>2506.9494073525871</v>
      </c>
      <c r="CI62" s="200">
        <f t="shared" si="225"/>
        <v>50</v>
      </c>
      <c r="CJ62" s="93">
        <f t="shared" si="226"/>
        <v>53.689877447079425</v>
      </c>
      <c r="CK62" s="92">
        <f t="shared" si="227"/>
        <v>345.95901821465696</v>
      </c>
      <c r="CL62" s="92">
        <f t="shared" si="228"/>
        <v>449.64889566173639</v>
      </c>
      <c r="CM62" s="72">
        <f t="shared" si="229"/>
        <v>2.3137539274270525E-2</v>
      </c>
      <c r="CN62" s="128">
        <f t="shared" si="230"/>
        <v>0.17936097726701991</v>
      </c>
      <c r="CO62" s="111">
        <f t="shared" si="231"/>
        <v>2057.3005116908507</v>
      </c>
      <c r="CP62" s="72">
        <f t="shared" si="232"/>
        <v>1.6974981818605719</v>
      </c>
      <c r="CQ62" s="96">
        <f t="shared" si="233"/>
        <v>4.3452064491888107</v>
      </c>
      <c r="CR62" s="92">
        <f t="shared" si="234"/>
        <v>4345.2064491888104</v>
      </c>
      <c r="CS62" s="120">
        <f t="shared" si="235"/>
        <v>-0.90461819600000004</v>
      </c>
      <c r="CT62" s="72">
        <f t="shared" si="97"/>
        <v>-0.85755870000000001</v>
      </c>
      <c r="CU62" s="72">
        <f t="shared" si="236"/>
        <v>0.87861887400000005</v>
      </c>
      <c r="CV62" s="104">
        <f t="shared" si="237"/>
        <v>2.4026509192486847</v>
      </c>
      <c r="CW62" s="105">
        <f t="shared" si="99"/>
        <v>0.1060355855913865</v>
      </c>
      <c r="CX62" s="105">
        <f t="shared" si="100"/>
        <v>1.619621167874757</v>
      </c>
      <c r="CY62" s="105">
        <f t="shared" si="101"/>
        <v>-1.4479856412041683</v>
      </c>
      <c r="CZ62" s="123">
        <f t="shared" si="242"/>
        <v>-0.68849257550252763</v>
      </c>
      <c r="DA62" s="81">
        <f t="shared" si="253"/>
        <v>1.5212431759345608</v>
      </c>
      <c r="DB62" s="9">
        <f t="shared" si="104"/>
        <v>3985596.5242588394</v>
      </c>
      <c r="DD62" s="1">
        <f t="shared" si="105"/>
        <v>1.0591224462379596</v>
      </c>
      <c r="DE62" s="114">
        <v>744</v>
      </c>
      <c r="DF62" s="61">
        <v>1999</v>
      </c>
      <c r="DG62" s="26">
        <v>7.6142131979695434E-3</v>
      </c>
      <c r="DH62" s="26">
        <v>0.29512169725367693</v>
      </c>
      <c r="DI62" s="26">
        <v>0.6060236886632826</v>
      </c>
      <c r="DJ62" s="26">
        <v>8.8702329819081091E-2</v>
      </c>
      <c r="DK62" s="26">
        <v>2.5380710659898475E-3</v>
      </c>
      <c r="DL62" s="106">
        <v>0.74399999999999999</v>
      </c>
      <c r="DM62" s="106">
        <v>0.504</v>
      </c>
      <c r="DN62" s="26">
        <v>-0.38946476676172315</v>
      </c>
      <c r="DO62" s="76">
        <f t="shared" si="107"/>
        <v>0.74399999999999999</v>
      </c>
      <c r="DP62" s="119">
        <v>8.9429476999999993E-2</v>
      </c>
      <c r="DQ62" s="26">
        <v>4.3848934999999999E-2</v>
      </c>
      <c r="DR62" s="26">
        <v>0.71222063499999999</v>
      </c>
      <c r="DS62" s="26">
        <v>-7.5577937999999997E-2</v>
      </c>
      <c r="DT62" s="113" cm="1">
        <f t="array" ref="DT62">$DN$11+SUMPRODUCT(DP$11:$DS$11*DP62:DS62)</f>
        <v>1.0704160520528734</v>
      </c>
      <c r="DU62" s="76">
        <f t="shared" si="254"/>
        <v>1.0140841504582472</v>
      </c>
      <c r="DV62" s="72">
        <f t="shared" si="179"/>
        <v>-0.69916490125399577</v>
      </c>
      <c r="DW62" s="199">
        <v>50</v>
      </c>
      <c r="DX62" s="61">
        <v>1.7709181620978212</v>
      </c>
      <c r="DY62" s="26">
        <v>0.11349999999999993</v>
      </c>
      <c r="DZ62" s="98">
        <f t="shared" si="213"/>
        <v>0.11349999999999996</v>
      </c>
      <c r="EA62" s="110">
        <f t="shared" si="214"/>
        <v>0.11349999999999996</v>
      </c>
      <c r="EB62" s="100">
        <f t="shared" si="188"/>
        <v>101.88381185718902</v>
      </c>
      <c r="EC62" s="61">
        <v>897.65473001928683</v>
      </c>
      <c r="ED62" s="99">
        <v>0.1</v>
      </c>
      <c r="EE62" s="72">
        <f t="shared" si="189"/>
        <v>3.1570479471346613E-2</v>
      </c>
      <c r="EF62" s="37">
        <v>1999</v>
      </c>
      <c r="EG62" s="110">
        <f t="shared" si="276"/>
        <v>0.13799999999999998</v>
      </c>
      <c r="EH62" s="97">
        <f t="shared" si="220"/>
        <v>16.014703529478794</v>
      </c>
      <c r="EI62" s="97">
        <f t="shared" si="238"/>
        <v>523.03305168258282</v>
      </c>
      <c r="EJ62" s="97">
        <f t="shared" si="243"/>
        <v>1130.1060768915127</v>
      </c>
      <c r="EK62" s="97">
        <f t="shared" si="246"/>
        <v>163.25775033665741</v>
      </c>
      <c r="EL62" s="97">
        <f t="shared" si="248"/>
        <v>4.8947031318562733</v>
      </c>
      <c r="EM62" s="111">
        <f t="shared" si="196"/>
        <v>1837.3062855720877</v>
      </c>
      <c r="EN62" s="200">
        <f t="shared" si="197"/>
        <v>50</v>
      </c>
      <c r="EO62" s="92">
        <f t="shared" si="198"/>
        <v>1.7709181620978212</v>
      </c>
      <c r="EP62" s="92">
        <f t="shared" si="278"/>
        <v>253.54826740894808</v>
      </c>
      <c r="EQ62" s="92">
        <f t="shared" si="239"/>
        <v>305.31918557104592</v>
      </c>
      <c r="ER62" s="128">
        <f t="shared" si="201"/>
        <v>0.1661776199040095</v>
      </c>
      <c r="ES62" s="111">
        <f t="shared" si="240"/>
        <v>1531.9871000010419</v>
      </c>
      <c r="ET62" s="72">
        <f t="shared" si="203"/>
        <v>1.0704160520528734</v>
      </c>
      <c r="EU62" s="96">
        <f t="shared" si="204"/>
        <v>2.0072017131745667</v>
      </c>
      <c r="EV62" s="92">
        <f t="shared" si="205"/>
        <v>2007.2017131745667</v>
      </c>
      <c r="EW62" s="120">
        <f t="shared" si="244"/>
        <v>-0.87704872899999997</v>
      </c>
      <c r="EX62" s="9">
        <f t="shared" si="184"/>
        <v>4.3848934999999999E-2</v>
      </c>
      <c r="EY62" s="9">
        <f t="shared" si="185"/>
        <v>0.71222063499999999</v>
      </c>
      <c r="EZ62" s="9">
        <f t="shared" si="186"/>
        <v>-7.5577937999999997E-2</v>
      </c>
      <c r="FA62" s="113" cm="1">
        <f t="array" ref="FA62">$DN$11+SUMPRODUCT($DP$11:$DS$11*EW62:EZ62)</f>
        <v>1.8365831397257875</v>
      </c>
      <c r="FB62">
        <v>1999</v>
      </c>
      <c r="FC62" s="116">
        <f t="shared" si="121"/>
        <v>2556035.7534996979</v>
      </c>
      <c r="FD62" s="116">
        <f t="shared" si="255"/>
        <v>3813332.0052658212</v>
      </c>
      <c r="FE62" s="116">
        <f t="shared" si="159"/>
        <v>3195044.6918746224</v>
      </c>
      <c r="FF62" s="116">
        <f t="shared" si="256"/>
        <v>3300631.4218334989</v>
      </c>
      <c r="FG62" s="5">
        <f t="shared" si="257"/>
        <v>512700.58343232237</v>
      </c>
      <c r="FH62" s="5">
        <f t="shared" si="155"/>
        <v>276641.9453430709</v>
      </c>
      <c r="FI62" s="155">
        <f t="shared" si="258"/>
        <v>0.13444950052194127</v>
      </c>
      <c r="FJ62" s="117">
        <f t="shared" si="127"/>
        <v>13.444950052194127</v>
      </c>
      <c r="FK62" s="61">
        <f t="shared" si="259"/>
        <v>7775.0525071201791</v>
      </c>
      <c r="FL62" s="61">
        <f t="shared" si="142"/>
        <v>490.45739585342693</v>
      </c>
      <c r="FM62" s="92">
        <f t="shared" si="128"/>
        <v>65.941751899785274</v>
      </c>
      <c r="FN62" s="72">
        <f t="shared" si="129"/>
        <v>0.13444950052194127</v>
      </c>
      <c r="FO62" s="179">
        <f t="shared" si="260"/>
        <v>2.1980583966595093</v>
      </c>
      <c r="FP62" s="92">
        <f t="shared" si="160"/>
        <v>47.79824459061836</v>
      </c>
      <c r="FQ62" s="1">
        <f t="shared" si="143"/>
        <v>0</v>
      </c>
      <c r="FR62" s="26">
        <f t="shared" si="130"/>
        <v>1.2341408827186904</v>
      </c>
      <c r="FS62">
        <f t="shared" si="261"/>
        <v>1999</v>
      </c>
      <c r="FT62" s="5">
        <f t="shared" si="241"/>
        <v>2057.3005116908507</v>
      </c>
      <c r="FU62" s="214">
        <f t="shared" si="262"/>
        <v>7810.9194241179412</v>
      </c>
      <c r="FV62" s="213">
        <f t="shared" si="131"/>
        <v>4501.411557918922</v>
      </c>
      <c r="FW62" s="5">
        <f t="shared" si="132"/>
        <v>3309.5078661990192</v>
      </c>
      <c r="FX62" s="1">
        <f t="shared" si="133"/>
        <v>0.423702727745492</v>
      </c>
      <c r="FY62">
        <f t="shared" si="263"/>
        <v>23872.213057940335</v>
      </c>
      <c r="FZ62" s="26">
        <f t="shared" si="134"/>
        <v>0.13863431338211085</v>
      </c>
      <c r="GA62" s="106">
        <f t="shared" si="264"/>
        <v>4.6211437794036947E-3</v>
      </c>
      <c r="GB62" s="61">
        <f t="shared" si="135"/>
        <v>1531.9871000010419</v>
      </c>
      <c r="GC62" s="61">
        <f t="shared" si="207"/>
        <v>3334.1559178406601</v>
      </c>
      <c r="GD62" s="61">
        <f t="shared" si="247"/>
        <v>3097.594011405713</v>
      </c>
      <c r="GE62" s="61">
        <f t="shared" si="210"/>
        <v>2007.2017131745663</v>
      </c>
      <c r="GF62" s="61">
        <f t="shared" si="137"/>
        <v>1326.9542046660938</v>
      </c>
      <c r="GG62" s="61">
        <f t="shared" si="245"/>
        <v>1232.8053933498611</v>
      </c>
      <c r="GH62" s="6">
        <f t="shared" si="138"/>
        <v>0.39798804775917179</v>
      </c>
      <c r="GI62">
        <f t="shared" si="265"/>
        <v>9248.6922093424037</v>
      </c>
      <c r="GJ62" s="26">
        <f t="shared" si="208"/>
        <v>0.14347479347682199</v>
      </c>
      <c r="GK62">
        <f t="shared" si="266"/>
        <v>4.7824931158940666E-3</v>
      </c>
      <c r="GL62" s="232">
        <f t="shared" si="140"/>
        <v>1.2341408827186904</v>
      </c>
      <c r="GY62">
        <v>1999</v>
      </c>
      <c r="GZ62" s="112">
        <f t="shared" si="267"/>
        <v>1.3204584401432218</v>
      </c>
      <c r="HA62" s="112">
        <f t="shared" si="268"/>
        <v>1.0704160520528734</v>
      </c>
      <c r="HB62" s="112">
        <f t="shared" si="269"/>
        <v>2.4026509192486847</v>
      </c>
    </row>
    <row r="63" spans="1:210" x14ac:dyDescent="0.35">
      <c r="A63">
        <v>2000</v>
      </c>
      <c r="D63" s="80">
        <f>'SR + catch data Murdoch_age var'!C52</f>
        <v>699976</v>
      </c>
      <c r="E63" s="80">
        <f>'SR + catch data Murdoch_age var'!E52</f>
        <v>2282485.9433021657</v>
      </c>
      <c r="F63" s="231">
        <f t="shared" si="63"/>
        <v>1.1819744052431649</v>
      </c>
      <c r="G63" s="80">
        <f>'SR + catch data Murdoch_age var'!D52</f>
        <v>821323.89458584297</v>
      </c>
      <c r="H63" s="80">
        <f>'Orig data'!Q54</f>
        <v>821323.89458584297</v>
      </c>
      <c r="I63" s="80">
        <f t="shared" si="64"/>
        <v>121347.89458584297</v>
      </c>
      <c r="J63" s="149">
        <f t="shared" si="65"/>
        <v>0.14774669942731095</v>
      </c>
      <c r="K63" s="83">
        <f>'SR + catch data Murdoch_age var'!CM52</f>
        <v>1.2082871077352815</v>
      </c>
      <c r="L63" s="83">
        <f>'SR + catch data Murdoch_age var'!CN52</f>
        <v>0.98815576169314612</v>
      </c>
      <c r="M63" s="84">
        <f>'SR + catch data Murdoch_age var'!CO52</f>
        <v>1656975.7855916503</v>
      </c>
      <c r="N63" s="81">
        <f t="shared" si="66"/>
        <v>0.32027105006747497</v>
      </c>
      <c r="O63" s="88">
        <f t="shared" si="67"/>
        <v>2000</v>
      </c>
      <c r="P63" s="81">
        <f t="shared" si="270"/>
        <v>0.10741516534518507</v>
      </c>
      <c r="Q63" s="81">
        <f t="shared" si="270"/>
        <v>0.75930233821489568</v>
      </c>
      <c r="R63" s="81">
        <f t="shared" si="270"/>
        <v>0.13183604264117066</v>
      </c>
      <c r="S63" s="85">
        <f t="shared" si="270"/>
        <v>1.4464537987485602E-3</v>
      </c>
      <c r="T63" s="80">
        <f t="shared" si="144"/>
        <v>88222.641938889676</v>
      </c>
      <c r="U63" s="80">
        <f t="shared" si="145"/>
        <v>623633.15359079512</v>
      </c>
      <c r="V63" s="80">
        <f t="shared" si="146"/>
        <v>108280.09198883155</v>
      </c>
      <c r="W63" s="80">
        <f t="shared" si="147"/>
        <v>1188.0070673266546</v>
      </c>
      <c r="X63" s="79">
        <f t="shared" si="73"/>
        <v>2000</v>
      </c>
      <c r="Y63" s="79">
        <f t="shared" si="149"/>
        <v>325043.07719422266</v>
      </c>
      <c r="Z63" s="79">
        <f t="shared" si="152"/>
        <v>1067965.098059556</v>
      </c>
      <c r="AA63" s="79">
        <f t="shared" si="156"/>
        <v>381240.98943217314</v>
      </c>
      <c r="AB63" s="79">
        <f t="shared" si="161"/>
        <v>5235.6780108651401</v>
      </c>
      <c r="AC63" s="80">
        <f t="shared" si="78"/>
        <v>1779484.8426968169</v>
      </c>
      <c r="AD63" s="84">
        <f t="shared" si="79"/>
        <v>-958160.94811097393</v>
      </c>
      <c r="AE63" s="80">
        <f t="shared" si="80"/>
        <v>121347.89458584297</v>
      </c>
      <c r="AF63" s="72">
        <f t="shared" si="81"/>
        <v>6.8192710426203867E-2</v>
      </c>
      <c r="AG63" s="26">
        <f t="shared" si="82"/>
        <v>-7.9553989001107078E-2</v>
      </c>
      <c r="AH63" s="61">
        <f t="shared" si="249"/>
        <v>2000</v>
      </c>
      <c r="AI63" s="74" cm="1">
        <f t="array" ref="AI63">IF(Uhistoric=1,J63,Uapply)</f>
        <v>0.2</v>
      </c>
      <c r="AJ63" s="75">
        <f t="shared" si="150"/>
        <v>446600.39310445334</v>
      </c>
      <c r="AK63" s="75">
        <f t="shared" si="153"/>
        <v>1288220.7337972592</v>
      </c>
      <c r="AL63" s="75">
        <f t="shared" si="157"/>
        <v>432575.53249194974</v>
      </c>
      <c r="AM63" s="75">
        <f t="shared" si="162"/>
        <v>5690.7540934207254</v>
      </c>
      <c r="AN63" s="79">
        <f t="shared" si="84"/>
        <v>2173087.4134870828</v>
      </c>
      <c r="AO63" s="80">
        <f t="shared" si="85"/>
        <v>434617.48269741656</v>
      </c>
      <c r="AP63" s="80">
        <f t="shared" si="86"/>
        <v>1738469.9307896663</v>
      </c>
      <c r="AQ63" s="81">
        <v>-4.4363575410768567E-2</v>
      </c>
      <c r="AR63" s="81">
        <v>2.5585971015386249</v>
      </c>
      <c r="AS63" s="81">
        <f>'SR + catch data Murdoch_age var'!N52</f>
        <v>6.0738128207598663E-2</v>
      </c>
      <c r="AT63" s="121">
        <f>'SR + catch data Murdoch_age var'!BR52</f>
        <v>0.36161100847655714</v>
      </c>
      <c r="AU63" s="122">
        <f t="shared" si="250"/>
        <v>1.2082871077352817</v>
      </c>
      <c r="AV63" s="122">
        <f t="shared" si="88"/>
        <v>0.86170335517569019</v>
      </c>
      <c r="AW63" s="115">
        <f t="shared" si="251"/>
        <v>4289907.7596620936</v>
      </c>
      <c r="AX63" s="115"/>
      <c r="AY63" s="141">
        <f t="shared" si="89"/>
        <v>0.40095966816631606</v>
      </c>
      <c r="AZ63" s="141"/>
      <c r="BA63" s="84">
        <v>1500</v>
      </c>
      <c r="BB63" s="101">
        <v>2000</v>
      </c>
      <c r="BC63" s="72">
        <v>3.5750695088044487E-2</v>
      </c>
      <c r="BD63" s="72">
        <v>0.8358758109360519</v>
      </c>
      <c r="BE63" s="72">
        <v>0.11956904541241889</v>
      </c>
      <c r="BF63" s="72">
        <v>8.3410565338276187E-3</v>
      </c>
      <c r="BG63" s="72">
        <v>4.6339202965708991E-4</v>
      </c>
      <c r="BH63" s="76">
        <v>1.5</v>
      </c>
      <c r="BI63" s="76">
        <v>3.4089999999999998</v>
      </c>
      <c r="BJ63" s="72">
        <f t="shared" si="215"/>
        <v>0.82095388504760158</v>
      </c>
      <c r="BK63">
        <v>1.5</v>
      </c>
      <c r="BL63" s="120">
        <v>8.9429476999999993E-2</v>
      </c>
      <c r="BM63" s="125">
        <v>0.34956636200000002</v>
      </c>
      <c r="BN63" s="4">
        <v>0.71222063499999999</v>
      </c>
      <c r="BO63" s="98">
        <f t="shared" si="221"/>
        <v>1.404005770270458</v>
      </c>
      <c r="BP63" s="98">
        <f t="shared" si="216"/>
        <v>1.8272510690713184</v>
      </c>
      <c r="BQ63" s="99">
        <f t="shared" si="217"/>
        <v>0.62360630370639059</v>
      </c>
      <c r="BR63" s="200">
        <v>50</v>
      </c>
      <c r="BS63" s="100">
        <v>37.368932038834956</v>
      </c>
      <c r="BT63" s="98">
        <v>9.4500000000000028E-2</v>
      </c>
      <c r="BU63" s="98">
        <f t="shared" si="222"/>
        <v>9.4499999999999973E-2</v>
      </c>
      <c r="BV63" s="124">
        <f t="shared" si="92"/>
        <v>9.4499999999999973E-2</v>
      </c>
      <c r="BW63" s="100">
        <f t="shared" si="218"/>
        <v>165.66136286876849</v>
      </c>
      <c r="BX63" s="100">
        <v>1753.0302949076035</v>
      </c>
      <c r="BY63" s="99">
        <v>0.12</v>
      </c>
      <c r="BZ63" s="89">
        <f t="shared" si="277"/>
        <v>0.12360571641879799</v>
      </c>
      <c r="CA63" s="78">
        <v>2000</v>
      </c>
      <c r="CB63" s="91">
        <f t="shared" si="275"/>
        <v>0.13799999999999998</v>
      </c>
      <c r="CC63" s="97">
        <f t="shared" si="252"/>
        <v>157.48394731043328</v>
      </c>
      <c r="CD63" s="97">
        <f t="shared" si="271"/>
        <v>2064.1334888564847</v>
      </c>
      <c r="CE63" s="97">
        <f t="shared" si="272"/>
        <v>291.39131577627245</v>
      </c>
      <c r="CF63" s="97">
        <f t="shared" si="273"/>
        <v>24.732177374334171</v>
      </c>
      <c r="CG63" s="97">
        <f t="shared" si="274"/>
        <v>1.479992130629449</v>
      </c>
      <c r="CH63" s="92">
        <f t="shared" si="224"/>
        <v>2539.2209214481545</v>
      </c>
      <c r="CI63" s="200">
        <f t="shared" si="225"/>
        <v>50</v>
      </c>
      <c r="CJ63" s="93">
        <f t="shared" si="226"/>
        <v>37.368932038834956</v>
      </c>
      <c r="CK63" s="92">
        <f t="shared" si="227"/>
        <v>350.41248715984528</v>
      </c>
      <c r="CL63" s="92">
        <f t="shared" si="228"/>
        <v>437.78141919868023</v>
      </c>
      <c r="CM63" s="72">
        <f t="shared" si="229"/>
        <v>2.2843479226749914E-2</v>
      </c>
      <c r="CN63" s="128">
        <f t="shared" si="230"/>
        <v>0.17240777102175384</v>
      </c>
      <c r="CO63" s="111">
        <f t="shared" si="231"/>
        <v>2101.4395022494741</v>
      </c>
      <c r="CP63" s="72">
        <f t="shared" si="232"/>
        <v>1.404005770270458</v>
      </c>
      <c r="CQ63" s="96">
        <f t="shared" si="233"/>
        <v>3.3732522830983958</v>
      </c>
      <c r="CR63" s="92">
        <f t="shared" si="234"/>
        <v>3373.2522830983958</v>
      </c>
      <c r="CS63" s="120">
        <f t="shared" si="235"/>
        <v>-0.90461819600000004</v>
      </c>
      <c r="CT63" s="72">
        <f t="shared" si="97"/>
        <v>0.34956636200000002</v>
      </c>
      <c r="CU63" s="72">
        <f t="shared" si="236"/>
        <v>0.71222063499999999</v>
      </c>
      <c r="CV63" s="104">
        <f t="shared" si="237"/>
        <v>2.163734216946759</v>
      </c>
      <c r="CW63" s="105">
        <f t="shared" si="99"/>
        <v>-4.4363575410768567E-2</v>
      </c>
      <c r="CX63" s="105">
        <f t="shared" si="100"/>
        <v>2.5585971015386249</v>
      </c>
      <c r="CY63" s="105">
        <f t="shared" si="101"/>
        <v>6.0738128207598663E-2</v>
      </c>
      <c r="CZ63" s="123">
        <f t="shared" si="242"/>
        <v>-0.68849257550252763</v>
      </c>
      <c r="DA63" s="81">
        <f t="shared" si="253"/>
        <v>1.4437689352154759</v>
      </c>
      <c r="DB63" s="9">
        <f t="shared" si="104"/>
        <v>4289907.7596620936</v>
      </c>
      <c r="DD63" s="1">
        <f t="shared" si="105"/>
        <v>1.1607247189677987</v>
      </c>
      <c r="DE63" s="114">
        <v>739</v>
      </c>
      <c r="DF63" s="61">
        <v>2000</v>
      </c>
      <c r="DG63" s="26">
        <v>7.6142131979695434E-3</v>
      </c>
      <c r="DH63" s="26">
        <v>0.29512169725367693</v>
      </c>
      <c r="DI63" s="26">
        <v>0.6060236886632826</v>
      </c>
      <c r="DJ63" s="26">
        <v>8.8702329819081091E-2</v>
      </c>
      <c r="DK63" s="26">
        <v>2.5380710659898475E-3</v>
      </c>
      <c r="DL63" s="106">
        <v>0.73899999999999999</v>
      </c>
      <c r="DM63" s="106">
        <v>0.59899999999999998</v>
      </c>
      <c r="DN63" s="26">
        <v>-0.21003632283275248</v>
      </c>
      <c r="DO63" s="76">
        <f t="shared" si="107"/>
        <v>0.73899999999999999</v>
      </c>
      <c r="DP63" s="119">
        <v>0.16479419300000001</v>
      </c>
      <c r="DQ63" s="26">
        <v>1.208955494</v>
      </c>
      <c r="DR63" s="26">
        <v>6.8331797999999999E-2</v>
      </c>
      <c r="DS63" s="26">
        <v>6.4022630000000001E-3</v>
      </c>
      <c r="DT63" s="113" cm="1">
        <f t="array" ref="DT63">$DN$11+SUMPRODUCT(DP$11:$DS$11*DP63:DS63)</f>
        <v>0.78000501950296108</v>
      </c>
      <c r="DU63" s="76">
        <f t="shared" si="254"/>
        <v>0.75725447622313491</v>
      </c>
      <c r="DV63" s="72">
        <f t="shared" si="179"/>
        <v>-0.23443776293076191</v>
      </c>
      <c r="DW63" s="199">
        <v>25</v>
      </c>
      <c r="DX63" s="61">
        <v>2.1716161021175209</v>
      </c>
      <c r="DY63" s="26">
        <v>9.4500000000000028E-2</v>
      </c>
      <c r="DZ63" s="98">
        <f t="shared" si="213"/>
        <v>9.4500000000000042E-2</v>
      </c>
      <c r="EA63" s="110">
        <f t="shared" si="214"/>
        <v>9.4500000000000042E-2</v>
      </c>
      <c r="EB63" s="100">
        <f t="shared" si="188"/>
        <v>79.959379041027205</v>
      </c>
      <c r="EC63" s="61">
        <v>846.13099514314467</v>
      </c>
      <c r="ED63" s="99">
        <v>0.12</v>
      </c>
      <c r="EE63" s="72">
        <f t="shared" si="189"/>
        <v>1.5394589340868192E-2</v>
      </c>
      <c r="EF63" s="37">
        <v>2000</v>
      </c>
      <c r="EG63" s="110">
        <f t="shared" si="276"/>
        <v>0.13799999999999998</v>
      </c>
      <c r="EH63" s="97">
        <f t="shared" si="220"/>
        <v>19.095118433586453</v>
      </c>
      <c r="EI63" s="97">
        <f t="shared" si="238"/>
        <v>620.71895857796244</v>
      </c>
      <c r="EJ63" s="97">
        <f t="shared" si="243"/>
        <v>1074.0329234452552</v>
      </c>
      <c r="EK63" s="97">
        <f t="shared" si="246"/>
        <v>165.4110950416586</v>
      </c>
      <c r="EL63" s="97">
        <f t="shared" si="248"/>
        <v>4.6713516237194703</v>
      </c>
      <c r="EM63" s="111">
        <f t="shared" si="196"/>
        <v>1883.929447122182</v>
      </c>
      <c r="EN63" s="200">
        <f t="shared" si="197"/>
        <v>25</v>
      </c>
      <c r="EO63" s="92">
        <f t="shared" si="198"/>
        <v>2.1716161021175209</v>
      </c>
      <c r="EP63" s="92">
        <f>MAX(EM63*EG63,0)</f>
        <v>259.98226370286108</v>
      </c>
      <c r="EQ63" s="92">
        <f t="shared" si="239"/>
        <v>287.1538798049786</v>
      </c>
      <c r="ER63" s="128">
        <f t="shared" si="201"/>
        <v>0.15242284165345141</v>
      </c>
      <c r="ES63" s="111">
        <f t="shared" si="240"/>
        <v>1596.7755673172032</v>
      </c>
      <c r="ET63" s="72">
        <f t="shared" si="203"/>
        <v>0.78000501950296108</v>
      </c>
      <c r="EU63" s="96">
        <f t="shared" si="204"/>
        <v>1.5546521390958945</v>
      </c>
      <c r="EV63" s="92">
        <f t="shared" si="205"/>
        <v>1554.6521390958944</v>
      </c>
      <c r="EW63" s="120">
        <f t="shared" si="244"/>
        <v>-0.87704872899999997</v>
      </c>
      <c r="EX63" s="9">
        <f t="shared" si="184"/>
        <v>1.208955494</v>
      </c>
      <c r="EY63" s="9">
        <f t="shared" si="185"/>
        <v>6.8331797999999999E-2</v>
      </c>
      <c r="EZ63" s="9">
        <f t="shared" si="186"/>
        <v>6.4022630000000001E-3</v>
      </c>
      <c r="FA63" s="113" cm="1">
        <f t="array" ref="FA63">$DN$11+SUMPRODUCT($DP$11:$DS$11*EW63:EZ63)</f>
        <v>1.6059168221757045</v>
      </c>
      <c r="FB63">
        <v>2000</v>
      </c>
      <c r="FC63" s="116">
        <f t="shared" si="121"/>
        <v>1738469.9307896663</v>
      </c>
      <c r="FD63" s="116">
        <f t="shared" si="255"/>
        <v>3598020.1659969883</v>
      </c>
      <c r="FE63" s="116">
        <f t="shared" si="159"/>
        <v>2173087.4134870828</v>
      </c>
      <c r="FF63" s="116">
        <f t="shared" si="256"/>
        <v>3114268.1518108211</v>
      </c>
      <c r="FG63" s="5">
        <f t="shared" si="257"/>
        <v>483752.01418616716</v>
      </c>
      <c r="FH63" s="5">
        <f t="shared" si="155"/>
        <v>287072.73344437499</v>
      </c>
      <c r="FI63" s="155">
        <f t="shared" si="258"/>
        <v>0.13444950052194124</v>
      </c>
      <c r="FJ63" s="117">
        <f t="shared" si="127"/>
        <v>13.444950052194123</v>
      </c>
      <c r="FK63" s="61">
        <f t="shared" si="259"/>
        <v>7775.0525071201791</v>
      </c>
      <c r="FL63" s="61">
        <f t="shared" si="142"/>
        <v>462.76474180746953</v>
      </c>
      <c r="FM63" s="92">
        <f t="shared" si="128"/>
        <v>62.218488395179371</v>
      </c>
      <c r="FN63" s="72">
        <f t="shared" si="129"/>
        <v>0.13444950052194124</v>
      </c>
      <c r="FO63" s="179">
        <f t="shared" si="260"/>
        <v>2.0739496131726458</v>
      </c>
      <c r="FP63" s="92">
        <f t="shared" si="160"/>
        <v>51.30230117060028</v>
      </c>
      <c r="FQ63" s="1">
        <f t="shared" si="143"/>
        <v>0</v>
      </c>
      <c r="FR63" s="26">
        <f t="shared" si="130"/>
        <v>1.2341408827186904</v>
      </c>
      <c r="FS63">
        <f t="shared" si="261"/>
        <v>2000</v>
      </c>
      <c r="FT63" s="5">
        <f t="shared" si="241"/>
        <v>2101.4395022494741</v>
      </c>
      <c r="FU63" s="214">
        <f t="shared" si="262"/>
        <v>6023.3167564055047</v>
      </c>
      <c r="FV63" s="213">
        <f t="shared" si="131"/>
        <v>3471.2210166413638</v>
      </c>
      <c r="FW63" s="5">
        <f t="shared" si="132"/>
        <v>2552.0957397641409</v>
      </c>
      <c r="FX63" s="1">
        <f t="shared" si="133"/>
        <v>0.42370272774549189</v>
      </c>
      <c r="FY63">
        <f t="shared" si="263"/>
        <v>24909.27359065189</v>
      </c>
      <c r="FZ63" s="26">
        <f t="shared" si="134"/>
        <v>0.10245564690902538</v>
      </c>
      <c r="GA63" s="106">
        <f t="shared" si="264"/>
        <v>3.4151882303008461E-3</v>
      </c>
      <c r="GB63" s="61">
        <f t="shared" si="135"/>
        <v>1596.7755673172032</v>
      </c>
      <c r="GC63" s="61">
        <f t="shared" si="207"/>
        <v>2582.4273642892276</v>
      </c>
      <c r="GD63" s="61">
        <f t="shared" si="247"/>
        <v>2943.8988248498454</v>
      </c>
      <c r="GE63" s="61">
        <f t="shared" si="210"/>
        <v>1554.6521390958944</v>
      </c>
      <c r="GF63" s="61">
        <f t="shared" si="137"/>
        <v>1027.7752251933332</v>
      </c>
      <c r="GG63" s="61">
        <f t="shared" si="245"/>
        <v>1171.6365461025096</v>
      </c>
      <c r="GH63" s="6">
        <f t="shared" si="138"/>
        <v>0.39798804775917179</v>
      </c>
      <c r="GI63">
        <f t="shared" si="265"/>
        <v>9248.6922093424037</v>
      </c>
      <c r="GJ63" s="26">
        <f t="shared" si="208"/>
        <v>0.11112654653542738</v>
      </c>
      <c r="GK63">
        <f t="shared" si="266"/>
        <v>3.7042182178475794E-3</v>
      </c>
      <c r="GL63" s="232">
        <f t="shared" si="140"/>
        <v>1.2341408827186904</v>
      </c>
      <c r="GY63">
        <v>2000</v>
      </c>
      <c r="GZ63" s="112">
        <f t="shared" si="267"/>
        <v>1.2082871077352817</v>
      </c>
      <c r="HA63" s="112">
        <f t="shared" si="268"/>
        <v>0.78000501950296108</v>
      </c>
      <c r="HB63" s="112">
        <f t="shared" si="269"/>
        <v>2.163734216946759</v>
      </c>
    </row>
    <row r="64" spans="1:210" x14ac:dyDescent="0.35">
      <c r="A64">
        <v>2001</v>
      </c>
      <c r="D64" s="80">
        <f>'SR + catch data Murdoch_age var'!C53</f>
        <v>3151893</v>
      </c>
      <c r="E64" s="80">
        <f>'SR + catch data Murdoch_age var'!E53</f>
        <v>1868662.078775011</v>
      </c>
      <c r="F64" s="231">
        <f t="shared" si="63"/>
        <v>-0.52278051581601337</v>
      </c>
      <c r="G64" s="80">
        <f>'SR + catch data Murdoch_age var'!D53</f>
        <v>3396137.3550203633</v>
      </c>
      <c r="H64" s="80">
        <f>'Orig data'!Q55</f>
        <v>3396137.3550203633</v>
      </c>
      <c r="I64" s="80">
        <f t="shared" si="64"/>
        <v>244244.35502036335</v>
      </c>
      <c r="J64" s="149">
        <f t="shared" si="65"/>
        <v>7.1918279353250375E-2</v>
      </c>
      <c r="K64" s="83">
        <f>'SR + catch data Murdoch_age var'!CM53</f>
        <v>1.1957469679451336</v>
      </c>
      <c r="L64" s="83">
        <f>'SR + catch data Murdoch_age var'!CN53</f>
        <v>0.9841069773092348</v>
      </c>
      <c r="M64" s="84">
        <f>'SR + catch data Murdoch_age var'!CO53</f>
        <v>2188316.5241035349</v>
      </c>
      <c r="N64" s="81">
        <f t="shared" si="66"/>
        <v>-0.1579098288611096</v>
      </c>
      <c r="O64" s="88">
        <f t="shared" si="67"/>
        <v>2001</v>
      </c>
      <c r="P64" s="81">
        <f t="shared" si="270"/>
        <v>0.10741516534518507</v>
      </c>
      <c r="Q64" s="81">
        <f t="shared" si="270"/>
        <v>0.75930233821489568</v>
      </c>
      <c r="R64" s="81">
        <f t="shared" si="270"/>
        <v>0.13183604264117066</v>
      </c>
      <c r="S64" s="85">
        <f t="shared" si="270"/>
        <v>1.4464537987485602E-3</v>
      </c>
      <c r="T64" s="80">
        <f t="shared" si="144"/>
        <v>364796.65552447183</v>
      </c>
      <c r="U64" s="80">
        <f t="shared" si="145"/>
        <v>2578695.034565913</v>
      </c>
      <c r="V64" s="80">
        <f t="shared" si="146"/>
        <v>447733.30915173714</v>
      </c>
      <c r="W64" s="80">
        <f t="shared" si="147"/>
        <v>4912.3557782410926</v>
      </c>
      <c r="X64" s="79">
        <f t="shared" si="73"/>
        <v>2001</v>
      </c>
      <c r="Y64" s="79">
        <f t="shared" si="149"/>
        <v>273191.1401695378</v>
      </c>
      <c r="Z64" s="79">
        <f t="shared" si="152"/>
        <v>2297682.7130602309</v>
      </c>
      <c r="AA64" s="79">
        <f t="shared" si="156"/>
        <v>185428.49813694874</v>
      </c>
      <c r="AB64" s="79">
        <f t="shared" si="161"/>
        <v>4182.8279001346236</v>
      </c>
      <c r="AC64" s="80">
        <f t="shared" si="78"/>
        <v>2760485.1792668519</v>
      </c>
      <c r="AD64" s="84">
        <f t="shared" si="79"/>
        <v>635652.17575351149</v>
      </c>
      <c r="AE64" s="80">
        <f t="shared" si="80"/>
        <v>244244.35502036335</v>
      </c>
      <c r="AF64" s="72">
        <f t="shared" si="81"/>
        <v>8.8478777881079371E-2</v>
      </c>
      <c r="AG64" s="26">
        <f t="shared" si="82"/>
        <v>1.6560498527828996E-2</v>
      </c>
      <c r="AH64" s="61">
        <f t="shared" si="249"/>
        <v>2001</v>
      </c>
      <c r="AI64" s="74" cm="1">
        <f t="array" ref="AI64">IF(Uhistoric=1,J64,Uapply)</f>
        <v>0.2</v>
      </c>
      <c r="AJ64" s="75">
        <f t="shared" si="150"/>
        <v>373322.65001652739</v>
      </c>
      <c r="AK64" s="75">
        <f t="shared" si="153"/>
        <v>3156953.877435925</v>
      </c>
      <c r="AL64" s="75">
        <f t="shared" si="157"/>
        <v>223671.01356675883</v>
      </c>
      <c r="AM64" s="75">
        <f t="shared" si="162"/>
        <v>4746.0505464479402</v>
      </c>
      <c r="AN64" s="79">
        <f t="shared" si="84"/>
        <v>3758693.5915656588</v>
      </c>
      <c r="AO64" s="80">
        <f t="shared" si="85"/>
        <v>751738.71831313183</v>
      </c>
      <c r="AP64" s="80">
        <f t="shared" si="86"/>
        <v>3006954.8732525269</v>
      </c>
      <c r="AQ64" s="81">
        <v>-0.18689697648091311</v>
      </c>
      <c r="AR64" s="81">
        <v>1.9408497767597643</v>
      </c>
      <c r="AS64" s="81">
        <f>'SR + catch data Murdoch_age var'!N53</f>
        <v>-0.89312442022215499</v>
      </c>
      <c r="AT64" s="121">
        <f>'SR + catch data Murdoch_age var'!BR53</f>
        <v>0.52644155175049623</v>
      </c>
      <c r="AU64" s="122">
        <f t="shared" si="250"/>
        <v>1.1957469679451336</v>
      </c>
      <c r="AV64" s="122">
        <f t="shared" si="88"/>
        <v>-0.36487068695490388</v>
      </c>
      <c r="AW64" s="115">
        <f t="shared" si="251"/>
        <v>2515209.2977299201</v>
      </c>
      <c r="AX64" s="115"/>
      <c r="AY64" s="141">
        <f t="shared" si="89"/>
        <v>0.92610865422742217</v>
      </c>
      <c r="AZ64" s="141"/>
      <c r="BA64" s="84">
        <v>1810</v>
      </c>
      <c r="BB64" s="101">
        <v>2001</v>
      </c>
      <c r="BC64" s="72">
        <v>3.5750695088044487E-2</v>
      </c>
      <c r="BD64" s="72">
        <v>0.8358758109360519</v>
      </c>
      <c r="BE64" s="72">
        <v>0.11956904541241889</v>
      </c>
      <c r="BF64" s="72">
        <v>8.3410565338276187E-3</v>
      </c>
      <c r="BG64" s="72">
        <v>4.6339202965708991E-4</v>
      </c>
      <c r="BH64" s="76">
        <v>1.81</v>
      </c>
      <c r="BI64" s="76">
        <v>1.68</v>
      </c>
      <c r="BJ64" s="72">
        <f t="shared" si="215"/>
        <v>-7.4533051862566868E-2</v>
      </c>
      <c r="BK64">
        <v>1.81</v>
      </c>
      <c r="BL64" s="120">
        <v>0.16479419300000001</v>
      </c>
      <c r="BM64" s="125">
        <v>4.3848934999999999E-2</v>
      </c>
      <c r="BN64" s="4">
        <v>6.8331797999999999E-2</v>
      </c>
      <c r="BO64" s="98">
        <f t="shared" si="221"/>
        <v>1.4344907481204912</v>
      </c>
      <c r="BP64" s="98">
        <f t="shared" si="216"/>
        <v>1.7714233549356204</v>
      </c>
      <c r="BQ64" s="99">
        <f t="shared" si="217"/>
        <v>-5.2989585341766558E-2</v>
      </c>
      <c r="BR64" s="200">
        <v>50</v>
      </c>
      <c r="BS64" s="100">
        <v>36.829878877637505</v>
      </c>
      <c r="BT64" s="98">
        <v>6.1499999999999999E-2</v>
      </c>
      <c r="BU64" s="98">
        <f t="shared" si="222"/>
        <v>6.1499999999999937E-2</v>
      </c>
      <c r="BV64" s="124">
        <f t="shared" si="92"/>
        <v>6.1499999999999937E-2</v>
      </c>
      <c r="BW64" s="100">
        <f t="shared" si="218"/>
        <v>124.29945397013807</v>
      </c>
      <c r="BX64" s="100">
        <v>2021.1293328477757</v>
      </c>
      <c r="BY64" s="99">
        <v>0.14000000000000001</v>
      </c>
      <c r="BZ64" s="89">
        <f t="shared" si="277"/>
        <v>0.12964783898419396</v>
      </c>
      <c r="CA64" s="78">
        <v>2001</v>
      </c>
      <c r="CB64" s="91">
        <f t="shared" si="275"/>
        <v>0.13799999999999998</v>
      </c>
      <c r="CC64" s="97">
        <f t="shared" si="252"/>
        <v>146.06093694577766</v>
      </c>
      <c r="CD64" s="97">
        <f t="shared" si="271"/>
        <v>3682.0828754051295</v>
      </c>
      <c r="CE64" s="97">
        <f t="shared" si="272"/>
        <v>295.26691362200148</v>
      </c>
      <c r="CF64" s="97">
        <f t="shared" si="273"/>
        <v>20.327263046827518</v>
      </c>
      <c r="CG64" s="97">
        <f t="shared" si="274"/>
        <v>1.3740098541296761</v>
      </c>
      <c r="CH64" s="92">
        <f t="shared" si="224"/>
        <v>4145.1119988738646</v>
      </c>
      <c r="CI64" s="200">
        <f t="shared" si="225"/>
        <v>50</v>
      </c>
      <c r="CJ64" s="93">
        <f t="shared" si="226"/>
        <v>36.829878877637505</v>
      </c>
      <c r="CK64" s="92">
        <f t="shared" si="227"/>
        <v>572.02545584459324</v>
      </c>
      <c r="CL64" s="92">
        <f t="shared" si="228"/>
        <v>658.85533472223074</v>
      </c>
      <c r="CM64" s="72">
        <f t="shared" si="229"/>
        <v>1.3993503767084768E-2</v>
      </c>
      <c r="CN64" s="128">
        <f t="shared" si="230"/>
        <v>0.15894753504880621</v>
      </c>
      <c r="CO64" s="111">
        <f t="shared" si="231"/>
        <v>3486.2566641516341</v>
      </c>
      <c r="CP64" s="72">
        <f t="shared" si="232"/>
        <v>1.4344907481204912</v>
      </c>
      <c r="CQ64" s="96">
        <f t="shared" si="233"/>
        <v>2.0060492382616739</v>
      </c>
      <c r="CR64" s="92">
        <f t="shared" si="234"/>
        <v>2006.049238261674</v>
      </c>
      <c r="CS64" s="120">
        <f t="shared" si="235"/>
        <v>-0.90461819600000004</v>
      </c>
      <c r="CT64" s="72">
        <f t="shared" si="97"/>
        <v>4.3848934999999999E-2</v>
      </c>
      <c r="CU64" s="72">
        <f t="shared" si="236"/>
        <v>6.8331797999999999E-2</v>
      </c>
      <c r="CV64" s="104">
        <f t="shared" si="237"/>
        <v>2.2518187648939501</v>
      </c>
      <c r="CW64" s="105">
        <f t="shared" si="99"/>
        <v>-0.18689697648091311</v>
      </c>
      <c r="CX64" s="105">
        <f t="shared" si="100"/>
        <v>1.9408497767597643</v>
      </c>
      <c r="CY64" s="105">
        <f t="shared" si="101"/>
        <v>-0.89312442022215499</v>
      </c>
      <c r="CZ64" s="123">
        <f t="shared" si="242"/>
        <v>-0.68849257550252763</v>
      </c>
      <c r="DA64" s="81">
        <f t="shared" si="253"/>
        <v>1.4681914323945524</v>
      </c>
      <c r="DB64" s="9">
        <f t="shared" si="104"/>
        <v>2515209.2977299201</v>
      </c>
      <c r="DD64" s="1">
        <f t="shared" si="105"/>
        <v>0.47812778902022235</v>
      </c>
      <c r="DE64" s="114">
        <v>1258</v>
      </c>
      <c r="DF64" s="61">
        <v>2001</v>
      </c>
      <c r="DG64" s="26">
        <v>7.6142131979695434E-3</v>
      </c>
      <c r="DH64" s="26">
        <v>0.29512169725367693</v>
      </c>
      <c r="DI64" s="26">
        <v>0.6060236886632826</v>
      </c>
      <c r="DJ64" s="26">
        <v>8.8702329819081091E-2</v>
      </c>
      <c r="DK64" s="26">
        <v>2.5380710659898475E-3</v>
      </c>
      <c r="DL64" s="106">
        <v>1.258</v>
      </c>
      <c r="DM64" s="106">
        <v>0.48399999999999999</v>
      </c>
      <c r="DN64" s="26">
        <v>-0.95519353054375422</v>
      </c>
      <c r="DO64" s="76">
        <f t="shared" si="107"/>
        <v>1.258</v>
      </c>
      <c r="DP64" s="119">
        <v>0.244417472</v>
      </c>
      <c r="DQ64" s="26">
        <v>0.95703736299999997</v>
      </c>
      <c r="DR64" s="26">
        <v>-0.83329344100000002</v>
      </c>
      <c r="DS64" s="26">
        <v>-8.9241305000000007E-2</v>
      </c>
      <c r="DT64" s="113" cm="1">
        <f t="array" ref="DT64">$DN$11+SUMPRODUCT(DP$11:$DS$11*DP64:DS64)</f>
        <v>0.59220806026680961</v>
      </c>
      <c r="DU64" s="76">
        <f t="shared" si="254"/>
        <v>0.628428474193366</v>
      </c>
      <c r="DV64" s="72">
        <f t="shared" si="179"/>
        <v>-0.26113731084922526</v>
      </c>
      <c r="DW64" s="199">
        <v>25</v>
      </c>
      <c r="DX64" s="61">
        <v>6.3199252063557472</v>
      </c>
      <c r="DY64" s="26">
        <v>6.1499999999999999E-2</v>
      </c>
      <c r="DZ64" s="98">
        <f t="shared" si="213"/>
        <v>6.1499999999999944E-2</v>
      </c>
      <c r="EA64" s="110">
        <f t="shared" si="214"/>
        <v>6.1499999999999944E-2</v>
      </c>
      <c r="EB64" s="100">
        <f t="shared" si="188"/>
        <v>84.489265210645499</v>
      </c>
      <c r="EC64" s="61">
        <v>1373.8091904170012</v>
      </c>
      <c r="ED64" s="99">
        <v>0.14000000000000001</v>
      </c>
      <c r="EE64" s="72">
        <f t="shared" si="189"/>
        <v>1.3221883896457712E-2</v>
      </c>
      <c r="EF64" s="37">
        <v>2001</v>
      </c>
      <c r="EG64" s="110">
        <f t="shared" si="276"/>
        <v>0.13799999999999998</v>
      </c>
      <c r="EH64" s="97">
        <f t="shared" si="220"/>
        <v>16.830372682054342</v>
      </c>
      <c r="EI64" s="97">
        <f t="shared" si="238"/>
        <v>740.1137339945742</v>
      </c>
      <c r="EJ64" s="97">
        <f t="shared" si="243"/>
        <v>1274.6280480262501</v>
      </c>
      <c r="EK64" s="97">
        <f t="shared" si="246"/>
        <v>157.20379317536242</v>
      </c>
      <c r="EL64" s="97">
        <f t="shared" si="248"/>
        <v>4.7329660356747505</v>
      </c>
      <c r="EM64" s="111">
        <f t="shared" si="196"/>
        <v>2193.5089139139159</v>
      </c>
      <c r="EN64" s="200">
        <f t="shared" si="197"/>
        <v>25</v>
      </c>
      <c r="EO64" s="92">
        <f t="shared" si="198"/>
        <v>6.3199252063557472</v>
      </c>
      <c r="EP64" s="92">
        <f t="shared" si="278"/>
        <v>302.70423012012037</v>
      </c>
      <c r="EQ64" s="92">
        <f t="shared" si="239"/>
        <v>334.02415532647615</v>
      </c>
      <c r="ER64" s="128">
        <f t="shared" si="201"/>
        <v>0.15227845813968957</v>
      </c>
      <c r="ES64" s="111">
        <f t="shared" si="240"/>
        <v>1859.4847585874397</v>
      </c>
      <c r="ET64" s="72">
        <f t="shared" si="203"/>
        <v>0.59220806026680961</v>
      </c>
      <c r="EU64" s="96">
        <f t="shared" si="204"/>
        <v>1.2217411065412775</v>
      </c>
      <c r="EV64" s="92">
        <f t="shared" si="205"/>
        <v>1221.7411065412775</v>
      </c>
      <c r="EW64" s="120">
        <f t="shared" si="244"/>
        <v>-0.87704872899999997</v>
      </c>
      <c r="EX64" s="9">
        <f t="shared" si="184"/>
        <v>0.95703736299999997</v>
      </c>
      <c r="EY64" s="9">
        <f t="shared" si="185"/>
        <v>-0.83329344100000002</v>
      </c>
      <c r="EZ64" s="9">
        <f t="shared" si="186"/>
        <v>-8.9241305000000007E-2</v>
      </c>
      <c r="FA64" s="113" cm="1">
        <f t="array" ref="FA64">$DN$11+SUMPRODUCT($DP$11:$DS$11*EW64:EZ64)</f>
        <v>1.481240516259694</v>
      </c>
      <c r="FB64">
        <v>2001</v>
      </c>
      <c r="FC64" s="116">
        <f t="shared" si="121"/>
        <v>3006954.8732525269</v>
      </c>
      <c r="FD64" s="116">
        <f t="shared" si="255"/>
        <v>3402993.2351830276</v>
      </c>
      <c r="FE64" s="116">
        <f t="shared" si="159"/>
        <v>3758693.5915656588</v>
      </c>
      <c r="FF64" s="116">
        <f t="shared" si="256"/>
        <v>2945462.4944331245</v>
      </c>
      <c r="FG64" s="5">
        <f t="shared" si="257"/>
        <v>457530.74074990302</v>
      </c>
      <c r="FH64" s="5">
        <f t="shared" si="155"/>
        <v>327211.1467417283</v>
      </c>
      <c r="FI64" s="155">
        <f t="shared" si="258"/>
        <v>0.13444950052194127</v>
      </c>
      <c r="FJ64" s="117">
        <f t="shared" si="127"/>
        <v>13.444950052194127</v>
      </c>
      <c r="FK64" s="61">
        <f t="shared" si="259"/>
        <v>7775.0525071201791</v>
      </c>
      <c r="FL64" s="61">
        <f t="shared" si="142"/>
        <v>437.68106158339896</v>
      </c>
      <c r="FM64" s="92">
        <f t="shared" si="128"/>
        <v>58.846000117800997</v>
      </c>
      <c r="FN64" s="72">
        <f t="shared" si="129"/>
        <v>0.13444950052194127</v>
      </c>
      <c r="FO64" s="179">
        <f t="shared" si="260"/>
        <v>1.9615333372600332</v>
      </c>
      <c r="FP64" s="92">
        <f t="shared" si="160"/>
        <v>55.179848304873197</v>
      </c>
      <c r="FQ64" s="1">
        <f t="shared" si="143"/>
        <v>0</v>
      </c>
      <c r="FR64" s="26">
        <f t="shared" si="130"/>
        <v>1.2341408827186904</v>
      </c>
      <c r="FS64">
        <f t="shared" si="261"/>
        <v>2001</v>
      </c>
      <c r="FT64" s="5">
        <f t="shared" si="241"/>
        <v>3486.2566641516341</v>
      </c>
      <c r="FU64" s="214">
        <f t="shared" si="262"/>
        <v>3490.5021729609871</v>
      </c>
      <c r="FV64" s="213">
        <f t="shared" si="131"/>
        <v>2011.5668810758498</v>
      </c>
      <c r="FW64" s="5">
        <f t="shared" si="132"/>
        <v>1478.9352918851373</v>
      </c>
      <c r="FX64" s="1">
        <f t="shared" si="133"/>
        <v>0.423702727745492</v>
      </c>
      <c r="FY64">
        <f t="shared" si="263"/>
        <v>26003.794241469041</v>
      </c>
      <c r="FZ64" s="26">
        <f t="shared" si="134"/>
        <v>5.6873826878949624E-2</v>
      </c>
      <c r="GA64" s="106">
        <f t="shared" si="264"/>
        <v>1.8957942292983207E-3</v>
      </c>
      <c r="GB64" s="61">
        <f t="shared" si="135"/>
        <v>1859.4847585874397</v>
      </c>
      <c r="GC64" s="61">
        <f t="shared" si="207"/>
        <v>2029.4299838959566</v>
      </c>
      <c r="GD64" s="61">
        <f t="shared" si="247"/>
        <v>3493.7253139953623</v>
      </c>
      <c r="GE64" s="61">
        <f t="shared" si="210"/>
        <v>1221.7411065412775</v>
      </c>
      <c r="GF64" s="61">
        <f t="shared" si="137"/>
        <v>807.68887735467911</v>
      </c>
      <c r="GG64" s="61">
        <f t="shared" si="245"/>
        <v>1390.4609171238135</v>
      </c>
      <c r="GH64" s="6">
        <f t="shared" si="138"/>
        <v>0.39798804775917174</v>
      </c>
      <c r="GI64">
        <f t="shared" si="265"/>
        <v>9248.6922093424037</v>
      </c>
      <c r="GJ64" s="26">
        <f t="shared" si="208"/>
        <v>8.733006343738052E-2</v>
      </c>
      <c r="GK64">
        <f t="shared" si="266"/>
        <v>2.9110021145793506E-3</v>
      </c>
      <c r="GL64" s="232">
        <f t="shared" si="140"/>
        <v>1.2341408827186904</v>
      </c>
      <c r="GY64">
        <v>2001</v>
      </c>
      <c r="GZ64" s="112">
        <f t="shared" si="267"/>
        <v>1.1957469679451336</v>
      </c>
      <c r="HA64" s="112">
        <f t="shared" si="268"/>
        <v>0.59220806026680961</v>
      </c>
      <c r="HB64" s="112">
        <f t="shared" si="269"/>
        <v>2.2518187648939501</v>
      </c>
    </row>
    <row r="65" spans="1:210" x14ac:dyDescent="0.35">
      <c r="A65">
        <v>2002</v>
      </c>
      <c r="D65" s="80">
        <f>'SR + catch data Murdoch_age var'!C54</f>
        <v>2302250</v>
      </c>
      <c r="E65" s="80">
        <f>'SR + catch data Murdoch_age var'!E54</f>
        <v>2826467.1680969703</v>
      </c>
      <c r="F65" s="231">
        <f t="shared" si="63"/>
        <v>0.20514067570148103</v>
      </c>
      <c r="G65" s="80">
        <f>'SR + catch data Murdoch_age var'!D54</f>
        <v>2701922.5280034388</v>
      </c>
      <c r="H65" s="80">
        <f>'Orig data'!Q56</f>
        <v>2701922.5280034388</v>
      </c>
      <c r="I65" s="80">
        <f t="shared" si="64"/>
        <v>399672.52800343884</v>
      </c>
      <c r="J65" s="149">
        <f t="shared" si="65"/>
        <v>0.14792153507775563</v>
      </c>
      <c r="K65" s="83">
        <f>'SR + catch data Murdoch_age var'!CM54</f>
        <v>0.84165585932684772</v>
      </c>
      <c r="L65" s="83">
        <f>'SR + catch data Murdoch_age var'!CN54</f>
        <v>0.96770348255491745</v>
      </c>
      <c r="M65" s="84">
        <f>'SR + catch data Murdoch_age var'!CO54</f>
        <v>1708497.7497893837</v>
      </c>
      <c r="N65" s="81">
        <f t="shared" si="66"/>
        <v>0.50341310581644216</v>
      </c>
      <c r="O65" s="88">
        <f t="shared" si="67"/>
        <v>2002</v>
      </c>
      <c r="P65" s="81">
        <f t="shared" si="270"/>
        <v>0.10741516534518507</v>
      </c>
      <c r="Q65" s="81">
        <f t="shared" si="270"/>
        <v>0.75930233821489568</v>
      </c>
      <c r="R65" s="81">
        <f t="shared" si="270"/>
        <v>0.13183604264117066</v>
      </c>
      <c r="S65" s="85">
        <f t="shared" si="270"/>
        <v>1.4464537987485602E-3</v>
      </c>
      <c r="T65" s="80">
        <f t="shared" si="144"/>
        <v>290227.45509536983</v>
      </c>
      <c r="U65" s="80">
        <f t="shared" si="145"/>
        <v>2051576.0931885131</v>
      </c>
      <c r="V65" s="80">
        <f t="shared" si="146"/>
        <v>356210.773615001</v>
      </c>
      <c r="W65" s="80">
        <f t="shared" si="147"/>
        <v>3908.2061045548871</v>
      </c>
      <c r="X65" s="79">
        <f t="shared" si="73"/>
        <v>2002</v>
      </c>
      <c r="Y65" s="79">
        <f t="shared" si="149"/>
        <v>330626.19383000728</v>
      </c>
      <c r="Z65" s="79">
        <f t="shared" si="152"/>
        <v>1931148.8358624186</v>
      </c>
      <c r="AA65" s="79">
        <f t="shared" si="156"/>
        <v>398941.74018618447</v>
      </c>
      <c r="AB65" s="79">
        <f t="shared" si="161"/>
        <v>2034.4493823775488</v>
      </c>
      <c r="AC65" s="80">
        <f t="shared" si="78"/>
        <v>2662751.2192609878</v>
      </c>
      <c r="AD65" s="84">
        <f t="shared" si="79"/>
        <v>39171.308742451016</v>
      </c>
      <c r="AE65" s="80">
        <f t="shared" si="80"/>
        <v>399672.52800343884</v>
      </c>
      <c r="AF65" s="72">
        <f t="shared" si="81"/>
        <v>0.15009758520150551</v>
      </c>
      <c r="AG65" s="26">
        <f t="shared" si="82"/>
        <v>2.1760501237498842E-3</v>
      </c>
      <c r="AH65" s="61">
        <f t="shared" si="249"/>
        <v>2002</v>
      </c>
      <c r="AI65" s="74" cm="1">
        <f t="array" ref="AI65">IF(Uhistoric=1,J65,Uapply)</f>
        <v>0.2</v>
      </c>
      <c r="AJ65" s="75">
        <f t="shared" si="150"/>
        <v>428113.50965245813</v>
      </c>
      <c r="AK65" s="75">
        <f t="shared" si="153"/>
        <v>2638964.0620595743</v>
      </c>
      <c r="AL65" s="75">
        <f t="shared" si="157"/>
        <v>548135.1565179294</v>
      </c>
      <c r="AM65" s="75">
        <f t="shared" si="162"/>
        <v>2454.0313920386516</v>
      </c>
      <c r="AN65" s="79">
        <f t="shared" si="84"/>
        <v>3617666.7596220006</v>
      </c>
      <c r="AO65" s="80">
        <f t="shared" si="85"/>
        <v>723533.35192440019</v>
      </c>
      <c r="AP65" s="80">
        <f t="shared" si="86"/>
        <v>2894133.4076976003</v>
      </c>
      <c r="AQ65" s="81">
        <v>-0.64688128425350599</v>
      </c>
      <c r="AR65" s="81">
        <v>1.7184607398393745</v>
      </c>
      <c r="AS65" s="81">
        <f>'SR + catch data Murdoch_age var'!N54</f>
        <v>1.5819306891021079</v>
      </c>
      <c r="AT65" s="121">
        <f>'SR + catch data Murdoch_age var'!BR54</f>
        <v>0.64364080472810037</v>
      </c>
      <c r="AU65" s="122">
        <f t="shared" si="250"/>
        <v>0.84165585932684772</v>
      </c>
      <c r="AV65" s="122">
        <f t="shared" si="88"/>
        <v>-0.29827243011496107</v>
      </c>
      <c r="AW65" s="115">
        <f t="shared" si="251"/>
        <v>3573298.829219603</v>
      </c>
      <c r="AX65" s="115"/>
      <c r="AY65" s="141">
        <f t="shared" si="89"/>
        <v>7.0657623492874064E-2</v>
      </c>
      <c r="AZ65" s="141"/>
      <c r="BA65" s="84">
        <v>3160</v>
      </c>
      <c r="BB65" s="101">
        <v>2002</v>
      </c>
      <c r="BC65" s="72">
        <v>3.5750695088044487E-2</v>
      </c>
      <c r="BD65" s="72">
        <v>0.8358758109360519</v>
      </c>
      <c r="BE65" s="72">
        <v>0.11956904541241889</v>
      </c>
      <c r="BF65" s="72">
        <v>8.3410565338276187E-3</v>
      </c>
      <c r="BG65" s="72">
        <v>4.6339202965708991E-4</v>
      </c>
      <c r="BH65" s="76">
        <v>3.16</v>
      </c>
      <c r="BI65" s="76">
        <v>1.002</v>
      </c>
      <c r="BJ65" s="72">
        <f t="shared" si="215"/>
        <v>-1.1485740249361478</v>
      </c>
      <c r="BK65">
        <v>3.16</v>
      </c>
      <c r="BL65" s="120">
        <v>0.244417472</v>
      </c>
      <c r="BM65" s="125">
        <v>1.208955494</v>
      </c>
      <c r="BN65" s="4">
        <v>-0.83329344100000002</v>
      </c>
      <c r="BO65" s="98">
        <f t="shared" si="221"/>
        <v>1.1728228120291713</v>
      </c>
      <c r="BP65" s="98">
        <f t="shared" si="216"/>
        <v>0.80361759982968528</v>
      </c>
      <c r="BQ65" s="99">
        <f t="shared" si="217"/>
        <v>0.2206297477122946</v>
      </c>
      <c r="BR65" s="200">
        <v>50</v>
      </c>
      <c r="BS65" s="100">
        <v>74.91</v>
      </c>
      <c r="BT65" s="98">
        <v>0.10250000000000004</v>
      </c>
      <c r="BU65" s="98">
        <f t="shared" si="222"/>
        <v>0.10250000000000008</v>
      </c>
      <c r="BV65" s="124">
        <f t="shared" si="92"/>
        <v>0.10250000000000008</v>
      </c>
      <c r="BW65" s="100">
        <f t="shared" si="218"/>
        <v>375.15685236768832</v>
      </c>
      <c r="BX65" s="100">
        <v>3660.0668523676882</v>
      </c>
      <c r="BY65" s="99">
        <v>0.16</v>
      </c>
      <c r="BZ65" s="89">
        <f t="shared" si="277"/>
        <v>0.13511998519472337</v>
      </c>
      <c r="CA65" s="78">
        <v>2002</v>
      </c>
      <c r="CB65" s="91">
        <f t="shared" si="275"/>
        <v>0.13799999999999998</v>
      </c>
      <c r="CC65" s="97">
        <f t="shared" si="252"/>
        <v>106.3830231569401</v>
      </c>
      <c r="CD65" s="97">
        <f t="shared" si="271"/>
        <v>3415.005045774888</v>
      </c>
      <c r="CE65" s="97">
        <f t="shared" si="272"/>
        <v>526.70878709670887</v>
      </c>
      <c r="CF65" s="97">
        <f t="shared" si="273"/>
        <v>20.597622157098119</v>
      </c>
      <c r="CG65" s="97">
        <f t="shared" si="274"/>
        <v>1.1292923914904176</v>
      </c>
      <c r="CH65" s="92">
        <f t="shared" si="224"/>
        <v>4069.8237705771253</v>
      </c>
      <c r="CI65" s="200">
        <f t="shared" si="225"/>
        <v>50</v>
      </c>
      <c r="CJ65" s="93">
        <f t="shared" si="226"/>
        <v>74.91</v>
      </c>
      <c r="CK65" s="92">
        <f t="shared" si="227"/>
        <v>561.63568033964327</v>
      </c>
      <c r="CL65" s="92">
        <f t="shared" si="228"/>
        <v>686.54568033964324</v>
      </c>
      <c r="CM65" s="72">
        <f t="shared" si="229"/>
        <v>1.4252371513129252E-2</v>
      </c>
      <c r="CN65" s="128">
        <f t="shared" si="230"/>
        <v>0.16869174663115374</v>
      </c>
      <c r="CO65" s="111">
        <f t="shared" si="231"/>
        <v>3383.278090237482</v>
      </c>
      <c r="CP65" s="72">
        <f t="shared" si="232"/>
        <v>1.1728228120291713</v>
      </c>
      <c r="CQ65" s="96">
        <f t="shared" si="233"/>
        <v>1.7301533915402245</v>
      </c>
      <c r="CR65" s="92">
        <f t="shared" si="234"/>
        <v>1730.1533915402244</v>
      </c>
      <c r="CS65" s="120">
        <f t="shared" si="235"/>
        <v>-0.90461819600000004</v>
      </c>
      <c r="CT65" s="72">
        <f t="shared" si="97"/>
        <v>1.208955494</v>
      </c>
      <c r="CU65" s="72">
        <f t="shared" si="236"/>
        <v>-0.83329344100000002</v>
      </c>
      <c r="CV65" s="104">
        <f t="shared" si="237"/>
        <v>2.0510051235381948</v>
      </c>
      <c r="CW65" s="105">
        <f t="shared" si="99"/>
        <v>-0.64688128425350599</v>
      </c>
      <c r="CX65" s="105">
        <f t="shared" si="100"/>
        <v>1.7184607398393745</v>
      </c>
      <c r="CY65" s="105">
        <f t="shared" si="101"/>
        <v>1.5819306891021079</v>
      </c>
      <c r="CZ65" s="123">
        <f t="shared" si="242"/>
        <v>-0.68849257550252763</v>
      </c>
      <c r="DA65" s="81">
        <f t="shared" si="253"/>
        <v>1.140381820850968</v>
      </c>
      <c r="DB65" s="9">
        <f t="shared" si="104"/>
        <v>3573298.829219603</v>
      </c>
      <c r="DD65" s="1">
        <f t="shared" si="105"/>
        <v>0.81457934209387872</v>
      </c>
      <c r="DE65" s="114">
        <v>1114</v>
      </c>
      <c r="DF65" s="61">
        <v>2002</v>
      </c>
      <c r="DG65" s="26">
        <v>7.6142131979695434E-3</v>
      </c>
      <c r="DH65" s="26">
        <v>0.29512169725367693</v>
      </c>
      <c r="DI65" s="26">
        <v>0.6060236886632826</v>
      </c>
      <c r="DJ65" s="26">
        <v>8.8702329819081091E-2</v>
      </c>
      <c r="DK65" s="26">
        <v>2.5380710659898475E-3</v>
      </c>
      <c r="DL65" s="106">
        <v>1.1140000000000001</v>
      </c>
      <c r="DM65" s="106">
        <v>0.29899999999999999</v>
      </c>
      <c r="DN65" s="26">
        <v>-1.315268847096543</v>
      </c>
      <c r="DO65" s="76">
        <f t="shared" si="107"/>
        <v>1.1140000000000001</v>
      </c>
      <c r="DP65" s="119">
        <v>0.32863021999999997</v>
      </c>
      <c r="DQ65" s="26">
        <v>-0.67757831099999999</v>
      </c>
      <c r="DR65" s="26">
        <v>-0.229195487</v>
      </c>
      <c r="DS65" s="26">
        <v>-0.46400794000000001</v>
      </c>
      <c r="DT65" s="113" cm="1">
        <f t="array" ref="DT65">$DN$11+SUMPRODUCT(DP$11:$DS$11*DP65:DS65)</f>
        <v>0.75076951404380021</v>
      </c>
      <c r="DU65" s="76">
        <f t="shared" si="254"/>
        <v>0.75555531349403682</v>
      </c>
      <c r="DV65" s="72">
        <f t="shared" si="179"/>
        <v>-0.92700942006170139</v>
      </c>
      <c r="DW65" s="199">
        <v>25</v>
      </c>
      <c r="DX65" s="61">
        <v>8.4281868552870574</v>
      </c>
      <c r="DY65" s="26">
        <v>0.10250000000000004</v>
      </c>
      <c r="DZ65" s="98">
        <f t="shared" si="213"/>
        <v>0.10250000000000002</v>
      </c>
      <c r="EA65" s="110">
        <f t="shared" si="214"/>
        <v>0.10250000000000002</v>
      </c>
      <c r="EB65" s="100">
        <f t="shared" si="188"/>
        <v>131.04333053221944</v>
      </c>
      <c r="EC65" s="61">
        <v>1278.4715173875065</v>
      </c>
      <c r="ED65" s="99">
        <v>0.16</v>
      </c>
      <c r="EE65" s="72">
        <f t="shared" si="189"/>
        <v>1.2166222283377996E-2</v>
      </c>
      <c r="EF65" s="37">
        <v>2002</v>
      </c>
      <c r="EG65" s="110">
        <f t="shared" si="276"/>
        <v>0.13799999999999998</v>
      </c>
      <c r="EH65" s="97">
        <f t="shared" si="220"/>
        <v>20.641402956798043</v>
      </c>
      <c r="EI65" s="97">
        <f t="shared" si="238"/>
        <v>652.33373720929319</v>
      </c>
      <c r="EJ65" s="97">
        <f t="shared" si="243"/>
        <v>1519.8016929274054</v>
      </c>
      <c r="EK65" s="97">
        <f t="shared" si="246"/>
        <v>186.56445222803075</v>
      </c>
      <c r="EL65" s="97">
        <f t="shared" si="248"/>
        <v>4.4981276110338468</v>
      </c>
      <c r="EM65" s="111">
        <f t="shared" si="196"/>
        <v>2383.8394129325616</v>
      </c>
      <c r="EN65" s="200">
        <f t="shared" si="197"/>
        <v>25</v>
      </c>
      <c r="EO65" s="92">
        <f t="shared" si="198"/>
        <v>8.4281868552870574</v>
      </c>
      <c r="EP65" s="92">
        <f t="shared" si="278"/>
        <v>328.96983898469347</v>
      </c>
      <c r="EQ65" s="92">
        <f t="shared" si="239"/>
        <v>362.39802583998051</v>
      </c>
      <c r="ER65" s="128">
        <f t="shared" si="201"/>
        <v>0.15202283504246797</v>
      </c>
      <c r="ES65" s="111">
        <f t="shared" si="240"/>
        <v>2021.441387092581</v>
      </c>
      <c r="ET65" s="72">
        <f t="shared" si="203"/>
        <v>0.75076951404380021</v>
      </c>
      <c r="EU65" s="96">
        <f t="shared" si="204"/>
        <v>1.4098922920916444</v>
      </c>
      <c r="EV65" s="92">
        <f t="shared" si="205"/>
        <v>1409.8922920916443</v>
      </c>
      <c r="EW65" s="120">
        <f t="shared" si="244"/>
        <v>-0.87704872899999997</v>
      </c>
      <c r="EX65" s="9">
        <f t="shared" si="184"/>
        <v>-0.67757831099999999</v>
      </c>
      <c r="EY65" s="9">
        <f t="shared" si="185"/>
        <v>-0.229195487</v>
      </c>
      <c r="EZ65" s="9">
        <f t="shared" si="186"/>
        <v>-0.46400794000000001</v>
      </c>
      <c r="FA65" s="113" cm="1">
        <f t="array" ref="FA65">$DN$11+SUMPRODUCT($DP$11:$DS$11*EW65:EZ65)</f>
        <v>1.7065608844949098</v>
      </c>
      <c r="FB65">
        <v>2002</v>
      </c>
      <c r="FC65" s="116">
        <f t="shared" si="121"/>
        <v>2894133.4076976003</v>
      </c>
      <c r="FD65" s="116">
        <f t="shared" si="255"/>
        <v>2495441.4913855083</v>
      </c>
      <c r="FE65" s="116">
        <f t="shared" si="159"/>
        <v>3762677.3391756839</v>
      </c>
      <c r="FF65" s="116">
        <f t="shared" si="256"/>
        <v>2159930.6292869989</v>
      </c>
      <c r="FG65" s="5">
        <f t="shared" si="257"/>
        <v>335510.86209850945</v>
      </c>
      <c r="FH65" s="5">
        <f t="shared" si="155"/>
        <v>505890.08887739759</v>
      </c>
      <c r="FI65" s="155">
        <f t="shared" si="258"/>
        <v>0.13444950052194113</v>
      </c>
      <c r="FJ65" s="117">
        <f t="shared" si="127"/>
        <v>13.444950052194113</v>
      </c>
      <c r="FK65" s="61">
        <f t="shared" si="259"/>
        <v>7775.0525071201791</v>
      </c>
      <c r="FL65" s="61">
        <f t="shared" si="142"/>
        <v>320.95493748759276</v>
      </c>
      <c r="FM65" s="92">
        <f t="shared" si="128"/>
        <v>43.152231035257685</v>
      </c>
      <c r="FN65" s="72">
        <f t="shared" si="129"/>
        <v>0.13444950052194113</v>
      </c>
      <c r="FO65" s="179">
        <f t="shared" si="260"/>
        <v>1.4384077011752561</v>
      </c>
      <c r="FP65" s="92">
        <f t="shared" si="160"/>
        <v>56.218172024869006</v>
      </c>
      <c r="FQ65" s="1">
        <f t="shared" si="143"/>
        <v>0</v>
      </c>
      <c r="FR65" s="26">
        <f t="shared" si="130"/>
        <v>1.2341408827186904</v>
      </c>
      <c r="FS65">
        <f t="shared" si="261"/>
        <v>2002</v>
      </c>
      <c r="FT65" s="5">
        <f t="shared" si="241"/>
        <v>3383.278090237482</v>
      </c>
      <c r="FU65" s="214">
        <f t="shared" si="262"/>
        <v>2903.2938724872743</v>
      </c>
      <c r="FV65" s="213">
        <f t="shared" si="131"/>
        <v>1673.1603392676438</v>
      </c>
      <c r="FW65" s="5">
        <f t="shared" si="132"/>
        <v>1230.1335332196304</v>
      </c>
      <c r="FX65" s="1">
        <f t="shared" si="133"/>
        <v>0.42370272774549189</v>
      </c>
      <c r="FY65">
        <f t="shared" si="263"/>
        <v>27160.16193946814</v>
      </c>
      <c r="FZ65" s="26">
        <f t="shared" si="134"/>
        <v>4.5291833530346E-2</v>
      </c>
      <c r="GA65" s="106">
        <f t="shared" si="264"/>
        <v>1.5097277843448666E-3</v>
      </c>
      <c r="GB65" s="61">
        <f t="shared" si="135"/>
        <v>2021.441387092581</v>
      </c>
      <c r="GC65" s="61">
        <f t="shared" si="207"/>
        <v>2341.9672763035646</v>
      </c>
      <c r="GD65" s="61">
        <f t="shared" si="247"/>
        <v>4165.7404723327809</v>
      </c>
      <c r="GE65" s="61">
        <f t="shared" si="210"/>
        <v>1409.8922920916443</v>
      </c>
      <c r="GF65" s="61">
        <f t="shared" si="137"/>
        <v>932.07498421192031</v>
      </c>
      <c r="GG65" s="61">
        <f t="shared" si="245"/>
        <v>1657.9149180550935</v>
      </c>
      <c r="GH65" s="6">
        <f t="shared" si="138"/>
        <v>0.39798804775917168</v>
      </c>
      <c r="GI65">
        <f t="shared" si="265"/>
        <v>9248.6922093424037</v>
      </c>
      <c r="GJ65" s="26">
        <f t="shared" si="208"/>
        <v>0.10077911158838232</v>
      </c>
      <c r="GK65">
        <f t="shared" si="266"/>
        <v>3.3593037196127441E-3</v>
      </c>
      <c r="GL65" s="232">
        <f t="shared" si="140"/>
        <v>1.2341408827186904</v>
      </c>
      <c r="GY65">
        <v>2002</v>
      </c>
      <c r="GZ65" s="112">
        <f t="shared" si="267"/>
        <v>0.84165585932684772</v>
      </c>
      <c r="HA65" s="112">
        <f t="shared" si="268"/>
        <v>0.75076951404380021</v>
      </c>
      <c r="HB65" s="112">
        <f t="shared" si="269"/>
        <v>2.0510051235381948</v>
      </c>
    </row>
    <row r="66" spans="1:210" x14ac:dyDescent="0.35">
      <c r="A66">
        <v>2003</v>
      </c>
      <c r="D66" s="80">
        <f>'SR + catch data Murdoch_age var'!C55</f>
        <v>1494491</v>
      </c>
      <c r="E66" s="80">
        <f>'SR + catch data Murdoch_age var'!E55</f>
        <v>1321874.9421960777</v>
      </c>
      <c r="F66" s="231">
        <f t="shared" si="63"/>
        <v>-0.12273454111898989</v>
      </c>
      <c r="G66" s="80">
        <f>'SR + catch data Murdoch_age var'!D55</f>
        <v>2006286.4153176486</v>
      </c>
      <c r="H66" s="80">
        <f>'Orig data'!Q57</f>
        <v>2006286.4153176486</v>
      </c>
      <c r="I66" s="80">
        <f t="shared" si="64"/>
        <v>511795.41531764856</v>
      </c>
      <c r="J66" s="149">
        <f t="shared" si="65"/>
        <v>0.25509588830895696</v>
      </c>
      <c r="K66" s="83">
        <f>'SR + catch data Murdoch_age var'!CM55</f>
        <v>0.82856068084887169</v>
      </c>
      <c r="L66" s="83">
        <f>'SR + catch data Murdoch_age var'!CN55</f>
        <v>0.95690855040427181</v>
      </c>
      <c r="M66" s="84">
        <f>'SR + catch data Murdoch_age var'!CO55</f>
        <v>1632918.8765634715</v>
      </c>
      <c r="N66" s="81">
        <f t="shared" si="66"/>
        <v>-0.21131799568219398</v>
      </c>
      <c r="O66" s="88">
        <f t="shared" si="67"/>
        <v>2003</v>
      </c>
      <c r="P66" s="81">
        <f>'Orig data'!CN57</f>
        <v>2.7616279069767442E-2</v>
      </c>
      <c r="Q66" s="81">
        <f>'Orig data'!CO57</f>
        <v>0.90988372093023251</v>
      </c>
      <c r="R66" s="81">
        <f>'Orig data'!CP57</f>
        <v>6.1046511627906974E-2</v>
      </c>
      <c r="S66" s="85">
        <f>'Orig data'!CQ57</f>
        <v>1.4534883720930232E-3</v>
      </c>
      <c r="T66" s="80">
        <f t="shared" si="144"/>
        <v>55406.165539295529</v>
      </c>
      <c r="U66" s="80">
        <f t="shared" si="145"/>
        <v>1825487.348821</v>
      </c>
      <c r="V66" s="80">
        <f t="shared" si="146"/>
        <v>122476.78698160063</v>
      </c>
      <c r="W66" s="80">
        <f t="shared" si="147"/>
        <v>2916.1139757523961</v>
      </c>
      <c r="X66" s="79">
        <f t="shared" si="73"/>
        <v>2003</v>
      </c>
      <c r="Y66" s="79">
        <f t="shared" si="149"/>
        <v>63033.768783054002</v>
      </c>
      <c r="Z66" s="79">
        <f t="shared" si="152"/>
        <v>2800641.7018705653</v>
      </c>
      <c r="AA66" s="79">
        <f t="shared" si="156"/>
        <v>155260.81500137469</v>
      </c>
      <c r="AB66" s="79">
        <f t="shared" si="161"/>
        <v>4398.3205873481929</v>
      </c>
      <c r="AC66" s="80">
        <f t="shared" si="78"/>
        <v>3023334.6062423419</v>
      </c>
      <c r="AD66" s="84">
        <f t="shared" si="79"/>
        <v>-1017048.1909246934</v>
      </c>
      <c r="AE66" s="80">
        <f t="shared" si="80"/>
        <v>511795.41531764856</v>
      </c>
      <c r="AF66" s="72">
        <f t="shared" si="81"/>
        <v>0.16928176400353898</v>
      </c>
      <c r="AG66" s="26">
        <f t="shared" si="82"/>
        <v>-8.5814124305417988E-2</v>
      </c>
      <c r="AH66" s="61">
        <f t="shared" si="249"/>
        <v>2003</v>
      </c>
      <c r="AI66" s="74" cm="1">
        <f t="array" ref="AI66">IF(Uhistoric=1,J66,Uapply)</f>
        <v>0.2</v>
      </c>
      <c r="AJ66" s="75">
        <f t="shared" si="150"/>
        <v>118471.28987438921</v>
      </c>
      <c r="AK66" s="75">
        <f t="shared" si="153"/>
        <v>3626429.3956192345</v>
      </c>
      <c r="AL66" s="75">
        <f t="shared" si="157"/>
        <v>212167.85750836771</v>
      </c>
      <c r="AM66" s="75">
        <f t="shared" si="162"/>
        <v>6043.1734780045526</v>
      </c>
      <c r="AN66" s="79">
        <f t="shared" si="84"/>
        <v>3963111.7164799962</v>
      </c>
      <c r="AO66" s="80">
        <f t="shared" si="85"/>
        <v>792622.34329599934</v>
      </c>
      <c r="AP66" s="80">
        <f t="shared" si="86"/>
        <v>3170489.3731839969</v>
      </c>
      <c r="AQ66" s="81">
        <v>-1.2814503982605907</v>
      </c>
      <c r="AR66" s="81">
        <v>0.35941662532588237</v>
      </c>
      <c r="AS66" s="81">
        <f>'SR + catch data Murdoch_age var'!N55</f>
        <v>-9.7199897240465086E-2</v>
      </c>
      <c r="AT66" s="121">
        <f>'SR + catch data Murdoch_age var'!BR55</f>
        <v>0.61044746962364571</v>
      </c>
      <c r="AU66" s="122">
        <f t="shared" si="250"/>
        <v>0.82856068084887169</v>
      </c>
      <c r="AV66" s="122">
        <f t="shared" si="88"/>
        <v>8.8583454563204045E-2</v>
      </c>
      <c r="AW66" s="115">
        <f t="shared" si="251"/>
        <v>1636542.3887012061</v>
      </c>
      <c r="AX66" s="115"/>
      <c r="AY66" s="141">
        <f t="shared" si="89"/>
        <v>0.78874033923392051</v>
      </c>
      <c r="AZ66" s="141"/>
      <c r="BA66" s="84">
        <v>1480</v>
      </c>
      <c r="BB66" s="101">
        <v>2003</v>
      </c>
      <c r="BC66" s="72">
        <v>3.5750695088044487E-2</v>
      </c>
      <c r="BD66" s="72">
        <v>0.8358758109360519</v>
      </c>
      <c r="BE66" s="72">
        <v>0.11956904541241889</v>
      </c>
      <c r="BF66" s="72">
        <v>8.3410565338276187E-3</v>
      </c>
      <c r="BG66" s="72">
        <v>4.6339202965708991E-4</v>
      </c>
      <c r="BH66" s="76">
        <v>1.48</v>
      </c>
      <c r="BI66" s="76">
        <v>1.3049999999999999</v>
      </c>
      <c r="BJ66" s="72">
        <f t="shared" si="215"/>
        <v>-0.12583904700136705</v>
      </c>
      <c r="BK66">
        <v>1.48</v>
      </c>
      <c r="BL66" s="120">
        <v>0.32863021999999997</v>
      </c>
      <c r="BM66" s="125">
        <v>0.95703736299999997</v>
      </c>
      <c r="BN66" s="4">
        <v>-0.229195487</v>
      </c>
      <c r="BO66" s="98">
        <f t="shared" si="221"/>
        <v>1.135434064802775</v>
      </c>
      <c r="BP66" s="98">
        <f t="shared" si="216"/>
        <v>1.4006084362070901</v>
      </c>
      <c r="BQ66" s="99">
        <f t="shared" si="217"/>
        <v>-7.0703698727284839E-2</v>
      </c>
      <c r="BR66" s="200">
        <v>50</v>
      </c>
      <c r="BS66" s="100">
        <v>34.379999999999995</v>
      </c>
      <c r="BT66" s="98">
        <v>0.13850000000000007</v>
      </c>
      <c r="BU66" s="98">
        <f t="shared" si="222"/>
        <v>0.13850000000000012</v>
      </c>
      <c r="BV66" s="125">
        <f>BU66</f>
        <v>0.13850000000000012</v>
      </c>
      <c r="BW66" s="100">
        <f t="shared" si="218"/>
        <v>251.49928032501475</v>
      </c>
      <c r="BX66" s="100">
        <v>1815.8792803250146</v>
      </c>
      <c r="BY66" s="99">
        <v>0.18</v>
      </c>
      <c r="BZ66" s="89">
        <f t="shared" si="277"/>
        <v>0.14013815966908605</v>
      </c>
      <c r="CA66" s="78">
        <v>2003</v>
      </c>
      <c r="CB66" s="91">
        <f t="shared" si="275"/>
        <v>0.13799999999999998</v>
      </c>
      <c r="CC66" s="97">
        <f t="shared" si="252"/>
        <v>155.34415085955365</v>
      </c>
      <c r="CD66" s="97">
        <f t="shared" si="271"/>
        <v>2487.3081637193995</v>
      </c>
      <c r="CE66" s="97">
        <f t="shared" si="272"/>
        <v>488.50425871832789</v>
      </c>
      <c r="CF66" s="97">
        <f t="shared" si="273"/>
        <v>36.74285225648476</v>
      </c>
      <c r="CG66" s="97">
        <f t="shared" si="274"/>
        <v>1.1443123420610066</v>
      </c>
      <c r="CH66" s="92">
        <f t="shared" si="224"/>
        <v>3169.0437378958268</v>
      </c>
      <c r="CI66" s="200">
        <f t="shared" si="225"/>
        <v>50</v>
      </c>
      <c r="CJ66" s="93">
        <f t="shared" si="226"/>
        <v>34.379999999999995</v>
      </c>
      <c r="CK66" s="92">
        <f t="shared" si="227"/>
        <v>437.32803582962407</v>
      </c>
      <c r="CL66" s="92">
        <f t="shared" si="228"/>
        <v>521.70803582962412</v>
      </c>
      <c r="CM66" s="72">
        <f t="shared" si="229"/>
        <v>1.8303515245814646E-2</v>
      </c>
      <c r="CN66" s="128">
        <f t="shared" si="230"/>
        <v>0.16462632862745732</v>
      </c>
      <c r="CO66" s="111">
        <f t="shared" si="231"/>
        <v>2647.3357020662024</v>
      </c>
      <c r="CP66" s="72">
        <f t="shared" si="232"/>
        <v>1.135434064802775</v>
      </c>
      <c r="CQ66" s="96">
        <f t="shared" si="233"/>
        <v>2.5140940066548625</v>
      </c>
      <c r="CR66" s="92">
        <f t="shared" si="234"/>
        <v>2514.0940066548624</v>
      </c>
      <c r="CS66" s="120">
        <f t="shared" si="235"/>
        <v>-0.90461819600000004</v>
      </c>
      <c r="CT66" s="72">
        <f t="shared" si="97"/>
        <v>0.95703736299999997</v>
      </c>
      <c r="CU66" s="72">
        <f t="shared" si="236"/>
        <v>-0.229195487</v>
      </c>
      <c r="CV66" s="104">
        <f t="shared" si="237"/>
        <v>2.0779782997548635</v>
      </c>
      <c r="CW66" s="105">
        <f t="shared" si="99"/>
        <v>-1.2814503982605907</v>
      </c>
      <c r="CX66" s="105">
        <f t="shared" si="100"/>
        <v>0.35941662532588237</v>
      </c>
      <c r="CY66" s="105">
        <f t="shared" si="101"/>
        <v>-9.7199897240465086E-2</v>
      </c>
      <c r="CZ66" s="123">
        <f t="shared" si="242"/>
        <v>-0.68849257550252763</v>
      </c>
      <c r="DA66" s="81">
        <f t="shared" si="253"/>
        <v>1.1198431602919754</v>
      </c>
      <c r="DB66" s="9">
        <f t="shared" si="104"/>
        <v>1636542.3887012061</v>
      </c>
      <c r="DD66" s="1">
        <f t="shared" si="105"/>
        <v>1.2037374596232315</v>
      </c>
      <c r="DE66" s="114">
        <v>917</v>
      </c>
      <c r="DF66" s="61">
        <v>2003</v>
      </c>
      <c r="DG66" s="26">
        <v>7.6142131979695434E-3</v>
      </c>
      <c r="DH66" s="26">
        <v>0.29512169725367693</v>
      </c>
      <c r="DI66" s="26">
        <v>0.6060236886632826</v>
      </c>
      <c r="DJ66" s="26">
        <v>8.8702329819081091E-2</v>
      </c>
      <c r="DK66" s="26">
        <v>2.5380710659898475E-3</v>
      </c>
      <c r="DL66" s="106">
        <v>0.91700000000000004</v>
      </c>
      <c r="DM66" s="106">
        <v>0.33100000000000002</v>
      </c>
      <c r="DN66" s="26">
        <v>-1.018989096879402</v>
      </c>
      <c r="DO66" s="76">
        <f t="shared" si="107"/>
        <v>0.91700000000000004</v>
      </c>
      <c r="DP66" s="119">
        <v>0.41779522499999999</v>
      </c>
      <c r="DQ66" s="26">
        <v>-0.60482184500000002</v>
      </c>
      <c r="DR66" s="26">
        <v>0.50603151300000004</v>
      </c>
      <c r="DS66" s="26">
        <v>-1.0144464339999999</v>
      </c>
      <c r="DT66" s="113" cm="1">
        <f t="array" ref="DT66">$DN$11+SUMPRODUCT(DP$11:$DS$11*DP66:DS66)</f>
        <v>0.67133857791094298</v>
      </c>
      <c r="DU66" s="76">
        <f t="shared" si="254"/>
        <v>0.70263899017528841</v>
      </c>
      <c r="DV66" s="72">
        <f t="shared" si="179"/>
        <v>-0.7527248570442816</v>
      </c>
      <c r="DW66" s="199">
        <v>25</v>
      </c>
      <c r="DX66" s="61">
        <v>8.0310076622179789</v>
      </c>
      <c r="DY66" s="26">
        <v>0.13850000000000007</v>
      </c>
      <c r="DZ66" s="98">
        <f t="shared" si="213"/>
        <v>0.13850000000000001</v>
      </c>
      <c r="EA66" s="110">
        <f t="shared" si="214"/>
        <v>0.13850000000000001</v>
      </c>
      <c r="EB66" s="100">
        <f t="shared" si="188"/>
        <v>152.73278532932932</v>
      </c>
      <c r="EC66" s="61">
        <v>1102.7637929915472</v>
      </c>
      <c r="ED66" s="99">
        <v>0.18</v>
      </c>
      <c r="EE66" s="72">
        <f t="shared" si="189"/>
        <v>1.2172212907564629E-2</v>
      </c>
      <c r="EF66" s="37">
        <v>2003</v>
      </c>
      <c r="EG66" s="110">
        <f t="shared" si="276"/>
        <v>0.13799999999999998</v>
      </c>
      <c r="EH66" s="97">
        <f t="shared" si="220"/>
        <v>15.283261775440865</v>
      </c>
      <c r="EI66" s="97">
        <f t="shared" si="238"/>
        <v>800.04666482569246</v>
      </c>
      <c r="EJ66" s="97">
        <f t="shared" si="243"/>
        <v>1339.5480621787963</v>
      </c>
      <c r="EK66" s="97">
        <f t="shared" si="246"/>
        <v>222.44996944425927</v>
      </c>
      <c r="EL66" s="97">
        <f t="shared" si="248"/>
        <v>5.3382345098262647</v>
      </c>
      <c r="EM66" s="111">
        <f t="shared" si="196"/>
        <v>2382.6661927340151</v>
      </c>
      <c r="EN66" s="200">
        <f t="shared" si="197"/>
        <v>25</v>
      </c>
      <c r="EO66" s="92">
        <f t="shared" si="198"/>
        <v>8.0310076622179789</v>
      </c>
      <c r="EP66" s="92">
        <f t="shared" si="278"/>
        <v>328.80793459729404</v>
      </c>
      <c r="EQ66" s="92">
        <f t="shared" si="239"/>
        <v>361.83894225951201</v>
      </c>
      <c r="ER66" s="128">
        <f t="shared" si="201"/>
        <v>0.15186304458549277</v>
      </c>
      <c r="ES66" s="111">
        <f t="shared" si="240"/>
        <v>2020.8272504745032</v>
      </c>
      <c r="ET66" s="72">
        <f t="shared" si="203"/>
        <v>0.67133857791094298</v>
      </c>
      <c r="EU66" s="96">
        <f t="shared" si="204"/>
        <v>1.398067920600671</v>
      </c>
      <c r="EV66" s="92">
        <f t="shared" si="205"/>
        <v>1398.067920600671</v>
      </c>
      <c r="EW66" s="120">
        <f t="shared" si="244"/>
        <v>-0.87704872899999997</v>
      </c>
      <c r="EX66" s="9">
        <f t="shared" si="184"/>
        <v>-0.60482184500000002</v>
      </c>
      <c r="EY66" s="9">
        <f t="shared" si="185"/>
        <v>0.50603151300000004</v>
      </c>
      <c r="EZ66" s="9">
        <f t="shared" si="186"/>
        <v>-1.0144464339999999</v>
      </c>
      <c r="FA66" s="113" cm="1">
        <f t="array" ref="FA66">$DN$11+SUMPRODUCT($DP$11:$DS$11*EW66:EZ66)</f>
        <v>1.6978147209509038</v>
      </c>
      <c r="FB66">
        <v>2003</v>
      </c>
      <c r="FC66" s="116">
        <f t="shared" si="121"/>
        <v>3170489.3731839969</v>
      </c>
      <c r="FD66" s="116">
        <f t="shared" si="255"/>
        <v>2335657.1150440336</v>
      </c>
      <c r="FE66" s="116">
        <f t="shared" si="159"/>
        <v>3963111.7164799962</v>
      </c>
      <c r="FF66" s="116">
        <f t="shared" si="256"/>
        <v>2021629.1825358449</v>
      </c>
      <c r="FG66" s="5">
        <f t="shared" si="257"/>
        <v>314027.93250818877</v>
      </c>
      <c r="FH66" s="5">
        <f t="shared" si="155"/>
        <v>512700.58343232237</v>
      </c>
      <c r="FI66" s="155">
        <f t="shared" si="258"/>
        <v>0.13444950052194132</v>
      </c>
      <c r="FJ66" s="117">
        <f t="shared" si="127"/>
        <v>13.444950052194132</v>
      </c>
      <c r="FK66" s="61">
        <f t="shared" si="259"/>
        <v>7775.0525071201791</v>
      </c>
      <c r="FL66" s="61">
        <f t="shared" si="142"/>
        <v>300.40403108597701</v>
      </c>
      <c r="FM66" s="92">
        <f t="shared" si="128"/>
        <v>40.38917193428734</v>
      </c>
      <c r="FN66" s="72">
        <f t="shared" si="129"/>
        <v>0.13444950052194132</v>
      </c>
      <c r="FO66" s="179">
        <f t="shared" si="260"/>
        <v>1.3463057311429114</v>
      </c>
      <c r="FP66" s="92">
        <f t="shared" si="160"/>
        <v>55.93557555748253</v>
      </c>
      <c r="FQ66" s="1">
        <f t="shared" si="143"/>
        <v>0</v>
      </c>
      <c r="FR66" s="26">
        <f t="shared" si="130"/>
        <v>1.2341408827186904</v>
      </c>
      <c r="FS66">
        <f t="shared" si="261"/>
        <v>2003</v>
      </c>
      <c r="FT66" s="5">
        <f t="shared" si="241"/>
        <v>2647.3357020662024</v>
      </c>
      <c r="FU66" s="214">
        <f t="shared" si="262"/>
        <v>4322.4881985197699</v>
      </c>
      <c r="FV66" s="213">
        <f t="shared" si="131"/>
        <v>2491.0381581592455</v>
      </c>
      <c r="FW66" s="5">
        <f t="shared" si="132"/>
        <v>1831.4500403605243</v>
      </c>
      <c r="FX66" s="1">
        <f t="shared" si="133"/>
        <v>0.423702727745492</v>
      </c>
      <c r="FY66">
        <f t="shared" si="263"/>
        <v>28383.182427571097</v>
      </c>
      <c r="FZ66" s="26">
        <f t="shared" si="134"/>
        <v>6.4525887646110988E-2</v>
      </c>
      <c r="GA66" s="106">
        <f t="shared" si="264"/>
        <v>2.1508629215370328E-3</v>
      </c>
      <c r="GB66" s="61">
        <f t="shared" si="135"/>
        <v>2020.8272504745032</v>
      </c>
      <c r="GC66" s="61">
        <f t="shared" si="207"/>
        <v>2322.3258531607844</v>
      </c>
      <c r="GD66" s="61">
        <f t="shared" si="247"/>
        <v>3671.6695363752983</v>
      </c>
      <c r="GE66" s="61">
        <f t="shared" si="210"/>
        <v>1398.067920600671</v>
      </c>
      <c r="GF66" s="61">
        <f t="shared" si="137"/>
        <v>924.25793256011343</v>
      </c>
      <c r="GG66" s="61">
        <f t="shared" si="245"/>
        <v>1461.2805907988286</v>
      </c>
      <c r="GH66" s="6">
        <f t="shared" si="138"/>
        <v>0.39798804775917168</v>
      </c>
      <c r="GI66">
        <f t="shared" si="265"/>
        <v>9248.6922093424037</v>
      </c>
      <c r="GJ66" s="26">
        <f t="shared" si="208"/>
        <v>9.9933905425730413E-2</v>
      </c>
      <c r="GK66">
        <f t="shared" si="266"/>
        <v>3.3311301808576802E-3</v>
      </c>
      <c r="GL66" s="232">
        <f t="shared" si="140"/>
        <v>1.2341408827186904</v>
      </c>
      <c r="GY66">
        <v>2003</v>
      </c>
      <c r="GZ66" s="112">
        <f t="shared" si="267"/>
        <v>0.82856068084887169</v>
      </c>
      <c r="HA66" s="112">
        <f t="shared" si="268"/>
        <v>0.67133857791094298</v>
      </c>
      <c r="HB66" s="112">
        <f t="shared" si="269"/>
        <v>2.0779782997548635</v>
      </c>
    </row>
    <row r="67" spans="1:210" x14ac:dyDescent="0.35">
      <c r="A67">
        <v>2004</v>
      </c>
      <c r="D67" s="80">
        <f>'SR + catch data Murdoch_age var'!C56</f>
        <v>2716634</v>
      </c>
      <c r="E67" s="80">
        <f>'SR + catch data Murdoch_age var'!E56</f>
        <v>1274857.4320357505</v>
      </c>
      <c r="F67" s="231">
        <f t="shared" si="63"/>
        <v>-0.75655925962537551</v>
      </c>
      <c r="G67" s="80">
        <f>'SR + catch data Murdoch_age var'!D56</f>
        <v>3352861.1030926574</v>
      </c>
      <c r="H67" s="80">
        <f>'Orig data'!Q58</f>
        <v>3352861.1030926574</v>
      </c>
      <c r="I67" s="80">
        <f t="shared" si="64"/>
        <v>636227.1030926574</v>
      </c>
      <c r="J67" s="149">
        <f t="shared" si="65"/>
        <v>0.18975647470329315</v>
      </c>
      <c r="K67" s="83">
        <f>'SR + catch data Murdoch_age var'!CM56</f>
        <v>0.61216385913785776</v>
      </c>
      <c r="L67" s="83">
        <f>'SR + catch data Murdoch_age var'!CN56</f>
        <v>0.90333859386053172</v>
      </c>
      <c r="M67" s="84">
        <f>'SR + catch data Murdoch_age var'!CO56</f>
        <v>1305325.5711107282</v>
      </c>
      <c r="N67" s="81">
        <f t="shared" si="66"/>
        <v>-2.3618135090974043E-2</v>
      </c>
      <c r="O67" s="88">
        <f t="shared" si="67"/>
        <v>2004</v>
      </c>
      <c r="P67" s="81">
        <f>'Orig data'!CN58</f>
        <v>0.14000000000000001</v>
      </c>
      <c r="Q67" s="81">
        <f>'Orig data'!CO58</f>
        <v>0.57466666666666666</v>
      </c>
      <c r="R67" s="81">
        <f>'Orig data'!CP58</f>
        <v>0.28399999999999997</v>
      </c>
      <c r="S67" s="85">
        <f>'Orig data'!CQ58</f>
        <v>1.3333333333333333E-3</v>
      </c>
      <c r="T67" s="80">
        <f t="shared" si="144"/>
        <v>469400.5544329721</v>
      </c>
      <c r="U67" s="80">
        <f t="shared" si="145"/>
        <v>1926777.5139105804</v>
      </c>
      <c r="V67" s="80">
        <f t="shared" si="146"/>
        <v>952212.55327831465</v>
      </c>
      <c r="W67" s="80">
        <f t="shared" si="147"/>
        <v>4470.4814707902096</v>
      </c>
      <c r="X67" s="79">
        <f t="shared" si="73"/>
        <v>2004</v>
      </c>
      <c r="Y67" s="79">
        <f t="shared" si="149"/>
        <v>261612.69102850155</v>
      </c>
      <c r="Z67" s="79">
        <f t="shared" si="152"/>
        <v>1311668.588750978</v>
      </c>
      <c r="AA67" s="79">
        <f t="shared" si="156"/>
        <v>874158.12046628364</v>
      </c>
      <c r="AB67" s="79">
        <f t="shared" si="161"/>
        <v>3391.0933562205009</v>
      </c>
      <c r="AC67" s="80">
        <f t="shared" si="78"/>
        <v>2450830.4936019839</v>
      </c>
      <c r="AD67" s="84">
        <f t="shared" si="79"/>
        <v>902030.60949067352</v>
      </c>
      <c r="AE67" s="80">
        <f t="shared" si="80"/>
        <v>636227.1030926574</v>
      </c>
      <c r="AF67" s="72">
        <f t="shared" si="81"/>
        <v>0.25959653462512411</v>
      </c>
      <c r="AG67" s="26">
        <f t="shared" si="82"/>
        <v>6.9840059921830955E-2</v>
      </c>
      <c r="AH67" s="61">
        <f t="shared" si="249"/>
        <v>2004</v>
      </c>
      <c r="AI67" s="74" cm="1">
        <f t="array" ref="AI67">IF(Uhistoric=1,J67,Uapply)</f>
        <v>0.2</v>
      </c>
      <c r="AJ67" s="75">
        <f t="shared" si="150"/>
        <v>352129.30168218887</v>
      </c>
      <c r="AK67" s="75">
        <f t="shared" si="153"/>
        <v>2465266.992552483</v>
      </c>
      <c r="AL67" s="75">
        <f t="shared" si="157"/>
        <v>1131909.4128895104</v>
      </c>
      <c r="AM67" s="75">
        <f t="shared" si="162"/>
        <v>4634.0154274843489</v>
      </c>
      <c r="AN67" s="79">
        <f t="shared" si="84"/>
        <v>3953939.7225516662</v>
      </c>
      <c r="AO67" s="80">
        <f t="shared" si="85"/>
        <v>790787.94451033324</v>
      </c>
      <c r="AP67" s="80">
        <f t="shared" si="86"/>
        <v>3163151.778041333</v>
      </c>
      <c r="AQ67" s="81">
        <v>-1.4954199035695033</v>
      </c>
      <c r="AR67" s="81">
        <v>-1.4938253490106983</v>
      </c>
      <c r="AS67" s="81">
        <f>'SR + catch data Murdoch_age var'!N56</f>
        <v>-9.9183568612719823E-3</v>
      </c>
      <c r="AT67" s="121">
        <f>'SR + catch data Murdoch_age var'!BR56</f>
        <v>0.59745259138363493</v>
      </c>
      <c r="AU67" s="122">
        <f t="shared" si="250"/>
        <v>0.61216385913785776</v>
      </c>
      <c r="AV67" s="122">
        <f t="shared" si="88"/>
        <v>-0.73294112453440152</v>
      </c>
      <c r="AW67" s="115">
        <f t="shared" si="251"/>
        <v>1587706.9265600375</v>
      </c>
      <c r="AX67" s="115"/>
      <c r="AY67" s="141">
        <f t="shared" si="89"/>
        <v>2.6934927855833286</v>
      </c>
      <c r="AZ67" s="141"/>
      <c r="BA67" s="84">
        <v>950</v>
      </c>
      <c r="BB67" s="101">
        <v>2004</v>
      </c>
      <c r="BC67" s="72">
        <v>3.5750695088044487E-2</v>
      </c>
      <c r="BD67" s="72">
        <v>0.8358758109360519</v>
      </c>
      <c r="BE67" s="72">
        <v>0.11956904541241889</v>
      </c>
      <c r="BF67" s="72">
        <v>8.3410565338276187E-3</v>
      </c>
      <c r="BG67" s="72">
        <v>4.6339202965708991E-4</v>
      </c>
      <c r="BH67" s="76">
        <v>0.95</v>
      </c>
      <c r="BI67" s="76">
        <v>0.88500000000000001</v>
      </c>
      <c r="BJ67" s="72">
        <f t="shared" si="215"/>
        <v>-7.0874339586656995E-2</v>
      </c>
      <c r="BK67">
        <v>0.95</v>
      </c>
      <c r="BL67" s="120">
        <v>0.41779522499999999</v>
      </c>
      <c r="BM67" s="125">
        <v>-0.67757831099999999</v>
      </c>
      <c r="BN67" s="4">
        <v>0.50603151300000004</v>
      </c>
      <c r="BO67" s="98">
        <f t="shared" si="221"/>
        <v>1.3703173522292236</v>
      </c>
      <c r="BP67" s="98">
        <f t="shared" si="216"/>
        <v>1.7416051793779772</v>
      </c>
      <c r="BQ67" s="99">
        <f t="shared" si="217"/>
        <v>-0.67697483882735732</v>
      </c>
      <c r="BR67" s="200">
        <v>50</v>
      </c>
      <c r="BS67" s="100">
        <v>13.799999999999999</v>
      </c>
      <c r="BT67" s="98">
        <v>0.14549999999999996</v>
      </c>
      <c r="BU67" s="98">
        <f t="shared" si="222"/>
        <v>0.14549999999999985</v>
      </c>
      <c r="BV67" s="124">
        <f t="shared" si="92"/>
        <v>0.14549999999999985</v>
      </c>
      <c r="BW67" s="100">
        <f t="shared" si="218"/>
        <v>172.62480983030991</v>
      </c>
      <c r="BX67" s="100">
        <v>1186.4248098303099</v>
      </c>
      <c r="BY67" s="99">
        <v>0.2</v>
      </c>
      <c r="BZ67" s="89">
        <f t="shared" si="277"/>
        <v>0.14478478615121279</v>
      </c>
      <c r="CA67" s="78">
        <v>2004</v>
      </c>
      <c r="CB67" s="91">
        <f t="shared" si="275"/>
        <v>0.13799999999999998</v>
      </c>
      <c r="CC67" s="97">
        <f t="shared" si="252"/>
        <v>120.59611382810067</v>
      </c>
      <c r="CD67" s="97">
        <f t="shared" si="271"/>
        <v>3632.0529644002595</v>
      </c>
      <c r="CE67" s="97">
        <f t="shared" si="272"/>
        <v>355.80053746189566</v>
      </c>
      <c r="CF67" s="97">
        <f t="shared" si="273"/>
        <v>34.077729941983122</v>
      </c>
      <c r="CG67" s="97">
        <f t="shared" si="274"/>
        <v>2.0412695698047085</v>
      </c>
      <c r="CH67" s="92">
        <f t="shared" si="224"/>
        <v>4144.5686152020444</v>
      </c>
      <c r="CI67" s="200">
        <f t="shared" si="225"/>
        <v>50</v>
      </c>
      <c r="CJ67" s="93">
        <f t="shared" si="226"/>
        <v>13.799999999999999</v>
      </c>
      <c r="CK67" s="92">
        <f t="shared" si="227"/>
        <v>571.95046889788205</v>
      </c>
      <c r="CL67" s="92">
        <f t="shared" si="228"/>
        <v>635.750468897882</v>
      </c>
      <c r="CM67" s="72">
        <f t="shared" si="229"/>
        <v>1.3995338419171527E-2</v>
      </c>
      <c r="CN67" s="128">
        <f t="shared" si="230"/>
        <v>0.15339364067130776</v>
      </c>
      <c r="CO67" s="111">
        <f t="shared" si="231"/>
        <v>3508.8181463041624</v>
      </c>
      <c r="CP67" s="72">
        <f t="shared" si="232"/>
        <v>1.3703173522292236</v>
      </c>
      <c r="CQ67" s="96">
        <f t="shared" si="233"/>
        <v>2.2561464499593566</v>
      </c>
      <c r="CR67" s="92">
        <f t="shared" si="234"/>
        <v>2256.1464499593567</v>
      </c>
      <c r="CS67" s="120">
        <f t="shared" si="235"/>
        <v>-0.90461819600000004</v>
      </c>
      <c r="CT67" s="72">
        <f t="shared" si="97"/>
        <v>-0.67757831099999999</v>
      </c>
      <c r="CU67" s="72">
        <f t="shared" si="236"/>
        <v>0.50603151300000004</v>
      </c>
      <c r="CV67" s="104">
        <f t="shared" si="237"/>
        <v>2.3810084101018809</v>
      </c>
      <c r="CW67" s="105">
        <f t="shared" si="99"/>
        <v>-1.4954199035695033</v>
      </c>
      <c r="CX67" s="105">
        <f t="shared" si="100"/>
        <v>-1.4938253490106983</v>
      </c>
      <c r="CY67" s="105">
        <f t="shared" si="101"/>
        <v>-9.9183568612719823E-3</v>
      </c>
      <c r="CZ67" s="123">
        <f t="shared" si="242"/>
        <v>-0.68849257550252763</v>
      </c>
      <c r="DA67" s="81">
        <f t="shared" si="253"/>
        <v>0.90053228541275399</v>
      </c>
      <c r="DB67" s="9">
        <f t="shared" si="104"/>
        <v>1587706.9265600375</v>
      </c>
      <c r="DD67" s="1">
        <f t="shared" si="105"/>
        <v>7.1709438638460368</v>
      </c>
      <c r="DE67" s="114">
        <v>254</v>
      </c>
      <c r="DF67" s="61">
        <v>2004</v>
      </c>
      <c r="DG67" s="26">
        <v>7.6142131979695434E-3</v>
      </c>
      <c r="DH67" s="26">
        <v>0.29512169725367693</v>
      </c>
      <c r="DI67" s="26">
        <v>0.6060236886632826</v>
      </c>
      <c r="DJ67" s="26">
        <v>8.8702329819081091E-2</v>
      </c>
      <c r="DK67" s="26">
        <v>2.5380710659898475E-3</v>
      </c>
      <c r="DL67" s="106">
        <v>0.254</v>
      </c>
      <c r="DM67" s="106">
        <v>0.27600000000000002</v>
      </c>
      <c r="DN67" s="26">
        <v>8.3066598698613478E-2</v>
      </c>
      <c r="DO67" s="76">
        <f t="shared" si="107"/>
        <v>0.254</v>
      </c>
      <c r="DP67" s="119">
        <v>0.51231053699999995</v>
      </c>
      <c r="DQ67" s="26">
        <v>-1.394178981</v>
      </c>
      <c r="DR67" s="26">
        <v>1.452873665</v>
      </c>
      <c r="DS67" s="26">
        <v>-1.404828346</v>
      </c>
      <c r="DT67" s="113" cm="1">
        <f t="array" ref="DT67">$DN$11+SUMPRODUCT(DP$11:$DS$11*DP67:DS67)</f>
        <v>0.76269461989779674</v>
      </c>
      <c r="DU67" s="76">
        <f t="shared" si="254"/>
        <v>0.42002830783334028</v>
      </c>
      <c r="DV67" s="72">
        <f t="shared" si="179"/>
        <v>-0.41992124289220384</v>
      </c>
      <c r="DW67" s="199">
        <v>25</v>
      </c>
      <c r="DX67" s="61">
        <v>11.057976970829149</v>
      </c>
      <c r="DY67" s="26">
        <v>0.14549999999999996</v>
      </c>
      <c r="DZ67" s="98">
        <f t="shared" si="213"/>
        <v>0.14549999999999985</v>
      </c>
      <c r="EA67" s="110">
        <f t="shared" si="214"/>
        <v>0.14549999999999985</v>
      </c>
      <c r="EB67" s="100">
        <f t="shared" si="188"/>
        <v>49.389626271802911</v>
      </c>
      <c r="EC67" s="61">
        <v>339.44760324263206</v>
      </c>
      <c r="ED67" s="99">
        <v>0.2</v>
      </c>
      <c r="EE67" s="72">
        <f t="shared" si="189"/>
        <v>1.1840049166651613E-2</v>
      </c>
      <c r="EF67" s="37">
        <v>2004</v>
      </c>
      <c r="EG67" s="110">
        <f t="shared" si="276"/>
        <v>0.13799999999999998</v>
      </c>
      <c r="EH67" s="97">
        <f t="shared" si="220"/>
        <v>11.837452835755542</v>
      </c>
      <c r="EI67" s="97">
        <f t="shared" si="238"/>
        <v>592.36877632256619</v>
      </c>
      <c r="EJ67" s="97">
        <f t="shared" si="243"/>
        <v>1642.8721962237305</v>
      </c>
      <c r="EK67" s="97">
        <f t="shared" si="246"/>
        <v>196.06664927897495</v>
      </c>
      <c r="EL67" s="97">
        <f t="shared" si="248"/>
        <v>6.3650394778621502</v>
      </c>
      <c r="EM67" s="111">
        <f t="shared" si="196"/>
        <v>2449.5101141388891</v>
      </c>
      <c r="EN67" s="200">
        <f t="shared" si="197"/>
        <v>25</v>
      </c>
      <c r="EO67" s="92">
        <f t="shared" si="198"/>
        <v>11.057976970829149</v>
      </c>
      <c r="EP67" s="92">
        <f t="shared" si="278"/>
        <v>338.03239575116663</v>
      </c>
      <c r="EQ67" s="92">
        <f t="shared" si="239"/>
        <v>374.09037272199578</v>
      </c>
      <c r="ER67" s="128">
        <f t="shared" si="201"/>
        <v>0.15272048503196528</v>
      </c>
      <c r="ES67" s="111">
        <f t="shared" si="240"/>
        <v>2075.4197414168934</v>
      </c>
      <c r="ET67" s="72">
        <f t="shared" si="203"/>
        <v>0.76269461989779674</v>
      </c>
      <c r="EU67" s="96">
        <f t="shared" si="204"/>
        <v>1.6035354630422809</v>
      </c>
      <c r="EV67" s="92">
        <f t="shared" si="205"/>
        <v>1603.535463042281</v>
      </c>
      <c r="EW67" s="120">
        <f t="shared" si="244"/>
        <v>-0.87704872899999997</v>
      </c>
      <c r="EX67" s="9">
        <f t="shared" si="184"/>
        <v>-1.394178981</v>
      </c>
      <c r="EY67" s="9">
        <f t="shared" si="185"/>
        <v>1.452873665</v>
      </c>
      <c r="EZ67" s="9">
        <f t="shared" si="186"/>
        <v>-1.404828346</v>
      </c>
      <c r="FA67" s="113" cm="1">
        <f t="array" ref="FA67">$DN$11+SUMPRODUCT($DP$11:$DS$11*EW67:EZ67)</f>
        <v>1.8640969442897837</v>
      </c>
      <c r="FB67">
        <v>2004</v>
      </c>
      <c r="FC67" s="116">
        <f t="shared" si="121"/>
        <v>3163151.778041333</v>
      </c>
      <c r="FD67" s="116">
        <f t="shared" si="255"/>
        <v>1878171.1009738813</v>
      </c>
      <c r="FE67" s="116">
        <f t="shared" si="159"/>
        <v>3953939.7225516662</v>
      </c>
      <c r="FF67" s="116">
        <f t="shared" si="256"/>
        <v>1625651.9345531985</v>
      </c>
      <c r="FG67" s="5">
        <f t="shared" si="257"/>
        <v>252519.1664206828</v>
      </c>
      <c r="FH67" s="5">
        <f t="shared" si="155"/>
        <v>483752.01418616716</v>
      </c>
      <c r="FI67" s="155">
        <f t="shared" si="258"/>
        <v>0.13444950052194124</v>
      </c>
      <c r="FJ67" s="117">
        <f t="shared" si="127"/>
        <v>13.444950052194123</v>
      </c>
      <c r="FK67" s="61">
        <f t="shared" si="259"/>
        <v>7775.0525071201791</v>
      </c>
      <c r="FL67" s="61">
        <f t="shared" si="142"/>
        <v>241.56378355694756</v>
      </c>
      <c r="FM67" s="92">
        <f t="shared" si="128"/>
        <v>32.47813004342192</v>
      </c>
      <c r="FN67" s="72">
        <f t="shared" si="129"/>
        <v>0.13444950052194124</v>
      </c>
      <c r="FO67" s="179">
        <f t="shared" si="260"/>
        <v>1.0826043347807306</v>
      </c>
      <c r="FP67" s="92">
        <f t="shared" si="160"/>
        <v>50.504295570955428</v>
      </c>
      <c r="FQ67" s="1">
        <f t="shared" si="143"/>
        <v>0</v>
      </c>
      <c r="FR67" s="26">
        <f t="shared" si="130"/>
        <v>1.2341408827186904</v>
      </c>
      <c r="FS67">
        <f t="shared" si="261"/>
        <v>2004</v>
      </c>
      <c r="FT67" s="5">
        <f t="shared" si="241"/>
        <v>3508.8181463041624</v>
      </c>
      <c r="FU67" s="214">
        <f t="shared" si="262"/>
        <v>3995.348459651912</v>
      </c>
      <c r="FV67" s="213">
        <f t="shared" si="131"/>
        <v>2302.5084190036478</v>
      </c>
      <c r="FW67" s="5">
        <f t="shared" si="132"/>
        <v>1692.8400406482642</v>
      </c>
      <c r="FX67" s="1">
        <f t="shared" si="133"/>
        <v>0.42370272774549184</v>
      </c>
      <c r="FY67">
        <f t="shared" si="263"/>
        <v>29678.124470512179</v>
      </c>
      <c r="FZ67" s="26">
        <f t="shared" si="134"/>
        <v>5.7039993963575744E-2</v>
      </c>
      <c r="GA67" s="106">
        <f t="shared" si="264"/>
        <v>1.9013331321191915E-3</v>
      </c>
      <c r="GB67" s="61">
        <f t="shared" si="135"/>
        <v>2075.4197414168934</v>
      </c>
      <c r="GC67" s="61">
        <f t="shared" si="207"/>
        <v>2663.6272869227091</v>
      </c>
      <c r="GD67" s="61">
        <f t="shared" si="247"/>
        <v>4503.073809252779</v>
      </c>
      <c r="GE67" s="61">
        <f t="shared" si="210"/>
        <v>1603.535463042281</v>
      </c>
      <c r="GF67" s="61">
        <f t="shared" si="137"/>
        <v>1060.0918238804281</v>
      </c>
      <c r="GG67" s="61">
        <f t="shared" si="245"/>
        <v>1792.16955425997</v>
      </c>
      <c r="GH67" s="6">
        <f t="shared" si="138"/>
        <v>0.39798804775917174</v>
      </c>
      <c r="GI67">
        <f t="shared" si="265"/>
        <v>9248.6922093424037</v>
      </c>
      <c r="GJ67" s="26">
        <f t="shared" si="208"/>
        <v>0.11462072689688982</v>
      </c>
      <c r="GK67">
        <f t="shared" si="266"/>
        <v>3.8206908965629938E-3</v>
      </c>
      <c r="GL67" s="232">
        <f t="shared" si="140"/>
        <v>1.2341408827186904</v>
      </c>
      <c r="GY67">
        <v>2004</v>
      </c>
      <c r="GZ67" s="112">
        <f t="shared" si="267"/>
        <v>0.61216385913785776</v>
      </c>
      <c r="HA67" s="112">
        <f t="shared" si="268"/>
        <v>0.76269461989779674</v>
      </c>
      <c r="HB67" s="112">
        <f t="shared" si="269"/>
        <v>2.3810084101018809</v>
      </c>
    </row>
    <row r="68" spans="1:210" x14ac:dyDescent="0.35">
      <c r="A68">
        <v>2005</v>
      </c>
      <c r="D68" s="80">
        <f>'SR + catch data Murdoch_age var'!C57</f>
        <v>1331383</v>
      </c>
      <c r="E68" s="80">
        <f>'SR + catch data Murdoch_age var'!E57</f>
        <v>826792.95575855998</v>
      </c>
      <c r="F68" s="231">
        <f t="shared" si="63"/>
        <v>-0.47641922268505188</v>
      </c>
      <c r="G68" s="80">
        <f>'SR + catch data Murdoch_age var'!D57</f>
        <v>1804337.1315494739</v>
      </c>
      <c r="H68" s="80">
        <f>'Orig data'!Q59</f>
        <v>1804337.1315494739</v>
      </c>
      <c r="I68" s="80">
        <f t="shared" si="64"/>
        <v>472954.13154947385</v>
      </c>
      <c r="J68" s="149">
        <f t="shared" si="65"/>
        <v>0.2621207108581336</v>
      </c>
      <c r="K68" s="83">
        <f>'SR + catch data Murdoch_age var'!CM57</f>
        <v>0.72899837380004806</v>
      </c>
      <c r="L68" s="83">
        <f>'SR + catch data Murdoch_age var'!CN57</f>
        <v>0.8539841719128376</v>
      </c>
      <c r="M68" s="84">
        <f>'SR + catch data Murdoch_age var'!CO57</f>
        <v>1427607.7529061798</v>
      </c>
      <c r="N68" s="81">
        <f t="shared" si="66"/>
        <v>-0.54620111444279174</v>
      </c>
      <c r="O68" s="88">
        <f t="shared" si="67"/>
        <v>2005</v>
      </c>
      <c r="P68" s="81">
        <f>'Orig data'!CN59</f>
        <v>8.951048951048951E-2</v>
      </c>
      <c r="Q68" s="81">
        <f>'Orig data'!CO59</f>
        <v>0.7384615384615385</v>
      </c>
      <c r="R68" s="81">
        <f>'Orig data'!CP59</f>
        <v>0.16643356643356644</v>
      </c>
      <c r="S68" s="85">
        <f>'Orig data'!CQ59</f>
        <v>5.5944055944055944E-3</v>
      </c>
      <c r="T68" s="80">
        <f t="shared" si="144"/>
        <v>161507.09988694591</v>
      </c>
      <c r="U68" s="80">
        <f t="shared" si="145"/>
        <v>1332433.5740673039</v>
      </c>
      <c r="V68" s="80">
        <f t="shared" si="146"/>
        <v>300302.26385229005</v>
      </c>
      <c r="W68" s="80">
        <f t="shared" si="147"/>
        <v>10094.19374293412</v>
      </c>
      <c r="X68" s="79">
        <f t="shared" si="73"/>
        <v>2005</v>
      </c>
      <c r="Y68" s="79">
        <f t="shared" si="149"/>
        <v>252998.45980168687</v>
      </c>
      <c r="Z68" s="79">
        <f t="shared" si="152"/>
        <v>1379935.0735569312</v>
      </c>
      <c r="AA68" s="79">
        <f t="shared" si="156"/>
        <v>379882.27587826253</v>
      </c>
      <c r="AB68" s="79">
        <f t="shared" si="161"/>
        <v>17219.700984266397</v>
      </c>
      <c r="AC68" s="80">
        <f t="shared" si="78"/>
        <v>2030035.510221147</v>
      </c>
      <c r="AD68" s="84">
        <f t="shared" si="79"/>
        <v>-225698.37867167313</v>
      </c>
      <c r="AE68" s="80">
        <f t="shared" si="80"/>
        <v>472954.13154947385</v>
      </c>
      <c r="AF68" s="72">
        <f t="shared" si="81"/>
        <v>0.23297825538921307</v>
      </c>
      <c r="AG68" s="26">
        <f t="shared" si="82"/>
        <v>-2.9142455468920525E-2</v>
      </c>
      <c r="AH68" s="61">
        <f t="shared" si="249"/>
        <v>2005</v>
      </c>
      <c r="AI68" s="74" cm="1">
        <f t="array" ref="AI68">IF(Uhistoric=1,J68,Uapply)</f>
        <v>0.2</v>
      </c>
      <c r="AJ68" s="75">
        <f t="shared" si="150"/>
        <v>319847.72737070575</v>
      </c>
      <c r="AK68" s="75">
        <f t="shared" si="153"/>
        <v>1857385.3275544026</v>
      </c>
      <c r="AL68" s="75">
        <f t="shared" si="157"/>
        <v>713984.64811159321</v>
      </c>
      <c r="AM68" s="75">
        <f t="shared" si="162"/>
        <v>22297.043492357145</v>
      </c>
      <c r="AN68" s="79">
        <f t="shared" si="84"/>
        <v>2913514.7465290586</v>
      </c>
      <c r="AO68" s="80">
        <f t="shared" si="85"/>
        <v>582702.94930581178</v>
      </c>
      <c r="AP68" s="80">
        <f t="shared" si="86"/>
        <v>2330811.7972232467</v>
      </c>
      <c r="AQ68" s="81">
        <v>-0.42723179176768761</v>
      </c>
      <c r="AR68" s="81">
        <v>-0.99962748918761002</v>
      </c>
      <c r="AS68" s="81">
        <f>'SR + catch data Murdoch_age var'!N57</f>
        <v>-0.11174682063699728</v>
      </c>
      <c r="AT68" s="121">
        <f>'SR + catch data Murdoch_age var'!BR57</f>
        <v>0.79345873404265144</v>
      </c>
      <c r="AU68" s="122">
        <f t="shared" si="250"/>
        <v>0.72899837380004806</v>
      </c>
      <c r="AV68" s="122">
        <f t="shared" si="88"/>
        <v>6.9781891757739967E-2</v>
      </c>
      <c r="AW68" s="115">
        <f t="shared" si="251"/>
        <v>1230309.3863960907</v>
      </c>
      <c r="AX68" s="115"/>
      <c r="AY68" s="141">
        <f t="shared" si="89"/>
        <v>0.18319433143222313</v>
      </c>
      <c r="AZ68" s="141"/>
      <c r="BA68" s="84">
        <v>2440</v>
      </c>
      <c r="BB68" s="101">
        <v>2005</v>
      </c>
      <c r="BC68" s="72">
        <v>3.5750695088044487E-2</v>
      </c>
      <c r="BD68" s="72">
        <v>0.8358758109360519</v>
      </c>
      <c r="BE68" s="72">
        <v>0.11956904541241889</v>
      </c>
      <c r="BF68" s="72">
        <v>8.3410565338276187E-3</v>
      </c>
      <c r="BG68" s="72">
        <v>4.6339202965708991E-4</v>
      </c>
      <c r="BH68" s="76">
        <v>2.44</v>
      </c>
      <c r="BI68" s="76">
        <v>0.72799999999999998</v>
      </c>
      <c r="BJ68" s="72">
        <f t="shared" si="215"/>
        <v>-1.2094522700905614</v>
      </c>
      <c r="BK68">
        <v>2.44</v>
      </c>
      <c r="BL68" s="120">
        <v>0.51231053699999995</v>
      </c>
      <c r="BM68" s="125">
        <v>-0.60482184500000002</v>
      </c>
      <c r="BN68" s="4">
        <v>1.452873665</v>
      </c>
      <c r="BO68" s="98">
        <f t="shared" si="221"/>
        <v>1.2452180340263157</v>
      </c>
      <c r="BP68" s="98">
        <f t="shared" si="216"/>
        <v>1.1905143246525114</v>
      </c>
      <c r="BQ68" s="99">
        <f t="shared" si="217"/>
        <v>-0.49183965012530217</v>
      </c>
      <c r="BR68" s="200">
        <v>50</v>
      </c>
      <c r="BS68" s="100">
        <v>26.22</v>
      </c>
      <c r="BT68" s="98">
        <v>0.21199999999999997</v>
      </c>
      <c r="BU68" s="98">
        <f t="shared" si="222"/>
        <v>0.21200000000000005</v>
      </c>
      <c r="BV68" s="124">
        <f t="shared" si="92"/>
        <v>0.21200000000000005</v>
      </c>
      <c r="BW68" s="100">
        <f t="shared" si="218"/>
        <v>676.95258883248744</v>
      </c>
      <c r="BX68" s="100">
        <v>3193.1725888324872</v>
      </c>
      <c r="BY68" s="99">
        <v>0.22</v>
      </c>
      <c r="BZ68" s="89">
        <f t="shared" si="277"/>
        <v>0.14912075859702728</v>
      </c>
      <c r="CA68" s="78">
        <v>2005</v>
      </c>
      <c r="CB68" s="91">
        <f t="shared" si="275"/>
        <v>0.13799999999999998</v>
      </c>
      <c r="CC68" s="97">
        <f t="shared" si="252"/>
        <v>71.717654648697007</v>
      </c>
      <c r="CD68" s="97">
        <f t="shared" si="271"/>
        <v>2819.6199876267601</v>
      </c>
      <c r="CE68" s="97">
        <f t="shared" si="272"/>
        <v>519.55218724939232</v>
      </c>
      <c r="CF68" s="97">
        <f t="shared" si="273"/>
        <v>24.820407217432557</v>
      </c>
      <c r="CG68" s="97">
        <f t="shared" si="274"/>
        <v>1.8932072189990621</v>
      </c>
      <c r="CH68" s="92">
        <f t="shared" si="224"/>
        <v>3437.6034439612813</v>
      </c>
      <c r="CI68" s="200">
        <f t="shared" si="225"/>
        <v>50</v>
      </c>
      <c r="CJ68" s="93">
        <f t="shared" si="226"/>
        <v>26.22</v>
      </c>
      <c r="CK68" s="92">
        <f t="shared" si="227"/>
        <v>474.38927526665674</v>
      </c>
      <c r="CL68" s="92">
        <f t="shared" si="228"/>
        <v>550.60927526665671</v>
      </c>
      <c r="CM68" s="72">
        <f t="shared" si="229"/>
        <v>1.6873569426143212E-2</v>
      </c>
      <c r="CN68" s="128">
        <f t="shared" si="230"/>
        <v>0.16017242367902934</v>
      </c>
      <c r="CO68" s="111">
        <f t="shared" ref="CO68:CO88" si="279">CH68-CL68</f>
        <v>2886.9941686946245</v>
      </c>
      <c r="CP68" s="72">
        <f t="shared" si="232"/>
        <v>1.2452180340263157</v>
      </c>
      <c r="CQ68" s="96">
        <f t="shared" si="233"/>
        <v>2.9035984496610192</v>
      </c>
      <c r="CR68" s="92">
        <f t="shared" si="234"/>
        <v>2903.598449661019</v>
      </c>
      <c r="CS68" s="120">
        <f t="shared" si="235"/>
        <v>-0.90461819600000004</v>
      </c>
      <c r="CT68" s="72">
        <f t="shared" si="97"/>
        <v>-0.60482184500000002</v>
      </c>
      <c r="CU68" s="72">
        <f t="shared" si="236"/>
        <v>1.452873665</v>
      </c>
      <c r="CV68" s="104">
        <f t="shared" si="237"/>
        <v>2.3281450350265072</v>
      </c>
      <c r="CW68" s="105">
        <f t="shared" si="99"/>
        <v>-0.42723179176768761</v>
      </c>
      <c r="CX68" s="105">
        <f t="shared" si="100"/>
        <v>-0.99962748918761002</v>
      </c>
      <c r="CY68" s="105">
        <f t="shared" si="101"/>
        <v>-0.11174682063699728</v>
      </c>
      <c r="CZ68" s="123">
        <f t="shared" si="242"/>
        <v>-0.68849257550252763</v>
      </c>
      <c r="DA68" s="81">
        <f t="shared" si="253"/>
        <v>1.0613204493861803</v>
      </c>
      <c r="DB68" s="9">
        <f t="shared" si="104"/>
        <v>1230309.3863960907</v>
      </c>
      <c r="DD68" s="1">
        <f t="shared" si="105"/>
        <v>3.2630462260926101</v>
      </c>
      <c r="DE68" s="114">
        <v>384</v>
      </c>
      <c r="DF68" s="61">
        <v>2005</v>
      </c>
      <c r="DG68" s="26">
        <v>7.6142131979695434E-3</v>
      </c>
      <c r="DH68" s="26">
        <v>0.29512169725367693</v>
      </c>
      <c r="DI68" s="26">
        <v>0.6060236886632826</v>
      </c>
      <c r="DJ68" s="26">
        <v>8.8702329819081091E-2</v>
      </c>
      <c r="DK68" s="26">
        <v>2.5380710659898475E-3</v>
      </c>
      <c r="DL68" s="107">
        <v>0.38400000000000001</v>
      </c>
      <c r="DM68" s="107">
        <v>0.38400000000000001</v>
      </c>
      <c r="DN68" s="108">
        <v>0</v>
      </c>
      <c r="DO68" s="76">
        <f t="shared" si="107"/>
        <v>0.38400000000000001</v>
      </c>
      <c r="DP68" s="119">
        <v>0.61261321899999999</v>
      </c>
      <c r="DQ68" s="26">
        <v>-0.444916951</v>
      </c>
      <c r="DR68" s="26">
        <v>0.383041511</v>
      </c>
      <c r="DS68" s="26">
        <v>8.3541729999999995E-3</v>
      </c>
      <c r="DT68" s="113" cm="1">
        <f t="array" ref="DT68">$DN$11+SUMPRODUCT(DP$11:$DS$11*DP68:DS68)</f>
        <v>0.68500931132917398</v>
      </c>
      <c r="DU68" s="76">
        <f t="shared" si="254"/>
        <v>0.51441189339451798</v>
      </c>
      <c r="DV68" s="72">
        <f t="shared" si="179"/>
        <v>-0.2923817409753155</v>
      </c>
      <c r="DW68" s="199">
        <v>25</v>
      </c>
      <c r="DX68" s="61">
        <v>2.1671120159937076</v>
      </c>
      <c r="DY68" s="26">
        <v>0.21199999999999997</v>
      </c>
      <c r="DZ68" s="98">
        <f t="shared" si="213"/>
        <v>0.21200000000000019</v>
      </c>
      <c r="EA68" s="110">
        <f t="shared" si="214"/>
        <v>0.21200000000000019</v>
      </c>
      <c r="EB68" s="100">
        <f t="shared" si="188"/>
        <v>110.61856313120654</v>
      </c>
      <c r="EC68" s="61">
        <v>521.78567514720021</v>
      </c>
      <c r="ED68" s="99">
        <v>0.22</v>
      </c>
      <c r="EE68" s="72">
        <f t="shared" si="189"/>
        <v>1.5022441759827755E-2</v>
      </c>
      <c r="EF68" s="37">
        <v>2005</v>
      </c>
      <c r="EG68" s="110">
        <f t="shared" si="276"/>
        <v>0.13799999999999998</v>
      </c>
      <c r="EH68" s="97">
        <f t="shared" si="220"/>
        <v>9.3025972579285092</v>
      </c>
      <c r="EI68" s="97">
        <f t="shared" si="238"/>
        <v>458.8115779290398</v>
      </c>
      <c r="EJ68" s="97">
        <f t="shared" si="243"/>
        <v>1216.4117861093112</v>
      </c>
      <c r="EK68" s="97">
        <f t="shared" si="246"/>
        <v>240.4635233343225</v>
      </c>
      <c r="EL68" s="97">
        <f t="shared" si="248"/>
        <v>5.6101242273514469</v>
      </c>
      <c r="EM68" s="111">
        <f t="shared" si="196"/>
        <v>1930.5996088579534</v>
      </c>
      <c r="EN68" s="200">
        <f t="shared" si="197"/>
        <v>25</v>
      </c>
      <c r="EO68" s="92">
        <f t="shared" si="198"/>
        <v>2.1671120159937076</v>
      </c>
      <c r="EP68" s="92">
        <f t="shared" si="278"/>
        <v>266.42274602239752</v>
      </c>
      <c r="EQ68" s="92">
        <f t="shared" si="239"/>
        <v>293.58985803839124</v>
      </c>
      <c r="ER68" s="128">
        <f t="shared" si="201"/>
        <v>0.152071852025322</v>
      </c>
      <c r="ES68" s="111">
        <f t="shared" si="240"/>
        <v>1637.0097508195622</v>
      </c>
      <c r="ET68" s="72">
        <f t="shared" si="203"/>
        <v>0.68500931132917398</v>
      </c>
      <c r="EU68" s="96">
        <f t="shared" ref="EU68:EU103" si="280">IF(SSLcontrol=0,$ES68/1000*EXP($ET68+$DO$11*$ES68/1000),$ES68/1000*EXP($FA68+$DO$11*$ES68/1000))</f>
        <v>1.9837866672889652</v>
      </c>
      <c r="EV68" s="92">
        <f t="shared" si="205"/>
        <v>1983.7866672889652</v>
      </c>
      <c r="EW68" s="120">
        <f t="shared" si="244"/>
        <v>-0.87704872899999997</v>
      </c>
      <c r="EX68" s="9">
        <f t="shared" si="184"/>
        <v>-0.444916951</v>
      </c>
      <c r="EY68" s="9">
        <f t="shared" si="185"/>
        <v>0.383041511</v>
      </c>
      <c r="EZ68" s="9">
        <f t="shared" si="186"/>
        <v>8.3541729999999995E-3</v>
      </c>
      <c r="FA68" s="113" cm="1">
        <f t="array" ref="FA68">$DN$11+SUMPRODUCT($DP$11:$DS$11*EW68:EZ68)</f>
        <v>1.8659257036811396</v>
      </c>
      <c r="FB68">
        <v>2005</v>
      </c>
      <c r="FC68" s="116">
        <f t="shared" si="121"/>
        <v>2330811.7972232467</v>
      </c>
      <c r="FD68" s="116">
        <f t="shared" si="255"/>
        <v>2454336.2172501353</v>
      </c>
      <c r="FE68" s="116">
        <f t="shared" si="159"/>
        <v>3402993.2351830276</v>
      </c>
      <c r="FF68" s="116">
        <f t="shared" si="256"/>
        <v>2124351.9387279442</v>
      </c>
      <c r="FG68" s="5">
        <f t="shared" si="257"/>
        <v>329984.2785221911</v>
      </c>
      <c r="FH68" s="5">
        <f t="shared" si="155"/>
        <v>457530.74074990302</v>
      </c>
      <c r="FI68" s="155">
        <f t="shared" si="258"/>
        <v>0.13444950052194113</v>
      </c>
      <c r="FJ68" s="117">
        <f t="shared" si="127"/>
        <v>13.444950052194113</v>
      </c>
      <c r="FK68" s="61">
        <f t="shared" si="259"/>
        <v>7775.0525071201791</v>
      </c>
      <c r="FL68" s="61">
        <f t="shared" si="142"/>
        <v>315.66812121236757</v>
      </c>
      <c r="FM68" s="92">
        <f t="shared" si="128"/>
        <v>42.441421227702399</v>
      </c>
      <c r="FN68" s="72">
        <f t="shared" si="129"/>
        <v>0.13444950052194113</v>
      </c>
      <c r="FO68" s="179">
        <f t="shared" si="260"/>
        <v>1.4147140409234134</v>
      </c>
      <c r="FP68" s="92">
        <f t="shared" si="160"/>
        <v>46.587573792274952</v>
      </c>
      <c r="FQ68" s="1">
        <f t="shared" si="143"/>
        <v>0</v>
      </c>
      <c r="FR68" s="26">
        <f t="shared" si="130"/>
        <v>1.2341408827186904</v>
      </c>
      <c r="FS68">
        <f t="shared" si="261"/>
        <v>2005</v>
      </c>
      <c r="FT68" s="5">
        <f t="shared" si="241"/>
        <v>2886.9941686946245</v>
      </c>
      <c r="FU68" s="214">
        <f t="shared" si="262"/>
        <v>5341.3769963028544</v>
      </c>
      <c r="FV68" s="213">
        <f t="shared" si="131"/>
        <v>3078.2209930523122</v>
      </c>
      <c r="FW68" s="5">
        <f t="shared" si="132"/>
        <v>2263.1560032505422</v>
      </c>
      <c r="FX68" s="1">
        <f t="shared" si="133"/>
        <v>0.423702727745492</v>
      </c>
      <c r="FY68">
        <f t="shared" si="263"/>
        <v>31050.768942527786</v>
      </c>
      <c r="FZ68" s="26">
        <f t="shared" si="134"/>
        <v>7.2885666935960353E-2</v>
      </c>
      <c r="GA68" s="106">
        <f t="shared" si="264"/>
        <v>2.4295222311986786E-3</v>
      </c>
      <c r="GB68" s="61">
        <f t="shared" si="135"/>
        <v>1637.0097508195622</v>
      </c>
      <c r="GC68" s="61">
        <f t="shared" si="207"/>
        <v>3295.2612650045417</v>
      </c>
      <c r="GD68" s="61">
        <f t="shared" si="247"/>
        <v>3334.1559178406601</v>
      </c>
      <c r="GE68" s="61">
        <f t="shared" si="210"/>
        <v>1983.7866672889652</v>
      </c>
      <c r="GF68" s="61">
        <f t="shared" si="137"/>
        <v>1311.4745977155765</v>
      </c>
      <c r="GG68" s="61">
        <f t="shared" si="245"/>
        <v>1326.9542046660938</v>
      </c>
      <c r="GH68" s="6">
        <f t="shared" si="138"/>
        <v>0.39798804775917179</v>
      </c>
      <c r="GI68">
        <f t="shared" si="265"/>
        <v>9248.6922093424037</v>
      </c>
      <c r="GJ68" s="26">
        <f t="shared" si="208"/>
        <v>0.14180108582171363</v>
      </c>
      <c r="GK68">
        <f t="shared" si="266"/>
        <v>4.7267028607237875E-3</v>
      </c>
      <c r="GL68" s="232">
        <f t="shared" si="140"/>
        <v>1.2341408827186904</v>
      </c>
      <c r="GY68">
        <v>2005</v>
      </c>
      <c r="GZ68" s="112">
        <f t="shared" si="267"/>
        <v>0.72899837380004806</v>
      </c>
      <c r="HA68" s="112">
        <f t="shared" si="268"/>
        <v>0.68500931132917398</v>
      </c>
      <c r="HB68" s="112">
        <f t="shared" si="269"/>
        <v>2.3281450350265072</v>
      </c>
    </row>
    <row r="69" spans="1:210" x14ac:dyDescent="0.35">
      <c r="A69">
        <v>2006</v>
      </c>
      <c r="D69" s="80">
        <f>'SR + catch data Murdoch_age var'!C58</f>
        <v>1970621</v>
      </c>
      <c r="E69" s="80">
        <f>'SR + catch data Murdoch_age var'!E58</f>
        <v>653276.45190826431</v>
      </c>
      <c r="F69" s="231">
        <f t="shared" si="63"/>
        <v>-1.1041036041238916</v>
      </c>
      <c r="G69" s="80">
        <f>'SR + catch data Murdoch_age var'!D58</f>
        <v>2683669.7926117284</v>
      </c>
      <c r="H69" s="80">
        <f>'Orig data'!Q60</f>
        <v>2683669.7926117284</v>
      </c>
      <c r="I69" s="80">
        <f t="shared" si="64"/>
        <v>713048.79261172842</v>
      </c>
      <c r="J69" s="149">
        <f t="shared" si="65"/>
        <v>0.26569915366442842</v>
      </c>
      <c r="K69" s="83">
        <f>'SR + catch data Murdoch_age var'!CM58</f>
        <v>0.67919860553797273</v>
      </c>
      <c r="L69" s="83">
        <f>'SR + catch data Murdoch_age var'!CN58</f>
        <v>0.8331218021557637</v>
      </c>
      <c r="M69" s="84">
        <f>'SR + catch data Murdoch_age var'!CO58</f>
        <v>1464949.3970701324</v>
      </c>
      <c r="N69" s="81">
        <f t="shared" si="66"/>
        <v>-0.80757558324505163</v>
      </c>
      <c r="O69" s="88">
        <f t="shared" si="67"/>
        <v>2006</v>
      </c>
      <c r="P69" s="81">
        <f>'Orig data'!CN60</f>
        <v>4.3250327653997382E-2</v>
      </c>
      <c r="Q69" s="81">
        <f>'Orig data'!CO60</f>
        <v>0.93184796854521623</v>
      </c>
      <c r="R69" s="81">
        <f>'Orig data'!CP60</f>
        <v>2.4901703800786368E-2</v>
      </c>
      <c r="S69" s="85">
        <f>'Orig data'!CQ60</f>
        <v>0</v>
      </c>
      <c r="T69" s="80">
        <f t="shared" si="144"/>
        <v>116069.59784559246</v>
      </c>
      <c r="U69" s="80">
        <f t="shared" si="145"/>
        <v>2500772.2444914007</v>
      </c>
      <c r="V69" s="80">
        <f t="shared" si="146"/>
        <v>66827.950274735049</v>
      </c>
      <c r="W69" s="80">
        <f t="shared" si="147"/>
        <v>0</v>
      </c>
      <c r="X69" s="79">
        <f t="shared" si="73"/>
        <v>2006</v>
      </c>
      <c r="Y69" s="79">
        <f t="shared" si="149"/>
        <v>57171.524367589205</v>
      </c>
      <c r="Z69" s="79">
        <f t="shared" si="152"/>
        <v>2633837.688750912</v>
      </c>
      <c r="AA69" s="79">
        <f t="shared" si="156"/>
        <v>46532.869589417045</v>
      </c>
      <c r="AB69" s="79">
        <f t="shared" si="161"/>
        <v>0</v>
      </c>
      <c r="AC69" s="80">
        <f t="shared" si="78"/>
        <v>2737542.0827079182</v>
      </c>
      <c r="AD69" s="84">
        <f t="shared" si="79"/>
        <v>-53872.290096189827</v>
      </c>
      <c r="AE69" s="80">
        <f t="shared" si="80"/>
        <v>713048.79261172842</v>
      </c>
      <c r="AF69" s="72">
        <f t="shared" si="81"/>
        <v>0.26047044066127956</v>
      </c>
      <c r="AG69" s="26">
        <f t="shared" si="82"/>
        <v>-5.228713003148866E-3</v>
      </c>
      <c r="AH69" s="61">
        <f t="shared" si="249"/>
        <v>2006</v>
      </c>
      <c r="AI69" s="74" cm="1">
        <f t="array" ref="AI69">IF(Uhistoric=1,J69,Uapply)</f>
        <v>0.2</v>
      </c>
      <c r="AJ69" s="75">
        <f t="shared" si="150"/>
        <v>70780.994530982702</v>
      </c>
      <c r="AK69" s="75">
        <f t="shared" si="153"/>
        <v>3329771.2550132866</v>
      </c>
      <c r="AL69" s="75">
        <f t="shared" si="157"/>
        <v>62632.996929054367</v>
      </c>
      <c r="AM69" s="75">
        <f t="shared" si="162"/>
        <v>0</v>
      </c>
      <c r="AN69" s="79">
        <f t="shared" si="84"/>
        <v>3463185.2464733236</v>
      </c>
      <c r="AO69" s="80">
        <f t="shared" si="85"/>
        <v>692637.04929466476</v>
      </c>
      <c r="AP69" s="80">
        <f t="shared" si="86"/>
        <v>2770548.197178659</v>
      </c>
      <c r="AQ69" s="81">
        <v>-1.5695016868528551</v>
      </c>
      <c r="AR69" s="81">
        <v>-0.30775048543528666</v>
      </c>
      <c r="AS69" s="81">
        <f>'SR + catch data Murdoch_age var'!N58</f>
        <v>-0.51074814808473734</v>
      </c>
      <c r="AT69" s="121">
        <f>'SR + catch data Murdoch_age var'!BR58</f>
        <v>1.0472035456193762</v>
      </c>
      <c r="AU69" s="122">
        <f t="shared" si="250"/>
        <v>0.67919860553797273</v>
      </c>
      <c r="AV69" s="122">
        <f t="shared" si="88"/>
        <v>-0.29652802087883989</v>
      </c>
      <c r="AW69" s="115">
        <f t="shared" si="251"/>
        <v>912188.84610413946</v>
      </c>
      <c r="AX69" s="115"/>
      <c r="AY69" s="141">
        <f t="shared" si="89"/>
        <v>8.1050337579663609E-2</v>
      </c>
      <c r="AZ69" s="141"/>
      <c r="BA69" s="84">
        <v>1660</v>
      </c>
      <c r="BB69" s="101">
        <v>2006</v>
      </c>
      <c r="BC69" s="72">
        <v>3.5750695088044487E-2</v>
      </c>
      <c r="BD69" s="72">
        <v>0.8358758109360519</v>
      </c>
      <c r="BE69" s="72">
        <v>0.11956904541241889</v>
      </c>
      <c r="BF69" s="72">
        <v>8.3410565338276187E-3</v>
      </c>
      <c r="BG69" s="72">
        <v>4.6339202965708991E-4</v>
      </c>
      <c r="BH69" s="76">
        <v>1.66</v>
      </c>
      <c r="BI69" s="76">
        <v>0.73899999999999999</v>
      </c>
      <c r="BJ69" s="72">
        <f t="shared" si="215"/>
        <v>-0.80927496040238711</v>
      </c>
      <c r="BK69">
        <v>1.66</v>
      </c>
      <c r="BL69" s="120">
        <v>0.61261321899999999</v>
      </c>
      <c r="BM69" s="125">
        <v>-1.394178981</v>
      </c>
      <c r="BN69" s="4">
        <v>0.383041511</v>
      </c>
      <c r="BO69" s="98">
        <f t="shared" si="221"/>
        <v>1.3721679121032544</v>
      </c>
      <c r="BP69" s="98">
        <f t="shared" si="216"/>
        <v>1.7222251020115797</v>
      </c>
      <c r="BQ69" s="99">
        <f t="shared" si="217"/>
        <v>-0.84607447675727476</v>
      </c>
      <c r="BR69" s="200">
        <v>50</v>
      </c>
      <c r="BS69" s="100">
        <v>34.29</v>
      </c>
      <c r="BT69" s="98">
        <v>0.12</v>
      </c>
      <c r="BU69" s="98">
        <f t="shared" si="222"/>
        <v>0.11999999999999991</v>
      </c>
      <c r="BV69" s="124">
        <f t="shared" si="92"/>
        <v>0.11999999999999991</v>
      </c>
      <c r="BW69" s="100">
        <f t="shared" si="218"/>
        <v>237.85772727272706</v>
      </c>
      <c r="BX69" s="100">
        <v>1982.147727272727</v>
      </c>
      <c r="BY69" s="99">
        <v>0.24</v>
      </c>
      <c r="BZ69" s="89">
        <f t="shared" si="277"/>
        <v>0.1531924785383387</v>
      </c>
      <c r="CA69" s="78">
        <v>2006</v>
      </c>
      <c r="CB69" s="91">
        <f t="shared" si="275"/>
        <v>0.13799999999999998</v>
      </c>
      <c r="CC69" s="97">
        <f t="shared" si="252"/>
        <v>61.854186356500612</v>
      </c>
      <c r="CD69" s="97">
        <f t="shared" si="271"/>
        <v>1676.8080338096258</v>
      </c>
      <c r="CE69" s="97">
        <f t="shared" si="272"/>
        <v>403.33655542533779</v>
      </c>
      <c r="CF69" s="97">
        <f t="shared" si="273"/>
        <v>36.243612643836236</v>
      </c>
      <c r="CG69" s="97">
        <f t="shared" si="274"/>
        <v>1.3789115120795865</v>
      </c>
      <c r="CH69" s="92">
        <f t="shared" si="224"/>
        <v>2179.6212997473799</v>
      </c>
      <c r="CI69" s="200">
        <f t="shared" si="225"/>
        <v>50</v>
      </c>
      <c r="CJ69" s="93">
        <f t="shared" si="226"/>
        <v>34.29</v>
      </c>
      <c r="CK69" s="92">
        <f t="shared" si="227"/>
        <v>300.78773936513841</v>
      </c>
      <c r="CL69" s="92">
        <f t="shared" si="228"/>
        <v>385.07773936513843</v>
      </c>
      <c r="CM69" s="72">
        <f t="shared" si="229"/>
        <v>2.6612256164845007E-2</v>
      </c>
      <c r="CN69" s="128">
        <f t="shared" si="230"/>
        <v>0.1766718555236037</v>
      </c>
      <c r="CO69" s="111">
        <f t="shared" si="279"/>
        <v>1794.5435603822416</v>
      </c>
      <c r="CP69" s="72">
        <f t="shared" si="232"/>
        <v>1.3721679121032544</v>
      </c>
      <c r="CQ69" s="96">
        <f t="shared" si="233"/>
        <v>5.3276181632349138</v>
      </c>
      <c r="CR69" s="92">
        <f t="shared" si="234"/>
        <v>5327.6181632349135</v>
      </c>
      <c r="CS69" s="120">
        <f t="shared" si="235"/>
        <v>-0.90461819600000004</v>
      </c>
      <c r="CT69" s="72">
        <f t="shared" si="97"/>
        <v>-1.394178981</v>
      </c>
      <c r="CU69" s="72">
        <f t="shared" si="236"/>
        <v>0.383041511</v>
      </c>
      <c r="CV69" s="104">
        <f t="shared" si="237"/>
        <v>2.5317540139324333</v>
      </c>
      <c r="CW69" s="105">
        <f t="shared" si="99"/>
        <v>-1.5695016868528551</v>
      </c>
      <c r="CX69" s="105">
        <f t="shared" si="100"/>
        <v>-0.30775048543528666</v>
      </c>
      <c r="CY69" s="105">
        <f t="shared" si="101"/>
        <v>-0.51074814808473734</v>
      </c>
      <c r="CZ69" s="123">
        <f t="shared" si="242"/>
        <v>-0.68849257550252763</v>
      </c>
      <c r="DA69" s="81">
        <f t="shared" si="253"/>
        <v>1.0684220124359072</v>
      </c>
      <c r="DB69" s="9">
        <f t="shared" si="104"/>
        <v>912188.84610413946</v>
      </c>
      <c r="DD69" s="1">
        <f t="shared" si="105"/>
        <v>1.2945677461533469</v>
      </c>
      <c r="DE69" s="114">
        <v>552</v>
      </c>
      <c r="DF69" s="61">
        <v>2006</v>
      </c>
      <c r="DG69" s="26">
        <v>7.6142131979695434E-3</v>
      </c>
      <c r="DH69" s="26">
        <v>0.29512169725367693</v>
      </c>
      <c r="DI69" s="26">
        <v>0.6060236886632826</v>
      </c>
      <c r="DJ69" s="26">
        <v>8.8702329819081091E-2</v>
      </c>
      <c r="DK69" s="26">
        <v>2.5380710659898475E-3</v>
      </c>
      <c r="DL69" s="106">
        <v>0.55200000000000005</v>
      </c>
      <c r="DM69" s="106">
        <v>0.436</v>
      </c>
      <c r="DN69" s="26">
        <v>-0.23590580292806104</v>
      </c>
      <c r="DO69" s="76">
        <f t="shared" si="107"/>
        <v>0.55200000000000005</v>
      </c>
      <c r="DP69" s="119">
        <v>0.71918350099999995</v>
      </c>
      <c r="DQ69" s="26">
        <v>-0.15371162799999999</v>
      </c>
      <c r="DR69" s="26">
        <v>1.568628962</v>
      </c>
      <c r="DS69" s="26">
        <v>-1.326751963</v>
      </c>
      <c r="DT69" s="113" cm="1">
        <f t="array" ref="DT69">$DN$11+SUMPRODUCT(DP$11:$DS$11*DP69:DS69)</f>
        <v>0.47346340247683372</v>
      </c>
      <c r="DU69" s="76">
        <f t="shared" si="254"/>
        <v>0.50401665661787487</v>
      </c>
      <c r="DV69" s="72">
        <f t="shared" si="179"/>
        <v>-0.14496707302122308</v>
      </c>
      <c r="DW69" s="199">
        <v>25</v>
      </c>
      <c r="DX69" s="61">
        <v>0</v>
      </c>
      <c r="DY69" s="26">
        <v>0.12</v>
      </c>
      <c r="DZ69" s="98">
        <f t="shared" si="213"/>
        <v>0.11999999999999993</v>
      </c>
      <c r="EA69" s="110">
        <f t="shared" si="214"/>
        <v>0.11999999999999993</v>
      </c>
      <c r="EB69" s="100">
        <f t="shared" si="188"/>
        <v>78.68181818181813</v>
      </c>
      <c r="EC69" s="61">
        <v>655.68181818181813</v>
      </c>
      <c r="ED69" s="99">
        <v>0.24</v>
      </c>
      <c r="EE69" s="72">
        <f t="shared" si="189"/>
        <v>1.9355816802158046E-2</v>
      </c>
      <c r="EF69" s="37">
        <v>2006</v>
      </c>
      <c r="EG69" s="110">
        <f t="shared" si="276"/>
        <v>0.13799999999999998</v>
      </c>
      <c r="EH69" s="97">
        <f t="shared" si="220"/>
        <v>10.735220498159729</v>
      </c>
      <c r="EI69" s="97">
        <f t="shared" si="238"/>
        <v>360.56230896704716</v>
      </c>
      <c r="EJ69" s="97">
        <f t="shared" si="243"/>
        <v>942.15602392315668</v>
      </c>
      <c r="EK69" s="97">
        <f t="shared" si="246"/>
        <v>178.04346837543503</v>
      </c>
      <c r="EL69" s="97">
        <f t="shared" si="248"/>
        <v>6.8804676522660131</v>
      </c>
      <c r="EM69" s="111">
        <f t="shared" si="196"/>
        <v>1498.3774894160645</v>
      </c>
      <c r="EN69" s="200">
        <f t="shared" si="197"/>
        <v>25</v>
      </c>
      <c r="EO69" s="92">
        <f t="shared" si="198"/>
        <v>0</v>
      </c>
      <c r="EP69" s="92">
        <f t="shared" si="278"/>
        <v>206.77609353941688</v>
      </c>
      <c r="EQ69" s="92">
        <f t="shared" si="239"/>
        <v>231.77609353941688</v>
      </c>
      <c r="ER69" s="128">
        <f t="shared" si="201"/>
        <v>0.15468471408346021</v>
      </c>
      <c r="ES69" s="111">
        <f t="shared" si="240"/>
        <v>1266.6013958766475</v>
      </c>
      <c r="ET69" s="72">
        <f t="shared" si="203"/>
        <v>0.47346340247683372</v>
      </c>
      <c r="EU69" s="96">
        <f t="shared" si="280"/>
        <v>1.9741556063414254</v>
      </c>
      <c r="EV69" s="92">
        <f t="shared" si="205"/>
        <v>1974.1556063414255</v>
      </c>
      <c r="EW69" s="120">
        <f t="shared" si="244"/>
        <v>-0.87704872899999997</v>
      </c>
      <c r="EX69" s="9">
        <f t="shared" si="184"/>
        <v>-0.15371162799999999</v>
      </c>
      <c r="EY69" s="9">
        <f t="shared" si="185"/>
        <v>1.568628962</v>
      </c>
      <c r="EZ69" s="9">
        <f t="shared" si="186"/>
        <v>-1.326751963</v>
      </c>
      <c r="FA69" s="113" cm="1">
        <f t="array" ref="FA69">$DN$11+SUMPRODUCT($DP$11:$DS$11*EW69:EZ69)</f>
        <v>1.7388624475006602</v>
      </c>
      <c r="FB69">
        <v>2006</v>
      </c>
      <c r="FC69" s="116">
        <f t="shared" si="121"/>
        <v>2770548.197178659</v>
      </c>
      <c r="FD69" s="116">
        <f t="shared" si="255"/>
        <v>2363295.161123035</v>
      </c>
      <c r="FE69" s="116">
        <f t="shared" si="159"/>
        <v>3463185.2464733236</v>
      </c>
      <c r="FF69" s="116">
        <f t="shared" si="256"/>
        <v>2045551.3071241223</v>
      </c>
      <c r="FG69" s="5">
        <f t="shared" si="257"/>
        <v>317743.85399891273</v>
      </c>
      <c r="FH69" s="5">
        <f t="shared" si="155"/>
        <v>335510.86209850945</v>
      </c>
      <c r="FI69" s="155">
        <f t="shared" si="258"/>
        <v>0.13444950052194124</v>
      </c>
      <c r="FJ69" s="117">
        <f t="shared" si="127"/>
        <v>13.444950052194123</v>
      </c>
      <c r="FK69" s="61">
        <f t="shared" si="259"/>
        <v>7775.0525071201791</v>
      </c>
      <c r="FL69" s="61">
        <f t="shared" si="142"/>
        <v>303.95873969452867</v>
      </c>
      <c r="FM69" s="92">
        <f t="shared" si="128"/>
        <v>40.86710073120814</v>
      </c>
      <c r="FN69" s="72">
        <f t="shared" si="129"/>
        <v>0.13444950052194124</v>
      </c>
      <c r="FO69" s="179">
        <f t="shared" si="260"/>
        <v>1.3622366910402712</v>
      </c>
      <c r="FP69" s="92">
        <f t="shared" si="160"/>
        <v>43.029009181613077</v>
      </c>
      <c r="FQ69" s="1">
        <f t="shared" si="143"/>
        <v>0</v>
      </c>
      <c r="FR69" s="26">
        <f t="shared" si="130"/>
        <v>1.2341408827186904</v>
      </c>
      <c r="FS69">
        <f t="shared" si="261"/>
        <v>2006</v>
      </c>
      <c r="FT69" s="5">
        <f t="shared" si="241"/>
        <v>1794.5435603822416</v>
      </c>
      <c r="FU69" s="214">
        <f t="shared" si="262"/>
        <v>9388.0067765542444</v>
      </c>
      <c r="FV69" s="213">
        <f t="shared" si="131"/>
        <v>5410.2826972350476</v>
      </c>
      <c r="FW69" s="5">
        <f t="shared" si="132"/>
        <v>3977.7240793191968</v>
      </c>
      <c r="FX69" s="1">
        <f t="shared" si="133"/>
        <v>0.423702727745492</v>
      </c>
      <c r="FY69">
        <f t="shared" si="263"/>
        <v>32507.46330307372</v>
      </c>
      <c r="FZ69" s="26">
        <f t="shared" si="134"/>
        <v>0.12236341058771835</v>
      </c>
      <c r="GA69" s="106">
        <f t="shared" si="264"/>
        <v>4.078780352923945E-3</v>
      </c>
      <c r="GB69" s="61">
        <f t="shared" si="135"/>
        <v>1266.6013958766475</v>
      </c>
      <c r="GC69" s="61">
        <f t="shared" si="207"/>
        <v>3279.2631425226032</v>
      </c>
      <c r="GD69" s="61">
        <f t="shared" si="247"/>
        <v>2582.4273642892276</v>
      </c>
      <c r="GE69" s="61">
        <f t="shared" si="210"/>
        <v>1974.1556063414257</v>
      </c>
      <c r="GF69" s="61">
        <f t="shared" si="137"/>
        <v>1305.1075361811775</v>
      </c>
      <c r="GG69" s="61">
        <f t="shared" si="245"/>
        <v>1027.7752251933332</v>
      </c>
      <c r="GH69" s="6">
        <f t="shared" si="138"/>
        <v>0.39798804775917174</v>
      </c>
      <c r="GI69">
        <f t="shared" si="265"/>
        <v>9248.6922093424037</v>
      </c>
      <c r="GJ69" s="26">
        <f t="shared" si="208"/>
        <v>0.14111265751311802</v>
      </c>
      <c r="GK69">
        <f t="shared" si="266"/>
        <v>4.7037552504372677E-3</v>
      </c>
      <c r="GL69" s="232">
        <f t="shared" si="140"/>
        <v>1.2341408827186904</v>
      </c>
      <c r="GY69">
        <v>2006</v>
      </c>
      <c r="GZ69" s="112">
        <f t="shared" si="267"/>
        <v>0.67919860553797273</v>
      </c>
      <c r="HA69" s="112">
        <f t="shared" si="268"/>
        <v>0.47346340247683372</v>
      </c>
      <c r="HB69" s="112">
        <f t="shared" si="269"/>
        <v>2.5317540139324333</v>
      </c>
    </row>
    <row r="70" spans="1:210" x14ac:dyDescent="0.35">
      <c r="A70">
        <v>2007</v>
      </c>
      <c r="D70" s="80">
        <f>'SR + catch data Murdoch_age var'!C59</f>
        <v>1057248</v>
      </c>
      <c r="E70" s="80">
        <f>'SR + catch data Murdoch_age var'!E59</f>
        <v>1919087.3845169125</v>
      </c>
      <c r="F70" s="231">
        <f t="shared" si="63"/>
        <v>0.59618044680644766</v>
      </c>
      <c r="G70" s="80">
        <f>'SR + catch data Murdoch_age var'!D59</f>
        <v>1382634.3049989361</v>
      </c>
      <c r="H70" s="80">
        <f>'Orig data'!Q61</f>
        <v>1382634.3049989361</v>
      </c>
      <c r="I70" s="80">
        <f t="shared" si="64"/>
        <v>325386.30499893613</v>
      </c>
      <c r="J70" s="149">
        <f t="shared" si="65"/>
        <v>0.23533793702535574</v>
      </c>
      <c r="K70" s="83">
        <f>'SR + catch data Murdoch_age var'!CM59</f>
        <v>0.792396443444501</v>
      </c>
      <c r="L70" s="83">
        <f>'SR + catch data Murdoch_age var'!CN59</f>
        <v>0.80980838904291341</v>
      </c>
      <c r="M70" s="84">
        <f>'SR + catch data Murdoch_age var'!CO59</f>
        <v>1383454.3796592155</v>
      </c>
      <c r="N70" s="81">
        <f t="shared" si="66"/>
        <v>0.32726620736054529</v>
      </c>
      <c r="O70" s="88">
        <f t="shared" si="67"/>
        <v>2007</v>
      </c>
      <c r="P70" s="81">
        <f>'Orig data'!CN61</f>
        <v>7.4999999999999997E-2</v>
      </c>
      <c r="Q70" s="81">
        <f>'Orig data'!CO61</f>
        <v>0.80625000000000002</v>
      </c>
      <c r="R70" s="81">
        <f>'Orig data'!CP61</f>
        <v>0.11874999999999999</v>
      </c>
      <c r="S70" s="85">
        <f>'Orig data'!CQ61</f>
        <v>0</v>
      </c>
      <c r="T70" s="80">
        <f t="shared" si="144"/>
        <v>103697.57287492021</v>
      </c>
      <c r="U70" s="80">
        <f t="shared" si="145"/>
        <v>1114748.9084053922</v>
      </c>
      <c r="V70" s="80">
        <f t="shared" si="146"/>
        <v>164187.82371862367</v>
      </c>
      <c r="W70" s="80">
        <f t="shared" si="147"/>
        <v>0</v>
      </c>
      <c r="X70" s="79">
        <f t="shared" si="73"/>
        <v>2007</v>
      </c>
      <c r="Y70" s="79">
        <f t="shared" si="149"/>
        <v>95614.307402681283</v>
      </c>
      <c r="Z70" s="79">
        <f t="shared" si="152"/>
        <v>1065761.6721455876</v>
      </c>
      <c r="AA70" s="79">
        <f t="shared" si="156"/>
        <v>335642.9762115152</v>
      </c>
      <c r="AB70" s="79">
        <f t="shared" si="161"/>
        <v>0</v>
      </c>
      <c r="AC70" s="80">
        <f t="shared" si="78"/>
        <v>1497018.9557597842</v>
      </c>
      <c r="AD70" s="84">
        <f t="shared" si="79"/>
        <v>-114384.65076084808</v>
      </c>
      <c r="AE70" s="80">
        <f t="shared" si="80"/>
        <v>325386.30499893613</v>
      </c>
      <c r="AF70" s="72">
        <f t="shared" si="81"/>
        <v>0.21735616890287962</v>
      </c>
      <c r="AG70" s="26">
        <f t="shared" si="82"/>
        <v>-1.7981768122476122E-2</v>
      </c>
      <c r="AH70" s="61">
        <f t="shared" si="249"/>
        <v>2007</v>
      </c>
      <c r="AI70" s="74" cm="1">
        <f t="array" ref="AI70">IF(Uhistoric=1,J70,Uapply)</f>
        <v>0.2</v>
      </c>
      <c r="AJ70" s="75">
        <f t="shared" si="150"/>
        <v>119078.01949200282</v>
      </c>
      <c r="AK70" s="75">
        <f t="shared" si="153"/>
        <v>1319462.3008903475</v>
      </c>
      <c r="AL70" s="75">
        <f t="shared" si="157"/>
        <v>424329.23596982786</v>
      </c>
      <c r="AM70" s="75">
        <f t="shared" si="162"/>
        <v>0</v>
      </c>
      <c r="AN70" s="79">
        <f t="shared" si="84"/>
        <v>1862869.5563521781</v>
      </c>
      <c r="AO70" s="80">
        <f t="shared" si="85"/>
        <v>372573.91127043567</v>
      </c>
      <c r="AP70" s="80">
        <f t="shared" si="86"/>
        <v>1490295.6450817424</v>
      </c>
      <c r="AQ70" s="81">
        <v>-1.992928833338022</v>
      </c>
      <c r="AR70" s="81">
        <v>0.92774416412243355</v>
      </c>
      <c r="AS70" s="81">
        <f>'SR + catch data Murdoch_age var'!N59</f>
        <v>-1.0967813477736057</v>
      </c>
      <c r="AT70" s="121">
        <f>'SR + catch data Murdoch_age var'!BR59</f>
        <v>1.2091667292228285</v>
      </c>
      <c r="AU70" s="122">
        <f t="shared" si="250"/>
        <v>0.79239644344450089</v>
      </c>
      <c r="AV70" s="122">
        <f t="shared" si="88"/>
        <v>0.26891423944590231</v>
      </c>
      <c r="AW70" s="115">
        <f t="shared" si="251"/>
        <v>3341033.7573539526</v>
      </c>
      <c r="AX70" s="115"/>
      <c r="AY70" s="141">
        <f t="shared" si="89"/>
        <v>1.0108589295455515</v>
      </c>
      <c r="AZ70" s="141"/>
      <c r="BA70" s="84">
        <v>740</v>
      </c>
      <c r="BB70" s="101">
        <v>2007</v>
      </c>
      <c r="BC70" s="72">
        <v>3.5750695088044487E-2</v>
      </c>
      <c r="BD70" s="72">
        <v>0.8358758109360519</v>
      </c>
      <c r="BE70" s="72">
        <v>0.11956904541241889</v>
      </c>
      <c r="BF70" s="72">
        <v>8.3410565338276187E-3</v>
      </c>
      <c r="BG70" s="72">
        <v>4.6339202965708991E-4</v>
      </c>
      <c r="BH70" s="76">
        <v>0.74</v>
      </c>
      <c r="BI70" s="76">
        <v>1.333</v>
      </c>
      <c r="BJ70" s="72">
        <f t="shared" si="215"/>
        <v>0.58853713398049323</v>
      </c>
      <c r="BK70">
        <v>0.74</v>
      </c>
      <c r="BL70" s="120">
        <v>0.71918350099999995</v>
      </c>
      <c r="BM70" s="125">
        <v>-0.444916951</v>
      </c>
      <c r="BN70" s="4">
        <v>1.568628962</v>
      </c>
      <c r="BO70" s="98">
        <f t="shared" si="221"/>
        <v>1.0499218975376352</v>
      </c>
      <c r="BP70" s="98">
        <f t="shared" si="216"/>
        <v>1.1659452112818869</v>
      </c>
      <c r="BQ70" s="99">
        <f t="shared" si="217"/>
        <v>0.13389994298128657</v>
      </c>
      <c r="BR70" s="200">
        <v>50</v>
      </c>
      <c r="BS70" s="100">
        <v>18.809999999999999</v>
      </c>
      <c r="BT70" s="98">
        <v>0.16300000000000003</v>
      </c>
      <c r="BU70" s="98">
        <f t="shared" si="222"/>
        <v>0.16300000000000003</v>
      </c>
      <c r="BV70" s="124">
        <f t="shared" si="92"/>
        <v>0.16300000000000003</v>
      </c>
      <c r="BW70" s="100">
        <f t="shared" si="218"/>
        <v>157.51019115890085</v>
      </c>
      <c r="BX70" s="100">
        <v>966.3201911589008</v>
      </c>
      <c r="BY70" s="99">
        <v>0.26</v>
      </c>
      <c r="BZ70" s="89">
        <f t="shared" si="277"/>
        <v>0.15703620481715533</v>
      </c>
      <c r="CA70" s="78">
        <v>2007</v>
      </c>
      <c r="CB70" s="91">
        <f t="shared" si="275"/>
        <v>0.13799999999999998</v>
      </c>
      <c r="CC70" s="97">
        <f t="shared" si="252"/>
        <v>89.880608254598073</v>
      </c>
      <c r="CD70" s="97">
        <f t="shared" si="271"/>
        <v>1446.1933691974457</v>
      </c>
      <c r="CE70" s="97">
        <f t="shared" si="272"/>
        <v>239.86139246925842</v>
      </c>
      <c r="CF70" s="97">
        <f t="shared" si="273"/>
        <v>28.136487996186805</v>
      </c>
      <c r="CG70" s="97">
        <f t="shared" si="274"/>
        <v>2.0135340357686795</v>
      </c>
      <c r="CH70" s="92">
        <f t="shared" si="224"/>
        <v>1806.0853919532576</v>
      </c>
      <c r="CI70" s="200">
        <f t="shared" si="225"/>
        <v>50</v>
      </c>
      <c r="CJ70" s="93">
        <f t="shared" si="226"/>
        <v>18.809999999999999</v>
      </c>
      <c r="CK70" s="92">
        <f t="shared" si="227"/>
        <v>249.23978408954952</v>
      </c>
      <c r="CL70" s="92">
        <f t="shared" si="228"/>
        <v>318.04978408954952</v>
      </c>
      <c r="CM70" s="72">
        <f t="shared" si="229"/>
        <v>3.2116222538347665E-2</v>
      </c>
      <c r="CN70" s="128">
        <f t="shared" si="230"/>
        <v>0.17609897378417022</v>
      </c>
      <c r="CO70" s="111">
        <f t="shared" si="279"/>
        <v>1488.035607863708</v>
      </c>
      <c r="CP70" s="72">
        <f t="shared" si="232"/>
        <v>1.0499218975376352</v>
      </c>
      <c r="CQ70" s="96">
        <f t="shared" si="233"/>
        <v>4.4432255385724009</v>
      </c>
      <c r="CR70" s="92">
        <f t="shared" si="234"/>
        <v>4443.2255385724011</v>
      </c>
      <c r="CS70" s="120">
        <f t="shared" si="235"/>
        <v>-0.90461819600000004</v>
      </c>
      <c r="CT70" s="72">
        <f t="shared" si="97"/>
        <v>-0.444916951</v>
      </c>
      <c r="CU70" s="72">
        <f t="shared" si="236"/>
        <v>1.568628962</v>
      </c>
      <c r="CV70" s="104">
        <f t="shared" si="237"/>
        <v>2.290957286966238</v>
      </c>
      <c r="CW70" s="105">
        <f t="shared" si="99"/>
        <v>-1.992928833338022</v>
      </c>
      <c r="CX70" s="105">
        <f t="shared" si="100"/>
        <v>0.92774416412243355</v>
      </c>
      <c r="CY70" s="105">
        <f t="shared" si="101"/>
        <v>-1.0967813477736057</v>
      </c>
      <c r="CZ70" s="123">
        <f t="shared" si="242"/>
        <v>-0.68849257550252763</v>
      </c>
      <c r="DA70" s="81">
        <f t="shared" si="253"/>
        <v>1.2179394925580465</v>
      </c>
      <c r="DB70" s="9">
        <f t="shared" si="104"/>
        <v>3341033.7573539526</v>
      </c>
      <c r="DD70" s="1">
        <f t="shared" si="105"/>
        <v>1.9485774273406997</v>
      </c>
      <c r="DE70" s="114">
        <v>374</v>
      </c>
      <c r="DF70" s="61">
        <v>2007</v>
      </c>
      <c r="DG70" s="26">
        <v>7.6142131979695434E-3</v>
      </c>
      <c r="DH70" s="26">
        <v>0.29512169725367693</v>
      </c>
      <c r="DI70" s="26">
        <v>0.6060236886632826</v>
      </c>
      <c r="DJ70" s="26">
        <v>8.8702329819081091E-2</v>
      </c>
      <c r="DK70" s="26">
        <v>2.5380710659898475E-3</v>
      </c>
      <c r="DL70" s="106">
        <v>0.374</v>
      </c>
      <c r="DM70" s="106">
        <v>0.56399999999999995</v>
      </c>
      <c r="DN70" s="26">
        <v>0.41079845408352683</v>
      </c>
      <c r="DO70" s="76">
        <f t="shared" si="107"/>
        <v>0.374</v>
      </c>
      <c r="DP70" s="119">
        <v>0.83254940499999996</v>
      </c>
      <c r="DQ70" s="26">
        <v>-0.726701229</v>
      </c>
      <c r="DR70" s="26">
        <v>1.1426856439999999</v>
      </c>
      <c r="DS70" s="26">
        <v>-1.7288453319999999</v>
      </c>
      <c r="DT70" s="113" cm="1">
        <f t="array" ref="DT70">$DN$11+SUMPRODUCT(DP$11:$DS$11*DP70:DS70)</f>
        <v>0.31043218950660445</v>
      </c>
      <c r="DU70" s="76">
        <f t="shared" si="254"/>
        <v>0.34802875054779708</v>
      </c>
      <c r="DV70" s="72">
        <f t="shared" si="179"/>
        <v>0.48276915861948266</v>
      </c>
      <c r="DW70" s="199">
        <v>25</v>
      </c>
      <c r="DX70" s="61">
        <v>1.5681818181818181</v>
      </c>
      <c r="DY70" s="26">
        <v>0.16300000000000003</v>
      </c>
      <c r="DZ70" s="98">
        <f t="shared" si="213"/>
        <v>0.16383497897135343</v>
      </c>
      <c r="EA70" s="110">
        <f t="shared" si="214"/>
        <v>0.16383497897135343</v>
      </c>
      <c r="EB70" s="100">
        <f t="shared" si="188"/>
        <v>78.485798848702075</v>
      </c>
      <c r="EC70" s="61">
        <v>479.05398066688389</v>
      </c>
      <c r="ED70" s="99">
        <v>0.26</v>
      </c>
      <c r="EE70" s="72">
        <f t="shared" si="189"/>
        <v>2.2136898946570074E-2</v>
      </c>
      <c r="EF70" s="37">
        <v>2007</v>
      </c>
      <c r="EG70" s="110">
        <f t="shared" si="276"/>
        <v>0.13799999999999998</v>
      </c>
      <c r="EH70" s="97">
        <f t="shared" si="220"/>
        <v>10.645187212695465</v>
      </c>
      <c r="EI70" s="97">
        <f t="shared" si="238"/>
        <v>416.0898061869629</v>
      </c>
      <c r="EJ70" s="97">
        <f t="shared" si="243"/>
        <v>740.40405197770554</v>
      </c>
      <c r="EK70" s="97">
        <f t="shared" si="246"/>
        <v>137.90126679602395</v>
      </c>
      <c r="EL70" s="97">
        <f t="shared" si="248"/>
        <v>5.0944205918136207</v>
      </c>
      <c r="EM70" s="111">
        <f t="shared" si="196"/>
        <v>1310.1347327652013</v>
      </c>
      <c r="EN70" s="200">
        <f t="shared" si="197"/>
        <v>25</v>
      </c>
      <c r="EO70" s="92">
        <f t="shared" si="198"/>
        <v>1.5681818181818181</v>
      </c>
      <c r="EP70" s="92">
        <f t="shared" si="278"/>
        <v>180.79859312159775</v>
      </c>
      <c r="EQ70" s="92">
        <f t="shared" si="239"/>
        <v>207.36677493977956</v>
      </c>
      <c r="ER70" s="128">
        <f t="shared" si="201"/>
        <v>0.158278969142438</v>
      </c>
      <c r="ES70" s="111">
        <f t="shared" si="240"/>
        <v>1102.7679578254217</v>
      </c>
      <c r="ET70" s="72">
        <f t="shared" si="203"/>
        <v>0.31043218950660445</v>
      </c>
      <c r="EU70" s="96">
        <f t="shared" si="280"/>
        <v>1.8888720644724402</v>
      </c>
      <c r="EV70" s="92">
        <f t="shared" si="205"/>
        <v>1888.8720644724401</v>
      </c>
      <c r="EW70" s="120">
        <f t="shared" si="244"/>
        <v>-0.87704872899999997</v>
      </c>
      <c r="EX70" s="9">
        <f t="shared" si="184"/>
        <v>-0.726701229</v>
      </c>
      <c r="EY70" s="9">
        <f t="shared" si="185"/>
        <v>1.1426856439999999</v>
      </c>
      <c r="EZ70" s="9">
        <f t="shared" si="186"/>
        <v>-1.7288453319999999</v>
      </c>
      <c r="FA70" s="113" cm="1">
        <f t="array" ref="FA70">$DN$11+SUMPRODUCT($DP$11:$DS$11*EW70:EZ70)</f>
        <v>1.6657010567052801</v>
      </c>
      <c r="FB70">
        <v>2007</v>
      </c>
      <c r="FC70" s="116">
        <f t="shared" si="121"/>
        <v>1490295.6450817424</v>
      </c>
      <c r="FD70" s="116">
        <f t="shared" si="255"/>
        <v>2782649.7433142918</v>
      </c>
      <c r="FE70" s="116">
        <f t="shared" si="159"/>
        <v>2335657.1150440336</v>
      </c>
      <c r="FF70" s="116">
        <f t="shared" si="256"/>
        <v>2408523.8751981775</v>
      </c>
      <c r="FG70" s="5">
        <f t="shared" si="257"/>
        <v>374125.86811611429</v>
      </c>
      <c r="FH70" s="5">
        <f t="shared" si="155"/>
        <v>314027.93250818877</v>
      </c>
      <c r="FI70" s="155">
        <f t="shared" si="258"/>
        <v>0.13444950052194116</v>
      </c>
      <c r="FJ70" s="117">
        <f t="shared" si="127"/>
        <v>13.444950052194116</v>
      </c>
      <c r="FK70" s="61">
        <f t="shared" si="259"/>
        <v>7775.0525071201791</v>
      </c>
      <c r="FL70" s="61">
        <f t="shared" si="142"/>
        <v>357.89465611531466</v>
      </c>
      <c r="FM70" s="92">
        <f t="shared" si="128"/>
        <v>48.118757754175952</v>
      </c>
      <c r="FN70" s="72">
        <f t="shared" si="129"/>
        <v>0.13444950052194116</v>
      </c>
      <c r="FO70" s="179">
        <f t="shared" si="260"/>
        <v>1.603958591805865</v>
      </c>
      <c r="FP70" s="92">
        <f t="shared" si="160"/>
        <v>41.241135454342235</v>
      </c>
      <c r="FQ70" s="1">
        <f t="shared" si="143"/>
        <v>0</v>
      </c>
      <c r="FR70" s="26">
        <f t="shared" si="130"/>
        <v>1.2341408827186904</v>
      </c>
      <c r="FS70">
        <f t="shared" si="261"/>
        <v>2007</v>
      </c>
      <c r="FT70" s="5">
        <f t="shared" si="241"/>
        <v>1488.035607863708</v>
      </c>
      <c r="FU70" s="214">
        <f t="shared" si="262"/>
        <v>8211.7516896384786</v>
      </c>
      <c r="FV70" s="213">
        <f t="shared" si="131"/>
        <v>4732.4100991700025</v>
      </c>
      <c r="FW70" s="5">
        <f t="shared" si="132"/>
        <v>3479.3415904684762</v>
      </c>
      <c r="FX70" s="1">
        <f t="shared" si="133"/>
        <v>0.423702727745492</v>
      </c>
      <c r="FY70">
        <f t="shared" si="263"/>
        <v>34055.181925305471</v>
      </c>
      <c r="FZ70" s="26">
        <f t="shared" si="134"/>
        <v>0.10216775814323496</v>
      </c>
      <c r="GA70" s="106">
        <f t="shared" si="264"/>
        <v>3.4055919381078322E-3</v>
      </c>
      <c r="GB70" s="61">
        <f t="shared" si="135"/>
        <v>1102.7679578254217</v>
      </c>
      <c r="GC70" s="61">
        <f t="shared" si="207"/>
        <v>3137.5989420834917</v>
      </c>
      <c r="GD70" s="61">
        <f t="shared" si="247"/>
        <v>2193.5089139139159</v>
      </c>
      <c r="GE70" s="61">
        <f t="shared" si="210"/>
        <v>1888.8720644724401</v>
      </c>
      <c r="GF70" s="61">
        <f t="shared" si="137"/>
        <v>1248.7268776110516</v>
      </c>
      <c r="GG70" s="61">
        <f t="shared" si="245"/>
        <v>807.68887735467911</v>
      </c>
      <c r="GH70" s="6">
        <f t="shared" si="138"/>
        <v>0.39798804775917179</v>
      </c>
      <c r="GI70">
        <f t="shared" si="265"/>
        <v>9248.6922093424037</v>
      </c>
      <c r="GJ70" s="26">
        <f t="shared" si="208"/>
        <v>0.13501658930217961</v>
      </c>
      <c r="GK70">
        <f t="shared" si="266"/>
        <v>4.5005529767393202E-3</v>
      </c>
      <c r="GL70" s="232">
        <f t="shared" si="140"/>
        <v>1.2341408827186904</v>
      </c>
      <c r="GY70">
        <v>2007</v>
      </c>
      <c r="GZ70" s="112">
        <f t="shared" si="267"/>
        <v>0.79239644344450089</v>
      </c>
      <c r="HA70" s="112">
        <f t="shared" si="268"/>
        <v>0.31043218950660445</v>
      </c>
      <c r="HB70" s="112">
        <f t="shared" si="269"/>
        <v>2.290957286966238</v>
      </c>
    </row>
    <row r="71" spans="1:210" x14ac:dyDescent="0.35">
      <c r="A71">
        <v>2008</v>
      </c>
      <c r="D71" s="80">
        <f>'SR + catch data Murdoch_age var'!C60</f>
        <v>982016</v>
      </c>
      <c r="E71" s="80">
        <f>'SR + catch data Murdoch_age var'!E60</f>
        <v>1341575.4990023808</v>
      </c>
      <c r="F71" s="231">
        <f t="shared" si="63"/>
        <v>0.31199234632089623</v>
      </c>
      <c r="G71" s="80">
        <f>'SR + catch data Murdoch_age var'!D60</f>
        <v>1231940.0157277284</v>
      </c>
      <c r="H71" s="80">
        <f>'Orig data'!Q62</f>
        <v>1231940.0157277284</v>
      </c>
      <c r="I71" s="80">
        <f t="shared" si="64"/>
        <v>249924.01572772837</v>
      </c>
      <c r="J71" s="149">
        <f t="shared" si="65"/>
        <v>0.20287027983265396</v>
      </c>
      <c r="K71" s="83">
        <f>'SR + catch data Murdoch_age var'!CM60</f>
        <v>0.82591960068558223</v>
      </c>
      <c r="L71" s="83">
        <f>'SR + catch data Murdoch_age var'!CN60</f>
        <v>0.80625757828890732</v>
      </c>
      <c r="M71" s="84">
        <f>'SR + catch data Murdoch_age var'!CO60</f>
        <v>1379249.9509381927</v>
      </c>
      <c r="N71" s="81">
        <f t="shared" si="66"/>
        <v>-2.7695168759522562E-2</v>
      </c>
      <c r="O71" s="88">
        <f t="shared" si="67"/>
        <v>2008</v>
      </c>
      <c r="P71" s="81">
        <f>'Orig data'!CN62</f>
        <v>0.11159420289855072</v>
      </c>
      <c r="Q71" s="81">
        <f>'Orig data'!CO62</f>
        <v>0.8144927536231884</v>
      </c>
      <c r="R71" s="81">
        <f>'Orig data'!CP62</f>
        <v>7.3913043478260873E-2</v>
      </c>
      <c r="S71" s="85">
        <f>'Orig data'!CQ62</f>
        <v>0</v>
      </c>
      <c r="T71" s="80">
        <f t="shared" si="144"/>
        <v>137477.36407396389</v>
      </c>
      <c r="U71" s="80">
        <f t="shared" si="145"/>
        <v>1003406.2157086715</v>
      </c>
      <c r="V71" s="80">
        <f t="shared" si="146"/>
        <v>91056.435945092977</v>
      </c>
      <c r="W71" s="80">
        <f t="shared" si="147"/>
        <v>0</v>
      </c>
      <c r="X71" s="79">
        <f t="shared" si="73"/>
        <v>2008</v>
      </c>
      <c r="Y71" s="79">
        <f t="shared" si="149"/>
        <v>92265.300860013231</v>
      </c>
      <c r="Z71" s="79">
        <f t="shared" si="152"/>
        <v>1038362.1402957853</v>
      </c>
      <c r="AA71" s="79">
        <f t="shared" si="156"/>
        <v>97703.800075362262</v>
      </c>
      <c r="AB71" s="79">
        <f t="shared" si="161"/>
        <v>0</v>
      </c>
      <c r="AC71" s="80">
        <f t="shared" si="78"/>
        <v>1228331.2412311607</v>
      </c>
      <c r="AD71" s="84">
        <f t="shared" si="79"/>
        <v>3608.7744965676684</v>
      </c>
      <c r="AE71" s="80">
        <f t="shared" si="80"/>
        <v>249924.01572772837</v>
      </c>
      <c r="AF71" s="72">
        <f t="shared" si="81"/>
        <v>0.20346630236094024</v>
      </c>
      <c r="AG71" s="26">
        <f t="shared" si="82"/>
        <v>5.9602252828627744E-4</v>
      </c>
      <c r="AH71" s="61">
        <f t="shared" si="249"/>
        <v>2008</v>
      </c>
      <c r="AI71" s="74" cm="1">
        <f t="array" ref="AI71">IF(Uhistoric=1,J71,Uapply)</f>
        <v>0.2</v>
      </c>
      <c r="AJ71" s="75">
        <f t="shared" si="150"/>
        <v>137295.39529347679</v>
      </c>
      <c r="AK71" s="75">
        <f t="shared" si="153"/>
        <v>1293175.7865604945</v>
      </c>
      <c r="AL71" s="75">
        <f t="shared" si="157"/>
        <v>120961.82873008915</v>
      </c>
      <c r="AM71" s="75">
        <f t="shared" si="162"/>
        <v>0</v>
      </c>
      <c r="AN71" s="79">
        <f t="shared" si="84"/>
        <v>1551433.0105840603</v>
      </c>
      <c r="AO71" s="80">
        <f t="shared" si="85"/>
        <v>310286.60211681208</v>
      </c>
      <c r="AP71" s="80">
        <f t="shared" si="86"/>
        <v>1241146.4084672483</v>
      </c>
      <c r="AQ71" s="81">
        <v>-1.1563723933311598</v>
      </c>
      <c r="AR71" s="81">
        <v>0.45825619729049993</v>
      </c>
      <c r="AS71" s="81">
        <f>'SR + catch data Murdoch_age var'!N60</f>
        <v>-1.5124077305316681</v>
      </c>
      <c r="AT71" s="121">
        <f>'SR + catch data Murdoch_age var'!BR60</f>
        <v>1.3879490888126806</v>
      </c>
      <c r="AU71" s="122">
        <f t="shared" si="250"/>
        <v>0.82591960068558223</v>
      </c>
      <c r="AV71" s="122">
        <f t="shared" si="88"/>
        <v>0.33968751508041883</v>
      </c>
      <c r="AW71" s="115">
        <f t="shared" si="251"/>
        <v>2375854.5791793857</v>
      </c>
      <c r="AX71" s="115"/>
      <c r="AY71" s="141">
        <f t="shared" si="89"/>
        <v>0.72952637064999692</v>
      </c>
      <c r="AZ71" s="141"/>
      <c r="BA71" s="84">
        <v>1160</v>
      </c>
      <c r="BB71" s="101">
        <v>2008</v>
      </c>
      <c r="BC71" s="72">
        <v>3.5750695088044487E-2</v>
      </c>
      <c r="BD71" s="72">
        <v>0.8358758109360519</v>
      </c>
      <c r="BE71" s="72">
        <v>0.11956904541241889</v>
      </c>
      <c r="BF71" s="72">
        <v>8.3410565338276187E-3</v>
      </c>
      <c r="BG71" s="72">
        <v>4.6339202965708991E-4</v>
      </c>
      <c r="BH71" s="76">
        <v>1.1599999999999999</v>
      </c>
      <c r="BI71" s="76">
        <v>1.177</v>
      </c>
      <c r="BJ71" s="72">
        <f t="shared" si="215"/>
        <v>1.4548823159866388E-2</v>
      </c>
      <c r="BK71">
        <v>1.1599999999999999</v>
      </c>
      <c r="BL71" s="120">
        <v>0.83254940499999996</v>
      </c>
      <c r="BM71" s="125">
        <v>-0.15371162799999999</v>
      </c>
      <c r="BN71" s="4">
        <v>1.1426856439999999</v>
      </c>
      <c r="BO71" s="98">
        <f t="shared" si="221"/>
        <v>0.92115093386836056</v>
      </c>
      <c r="BP71" s="98">
        <f t="shared" si="216"/>
        <v>1.1461654040941429</v>
      </c>
      <c r="BQ71" s="99">
        <f t="shared" si="217"/>
        <v>2.6546888730123525E-2</v>
      </c>
      <c r="BR71" s="200">
        <v>50</v>
      </c>
      <c r="BS71" s="100">
        <v>18.84</v>
      </c>
      <c r="BT71" s="98">
        <v>0.10499999999999998</v>
      </c>
      <c r="BU71" s="98">
        <f t="shared" si="222"/>
        <v>0.10499999999999994</v>
      </c>
      <c r="BV71" s="124">
        <f t="shared" si="92"/>
        <v>0.10499999999999994</v>
      </c>
      <c r="BW71" s="100">
        <f t="shared" si="218"/>
        <v>144.16558659217867</v>
      </c>
      <c r="BX71" s="100">
        <v>1373.0055865921786</v>
      </c>
      <c r="BY71" s="99">
        <v>0.28000000000000003</v>
      </c>
      <c r="BZ71" s="89">
        <f t="shared" si="277"/>
        <v>0.16068086789639488</v>
      </c>
      <c r="CA71" s="78">
        <v>2008</v>
      </c>
      <c r="CB71" s="91">
        <f t="shared" si="275"/>
        <v>0.13799999999999998</v>
      </c>
      <c r="CC71" s="97">
        <f t="shared" si="252"/>
        <v>80.658803806470971</v>
      </c>
      <c r="CD71" s="97">
        <f t="shared" si="271"/>
        <v>2101.4703665821007</v>
      </c>
      <c r="CE71" s="97">
        <f t="shared" si="272"/>
        <v>206.87278944352366</v>
      </c>
      <c r="CF71" s="97">
        <f t="shared" si="273"/>
        <v>16.732570105982454</v>
      </c>
      <c r="CG71" s="97">
        <f t="shared" si="274"/>
        <v>1.563138222010378</v>
      </c>
      <c r="CH71" s="92">
        <f t="shared" si="224"/>
        <v>2407.2976681600885</v>
      </c>
      <c r="CI71" s="200">
        <f t="shared" si="225"/>
        <v>50</v>
      </c>
      <c r="CJ71" s="93">
        <f t="shared" si="226"/>
        <v>18.84</v>
      </c>
      <c r="CK71" s="92">
        <f t="shared" si="227"/>
        <v>332.20707820609215</v>
      </c>
      <c r="CL71" s="92">
        <f t="shared" si="228"/>
        <v>401.04707820609212</v>
      </c>
      <c r="CM71" s="72">
        <f t="shared" si="229"/>
        <v>2.4095333592693165E-2</v>
      </c>
      <c r="CN71" s="128">
        <f t="shared" si="230"/>
        <v>0.16659638046034195</v>
      </c>
      <c r="CO71" s="111">
        <f t="shared" si="279"/>
        <v>2006.2505899539965</v>
      </c>
      <c r="CP71" s="72">
        <f t="shared" si="232"/>
        <v>0.92115093386836056</v>
      </c>
      <c r="CQ71" s="96">
        <f t="shared" si="233"/>
        <v>3.7855498713110749</v>
      </c>
      <c r="CR71" s="92">
        <f t="shared" si="234"/>
        <v>3785.5498713110751</v>
      </c>
      <c r="CS71" s="120">
        <f t="shared" si="235"/>
        <v>-0.90461819600000004</v>
      </c>
      <c r="CT71" s="72">
        <f t="shared" si="97"/>
        <v>-0.15371162799999999</v>
      </c>
      <c r="CU71" s="72">
        <f t="shared" si="236"/>
        <v>1.1426856439999999</v>
      </c>
      <c r="CV71" s="104">
        <f t="shared" si="237"/>
        <v>2.248829353094564</v>
      </c>
      <c r="CW71" s="105">
        <f t="shared" si="99"/>
        <v>-1.1563723933311598</v>
      </c>
      <c r="CX71" s="105">
        <f t="shared" si="100"/>
        <v>0.45825619729049993</v>
      </c>
      <c r="CY71" s="105">
        <f t="shared" si="101"/>
        <v>-1.5124077305316681</v>
      </c>
      <c r="CZ71" s="123">
        <f t="shared" si="242"/>
        <v>-0.68849257550252763</v>
      </c>
      <c r="DA71" s="81">
        <f t="shared" si="253"/>
        <v>1.2915539297449716</v>
      </c>
      <c r="DB71" s="9">
        <f t="shared" si="104"/>
        <v>2375854.5791793857</v>
      </c>
      <c r="DD71" s="1">
        <f t="shared" si="105"/>
        <v>6.4336738419553985</v>
      </c>
      <c r="DE71" s="114">
        <v>158</v>
      </c>
      <c r="DF71" s="126">
        <v>2008</v>
      </c>
      <c r="DG71" s="26">
        <v>7.6142131979695434E-3</v>
      </c>
      <c r="DH71" s="26">
        <v>0.29512169725367693</v>
      </c>
      <c r="DI71" s="26">
        <v>0.6060236886632826</v>
      </c>
      <c r="DJ71" s="26">
        <v>8.8702329819081091E-2</v>
      </c>
      <c r="DK71" s="26">
        <v>2.5380710659898475E-3</v>
      </c>
      <c r="DL71" s="106">
        <v>0.158</v>
      </c>
      <c r="DM71" s="106">
        <v>1.0029999999999999</v>
      </c>
      <c r="DN71" s="26">
        <v>1.8481557549349685</v>
      </c>
      <c r="DO71" s="76">
        <f t="shared" si="107"/>
        <v>0.158</v>
      </c>
      <c r="DP71" s="119">
        <v>0.95329186200000005</v>
      </c>
      <c r="DQ71" s="26">
        <v>-1.0574423900000001</v>
      </c>
      <c r="DR71" s="26">
        <v>1.3524921190000001</v>
      </c>
      <c r="DS71" s="26">
        <v>-0.90123567999999998</v>
      </c>
      <c r="DT71" s="113" cm="1">
        <f t="array" ref="DT71">$DN$11+SUMPRODUCT(DP$11:$DS$11*DP71:DS71)</f>
        <v>0.45679682133369559</v>
      </c>
      <c r="DU71" s="76">
        <f t="shared" si="254"/>
        <v>0.21226637432898718</v>
      </c>
      <c r="DV71" s="72">
        <f>LN(DM71/DU71)</f>
        <v>1.5529088193197877</v>
      </c>
      <c r="DW71" s="199">
        <v>25</v>
      </c>
      <c r="DX71" s="61">
        <v>0</v>
      </c>
      <c r="DY71" s="26">
        <v>0.10499999999999998</v>
      </c>
      <c r="DZ71" s="98">
        <f t="shared" si="213"/>
        <v>0.1069520174482006</v>
      </c>
      <c r="EA71" s="110">
        <f t="shared" si="214"/>
        <v>0.1069520174482006</v>
      </c>
      <c r="EB71" s="100">
        <f t="shared" si="188"/>
        <v>21.916201117318423</v>
      </c>
      <c r="EC71" s="61">
        <v>204.91620111731842</v>
      </c>
      <c r="ED71" s="99">
        <v>0.28000000000000003</v>
      </c>
      <c r="EE71" s="125">
        <f t="shared" si="189"/>
        <v>2.0841661886705075E-2</v>
      </c>
      <c r="EF71" s="37">
        <v>2008</v>
      </c>
      <c r="EG71" s="110">
        <f t="shared" si="276"/>
        <v>0.13799999999999998</v>
      </c>
      <c r="EH71" s="97">
        <f t="shared" si="220"/>
        <v>12.20966088610874</v>
      </c>
      <c r="EI71" s="97">
        <f t="shared" si="238"/>
        <v>412.60017760358886</v>
      </c>
      <c r="EJ71" s="97">
        <f t="shared" si="243"/>
        <v>854.42812747130858</v>
      </c>
      <c r="EK71" s="97">
        <f t="shared" si="246"/>
        <v>108.37128258595349</v>
      </c>
      <c r="EL71" s="97">
        <f t="shared" si="248"/>
        <v>3.9458176119185135</v>
      </c>
      <c r="EM71" s="111">
        <f t="shared" si="196"/>
        <v>1391.5550661588782</v>
      </c>
      <c r="EN71" s="200">
        <f t="shared" si="197"/>
        <v>25</v>
      </c>
      <c r="EO71" s="92">
        <f t="shared" si="198"/>
        <v>0</v>
      </c>
      <c r="EP71" s="92">
        <f t="shared" si="278"/>
        <v>192.03459912992517</v>
      </c>
      <c r="EQ71" s="92">
        <f t="shared" si="239"/>
        <v>217.03459912992517</v>
      </c>
      <c r="ER71" s="128">
        <f t="shared" si="201"/>
        <v>0.15596551254633975</v>
      </c>
      <c r="ES71" s="111">
        <f t="shared" si="240"/>
        <v>1174.5204670289529</v>
      </c>
      <c r="ET71" s="72">
        <f t="shared" si="203"/>
        <v>0.45679682133369559</v>
      </c>
      <c r="EU71" s="96">
        <f t="shared" si="280"/>
        <v>2.3815082361419972</v>
      </c>
      <c r="EV71" s="92">
        <f t="shared" si="205"/>
        <v>2381.5082361419973</v>
      </c>
      <c r="EW71" s="120">
        <f t="shared" si="244"/>
        <v>-0.87704872899999997</v>
      </c>
      <c r="EX71" s="9">
        <f t="shared" si="184"/>
        <v>-1.0574423900000001</v>
      </c>
      <c r="EY71" s="9">
        <f t="shared" si="185"/>
        <v>1.3524921190000001</v>
      </c>
      <c r="EZ71" s="9">
        <f t="shared" si="186"/>
        <v>-0.90123567999999998</v>
      </c>
      <c r="FA71" s="113" cm="1">
        <f t="array" ref="FA71">$DN$11+SUMPRODUCT($DP$11:$DS$11*EW71:EZ71)</f>
        <v>1.9077832081451849</v>
      </c>
      <c r="FB71">
        <v>2008</v>
      </c>
      <c r="FC71" s="116">
        <f t="shared" si="121"/>
        <v>1241146.4084672483</v>
      </c>
      <c r="FD71" s="116">
        <f t="shared" si="255"/>
        <v>2821988.9090041039</v>
      </c>
      <c r="FE71" s="116">
        <f t="shared" si="159"/>
        <v>1878171.1009738813</v>
      </c>
      <c r="FF71" s="116">
        <f t="shared" si="256"/>
        <v>2442573.9097100445</v>
      </c>
      <c r="FG71" s="5">
        <f t="shared" si="257"/>
        <v>379414.99929405935</v>
      </c>
      <c r="FH71" s="5">
        <f t="shared" si="155"/>
        <v>252519.1664206828</v>
      </c>
      <c r="FI71" s="155">
        <f t="shared" si="258"/>
        <v>0.13444950052194113</v>
      </c>
      <c r="FJ71" s="117">
        <f t="shared" si="127"/>
        <v>13.444950052194113</v>
      </c>
      <c r="FK71" s="61">
        <f t="shared" si="259"/>
        <v>7775.0525071201791</v>
      </c>
      <c r="FL71" s="61">
        <f t="shared" si="142"/>
        <v>362.95432171291498</v>
      </c>
      <c r="FM71" s="92">
        <f t="shared" si="128"/>
        <v>48.799027266581355</v>
      </c>
      <c r="FN71" s="72">
        <f t="shared" si="129"/>
        <v>0.13444950052194113</v>
      </c>
      <c r="FO71" s="179">
        <f t="shared" si="260"/>
        <v>1.6266342422193785</v>
      </c>
      <c r="FP71" s="92">
        <f t="shared" si="160"/>
        <v>42.182268159562852</v>
      </c>
      <c r="FQ71" s="1">
        <f t="shared" si="143"/>
        <v>0</v>
      </c>
      <c r="FR71" s="26">
        <f t="shared" si="130"/>
        <v>1.2341408827186904</v>
      </c>
      <c r="FS71">
        <f t="shared" si="261"/>
        <v>2008</v>
      </c>
      <c r="FT71" s="5">
        <f t="shared" si="241"/>
        <v>2006.2505899539965</v>
      </c>
      <c r="FU71" s="214">
        <f t="shared" si="262"/>
        <v>6877.5000942015031</v>
      </c>
      <c r="FV71" s="213">
        <f t="shared" si="131"/>
        <v>3963.4845442184478</v>
      </c>
      <c r="FW71" s="5">
        <f t="shared" si="132"/>
        <v>2914.0155499830553</v>
      </c>
      <c r="FX71" s="1">
        <f t="shared" si="133"/>
        <v>0.42370272774549206</v>
      </c>
      <c r="FY71">
        <f t="shared" si="263"/>
        <v>35701.593264884526</v>
      </c>
      <c r="FZ71" s="26">
        <f t="shared" si="134"/>
        <v>8.1621442728418259E-2</v>
      </c>
      <c r="GA71" s="106">
        <f t="shared" si="264"/>
        <v>2.720714757613942E-3</v>
      </c>
      <c r="GB71" s="61">
        <f t="shared" si="135"/>
        <v>1174.5204670289529</v>
      </c>
      <c r="GC71" s="61">
        <f t="shared" si="207"/>
        <v>3955.9152061308278</v>
      </c>
      <c r="GD71" s="61">
        <f t="shared" si="247"/>
        <v>2383.8394129325616</v>
      </c>
      <c r="GE71" s="61">
        <f t="shared" si="210"/>
        <v>2381.5082361419977</v>
      </c>
      <c r="GF71" s="61">
        <f t="shared" si="137"/>
        <v>1574.40696998883</v>
      </c>
      <c r="GG71" s="61">
        <f t="shared" si="245"/>
        <v>932.07498421192031</v>
      </c>
      <c r="GH71" s="6">
        <f t="shared" si="138"/>
        <v>0.39798804775917185</v>
      </c>
      <c r="GI71">
        <f t="shared" si="265"/>
        <v>9248.6922093424037</v>
      </c>
      <c r="GJ71" s="26">
        <f t="shared" si="208"/>
        <v>0.1702302265393231</v>
      </c>
      <c r="GK71">
        <f t="shared" si="266"/>
        <v>5.6743408846441036E-3</v>
      </c>
      <c r="GL71" s="232">
        <f t="shared" si="140"/>
        <v>1.2341408827186904</v>
      </c>
      <c r="GY71">
        <v>2008</v>
      </c>
      <c r="GZ71" s="112">
        <f t="shared" si="267"/>
        <v>0.82591960068558223</v>
      </c>
      <c r="HA71" s="112">
        <f t="shared" si="268"/>
        <v>0.45679682133369559</v>
      </c>
      <c r="HB71" s="112">
        <f t="shared" si="269"/>
        <v>2.248829353094564</v>
      </c>
    </row>
    <row r="72" spans="1:210" x14ac:dyDescent="0.35">
      <c r="A72">
        <v>2009</v>
      </c>
      <c r="D72" s="80">
        <f>'SR + catch data Murdoch_age var'!C61</f>
        <v>474550</v>
      </c>
      <c r="E72" s="80">
        <f>'SR + catch data Murdoch_age var'!E61</f>
        <v>1605367.0756795239</v>
      </c>
      <c r="F72" s="231">
        <f t="shared" si="63"/>
        <v>1.2187407304265099</v>
      </c>
      <c r="G72" s="80">
        <f>'SR + catch data Murdoch_age var'!D61</f>
        <v>816921.59766111372</v>
      </c>
      <c r="H72" s="80">
        <f>'Orig data'!Q63</f>
        <v>816921.59766111372</v>
      </c>
      <c r="I72" s="80">
        <f t="shared" si="64"/>
        <v>342371.59766111372</v>
      </c>
      <c r="J72" s="149">
        <f t="shared" si="65"/>
        <v>0.41909970141729669</v>
      </c>
      <c r="K72" s="83">
        <f>'SR + catch data Murdoch_age var'!CM61</f>
        <v>0.82691422066627984</v>
      </c>
      <c r="L72" s="83">
        <f>'SR + catch data Murdoch_age var'!CN61</f>
        <v>0.7700048871734092</v>
      </c>
      <c r="M72" s="84">
        <f>'SR + catch data Murdoch_age var'!CO61</f>
        <v>857751.23622177914</v>
      </c>
      <c r="N72" s="81">
        <f t="shared" si="66"/>
        <v>0.62679359402762513</v>
      </c>
      <c r="O72" s="88">
        <f t="shared" si="67"/>
        <v>2009</v>
      </c>
      <c r="P72" s="81">
        <f>'Orig data'!CN63</f>
        <v>3.8109756097560975E-2</v>
      </c>
      <c r="Q72" s="81">
        <f>'Orig data'!CO63</f>
        <v>0.75914634146341464</v>
      </c>
      <c r="R72" s="81">
        <f>'Orig data'!CP63</f>
        <v>0.2027439024390244</v>
      </c>
      <c r="S72" s="85">
        <f>'Orig data'!CQ63</f>
        <v>0</v>
      </c>
      <c r="T72" s="80">
        <f t="shared" si="144"/>
        <v>31132.682837694883</v>
      </c>
      <c r="U72" s="80">
        <f t="shared" si="145"/>
        <v>620163.04212688212</v>
      </c>
      <c r="V72" s="80">
        <f t="shared" si="146"/>
        <v>165625.8726965368</v>
      </c>
      <c r="W72" s="80">
        <f t="shared" si="147"/>
        <v>0</v>
      </c>
      <c r="X72" s="79">
        <f t="shared" si="73"/>
        <v>2009</v>
      </c>
      <c r="Y72" s="79">
        <f t="shared" si="149"/>
        <v>24896.206246503974</v>
      </c>
      <c r="Z72" s="79">
        <f t="shared" si="152"/>
        <v>627656.84751183377</v>
      </c>
      <c r="AA72" s="79">
        <f t="shared" si="156"/>
        <v>258469.57082432136</v>
      </c>
      <c r="AB72" s="79">
        <f t="shared" si="161"/>
        <v>0</v>
      </c>
      <c r="AC72" s="80">
        <f t="shared" si="78"/>
        <v>911022.6245826591</v>
      </c>
      <c r="AD72" s="84">
        <f t="shared" si="79"/>
        <v>-94101.026921545388</v>
      </c>
      <c r="AE72" s="80">
        <f t="shared" si="80"/>
        <v>342371.59766111372</v>
      </c>
      <c r="AF72" s="72">
        <f t="shared" si="81"/>
        <v>0.37581020319660524</v>
      </c>
      <c r="AG72" s="26">
        <f t="shared" si="82"/>
        <v>-4.3289498220691447E-2</v>
      </c>
      <c r="AH72" s="61">
        <f t="shared" si="249"/>
        <v>2009</v>
      </c>
      <c r="AI72" s="74" cm="1">
        <f t="array" ref="AI72">IF(Uhistoric=1,J72,Uapply)</f>
        <v>0.2</v>
      </c>
      <c r="AJ72" s="75">
        <f t="shared" si="150"/>
        <v>34763.294439944337</v>
      </c>
      <c r="AK72" s="75">
        <f t="shared" si="153"/>
        <v>933984.86955069087</v>
      </c>
      <c r="AL72" s="75">
        <f t="shared" si="157"/>
        <v>321897.89822025155</v>
      </c>
      <c r="AM72" s="75">
        <f t="shared" si="162"/>
        <v>0</v>
      </c>
      <c r="AN72" s="79">
        <f t="shared" si="84"/>
        <v>1290646.0622108867</v>
      </c>
      <c r="AO72" s="80">
        <f t="shared" si="85"/>
        <v>258129.21244217735</v>
      </c>
      <c r="AP72" s="80">
        <f t="shared" si="86"/>
        <v>1032516.8497687094</v>
      </c>
      <c r="AQ72" s="81">
        <v>-0.12864918808917616</v>
      </c>
      <c r="AR72" s="81">
        <v>1.619621167874757</v>
      </c>
      <c r="AS72" s="81">
        <f>'SR + catch data Murdoch_age var'!N61</f>
        <v>-7.8402249474816676E-3</v>
      </c>
      <c r="AT72" s="121">
        <f>'SR + catch data Murdoch_age var'!BR61</f>
        <v>1.6300786437820736</v>
      </c>
      <c r="AU72" s="122">
        <f t="shared" si="250"/>
        <v>0.82691422066627984</v>
      </c>
      <c r="AV72" s="122">
        <f t="shared" si="88"/>
        <v>0.59194713639888474</v>
      </c>
      <c r="AW72" s="115">
        <f t="shared" si="251"/>
        <v>4456667.3520393111</v>
      </c>
      <c r="AX72" s="115"/>
      <c r="AY72" s="141">
        <f t="shared" si="89"/>
        <v>1.8079062601255254</v>
      </c>
      <c r="AZ72" s="141"/>
      <c r="BA72" s="84">
        <v>690</v>
      </c>
      <c r="BB72" s="101">
        <v>2009</v>
      </c>
      <c r="BC72" s="72">
        <v>3.5750695088044487E-2</v>
      </c>
      <c r="BD72" s="72">
        <v>0.8358758109360519</v>
      </c>
      <c r="BE72" s="72">
        <v>0.11956904541241889</v>
      </c>
      <c r="BF72" s="72">
        <v>8.3410565338276187E-3</v>
      </c>
      <c r="BG72" s="72">
        <v>4.6339202965708991E-4</v>
      </c>
      <c r="BH72" s="76">
        <v>0.69</v>
      </c>
      <c r="BI72" s="76">
        <v>1.802</v>
      </c>
      <c r="BJ72" s="72">
        <f t="shared" si="215"/>
        <v>0.95996084057697828</v>
      </c>
      <c r="BK72">
        <v>0.69</v>
      </c>
      <c r="BL72" s="120">
        <v>0.95329186200000005</v>
      </c>
      <c r="BM72" s="125">
        <v>-0.726701229</v>
      </c>
      <c r="BN72" s="4">
        <v>1.3524921190000001</v>
      </c>
      <c r="BO72" s="98">
        <f t="shared" si="221"/>
        <v>0.93701883434967959</v>
      </c>
      <c r="BP72" s="98">
        <f t="shared" si="216"/>
        <v>1.0109519240623135</v>
      </c>
      <c r="BQ72" s="99">
        <f t="shared" si="217"/>
        <v>0.57800477313475229</v>
      </c>
      <c r="BR72" s="200">
        <v>50</v>
      </c>
      <c r="BS72" s="100">
        <v>0</v>
      </c>
      <c r="BT72" s="98">
        <v>7.0999999999999952E-2</v>
      </c>
      <c r="BU72" s="98">
        <f t="shared" si="222"/>
        <v>7.1000000000000008E-2</v>
      </c>
      <c r="BV72" s="228" t="e">
        <f>NA()</f>
        <v>#N/A</v>
      </c>
      <c r="BW72" s="100">
        <f t="shared" si="218"/>
        <v>56.555435952637254</v>
      </c>
      <c r="BX72" s="100">
        <v>796.55543595263725</v>
      </c>
      <c r="BY72" s="99">
        <v>0.3</v>
      </c>
      <c r="BZ72" s="89">
        <f t="shared" si="277"/>
        <v>0.16414996059379214</v>
      </c>
      <c r="CA72" s="78">
        <v>2009</v>
      </c>
      <c r="CB72" s="91">
        <f t="shared" si="275"/>
        <v>0.13799999999999998</v>
      </c>
      <c r="CC72" s="97">
        <f t="shared" si="252"/>
        <v>103.80566283194979</v>
      </c>
      <c r="CD72" s="97">
        <f t="shared" si="271"/>
        <v>1885.8582434502719</v>
      </c>
      <c r="CE72" s="97">
        <f t="shared" si="272"/>
        <v>300.60782045280541</v>
      </c>
      <c r="CF72" s="97">
        <f t="shared" si="273"/>
        <v>14.431307251030603</v>
      </c>
      <c r="CG72" s="97">
        <f t="shared" si="274"/>
        <v>0.92958722811013628</v>
      </c>
      <c r="CH72" s="92">
        <f t="shared" si="224"/>
        <v>2305.6326212141676</v>
      </c>
      <c r="CI72" s="200">
        <f t="shared" si="225"/>
        <v>50</v>
      </c>
      <c r="CJ72" s="93">
        <f t="shared" si="226"/>
        <v>0</v>
      </c>
      <c r="CK72" s="92">
        <f t="shared" si="227"/>
        <v>318.17730172755506</v>
      </c>
      <c r="CL72" s="92">
        <f>SUM(CI72:CK72)</f>
        <v>368.17730172755506</v>
      </c>
      <c r="CM72" s="76">
        <f t="shared" si="229"/>
        <v>2.5157798270864121E-2</v>
      </c>
      <c r="CN72" s="128">
        <f t="shared" si="230"/>
        <v>0.15968602210948485</v>
      </c>
      <c r="CO72" s="111">
        <f t="shared" si="279"/>
        <v>1937.4553194866126</v>
      </c>
      <c r="CP72" s="72">
        <f t="shared" si="232"/>
        <v>0.93701883434967959</v>
      </c>
      <c r="CQ72" s="96">
        <f t="shared" si="233"/>
        <v>4.3050520193281407</v>
      </c>
      <c r="CR72" s="92">
        <f t="shared" si="234"/>
        <v>4305.0520193281409</v>
      </c>
      <c r="CS72" s="120">
        <f t="shared" si="235"/>
        <v>-0.90461819600000004</v>
      </c>
      <c r="CT72" s="72">
        <f t="shared" si="97"/>
        <v>-0.726701229</v>
      </c>
      <c r="CU72" s="72">
        <f t="shared" si="236"/>
        <v>1.3524921190000001</v>
      </c>
      <c r="CV72" s="104">
        <f t="shared" si="237"/>
        <v>2.3569780181670299</v>
      </c>
      <c r="CW72" s="105">
        <f t="shared" si="99"/>
        <v>-0.12864918808917616</v>
      </c>
      <c r="CX72" s="105">
        <f t="shared" si="100"/>
        <v>1.619621167874757</v>
      </c>
      <c r="CY72" s="105">
        <f t="shared" si="101"/>
        <v>-7.8402249474816676E-3</v>
      </c>
      <c r="CZ72" s="123">
        <f t="shared" si="242"/>
        <v>-0.68849257550252763</v>
      </c>
      <c r="DA72" s="81">
        <f t="shared" si="253"/>
        <v>1.3468452028949767</v>
      </c>
      <c r="DB72" s="9">
        <f t="shared" si="104"/>
        <v>4456667.3520393111</v>
      </c>
      <c r="DD72" s="1">
        <f t="shared" si="105"/>
        <v>2.5336203345475665</v>
      </c>
      <c r="DE72" s="114">
        <v>350</v>
      </c>
      <c r="DF72" s="126">
        <v>2009</v>
      </c>
      <c r="DG72" s="26">
        <v>7.6142131979695434E-3</v>
      </c>
      <c r="DH72" s="26">
        <v>0.29512169725367693</v>
      </c>
      <c r="DI72" s="26">
        <v>0.6060236886632826</v>
      </c>
      <c r="DJ72" s="26">
        <v>8.8702329819081091E-2</v>
      </c>
      <c r="DK72" s="26">
        <v>2.5380710659898475E-3</v>
      </c>
      <c r="DL72" s="106">
        <v>0.35</v>
      </c>
      <c r="DM72" s="106">
        <v>0.69599999999999995</v>
      </c>
      <c r="DN72" s="26">
        <v>0.68741650585096037</v>
      </c>
      <c r="DO72" s="76">
        <f t="shared" si="107"/>
        <v>0.35</v>
      </c>
      <c r="DP72" s="119">
        <v>1.082050403</v>
      </c>
      <c r="DQ72" s="26">
        <v>0.89261870099999996</v>
      </c>
      <c r="DR72" s="26">
        <v>0.65162997199999995</v>
      </c>
      <c r="DS72" s="26">
        <v>-0.28638416999999999</v>
      </c>
      <c r="DT72" s="113" cm="1">
        <f t="array" ref="DT72">$DN$11+SUMPRODUCT(DP$11:$DS$11*DP72:DS72)</f>
        <v>0.12295130793369946</v>
      </c>
      <c r="DU72" s="76">
        <f t="shared" si="254"/>
        <v>0.27672404758337776</v>
      </c>
      <c r="DV72" s="72">
        <f t="shared" si="179"/>
        <v>0.92232886881270471</v>
      </c>
      <c r="DW72" s="199">
        <v>25</v>
      </c>
      <c r="DX72" s="61">
        <v>0</v>
      </c>
      <c r="DY72" s="26">
        <v>7.0999999999999952E-2</v>
      </c>
      <c r="DZ72" s="98">
        <f>EB72/EC72</f>
        <v>7.1000000000000049E-2</v>
      </c>
      <c r="EA72" s="110" t="e">
        <f>NA()</f>
        <v>#N/A</v>
      </c>
      <c r="EB72" s="100">
        <f t="shared" si="188"/>
        <v>28.659849300322946</v>
      </c>
      <c r="EC72" s="61">
        <v>403.65984930032295</v>
      </c>
      <c r="ED72" s="99">
        <v>0.3</v>
      </c>
      <c r="EE72" s="125">
        <f t="shared" si="189"/>
        <v>1.9813481950317881E-2</v>
      </c>
      <c r="EF72" s="37">
        <v>2009</v>
      </c>
      <c r="EG72" s="110">
        <f t="shared" si="276"/>
        <v>0.13799999999999998</v>
      </c>
      <c r="EH72" s="97">
        <f t="shared" si="220"/>
        <v>15.104974624027655</v>
      </c>
      <c r="EI72" s="97">
        <f t="shared" si="238"/>
        <v>473.23810745949868</v>
      </c>
      <c r="EJ72" s="97">
        <f t="shared" si="243"/>
        <v>847.26227824422392</v>
      </c>
      <c r="EK72" s="97">
        <f t="shared" si="246"/>
        <v>125.06073110249325</v>
      </c>
      <c r="EL72" s="97">
        <f t="shared" si="248"/>
        <v>3.1008657526428363</v>
      </c>
      <c r="EM72" s="111">
        <f t="shared" si="196"/>
        <v>1463.7669571828865</v>
      </c>
      <c r="EN72" s="200">
        <f t="shared" si="197"/>
        <v>25</v>
      </c>
      <c r="EO72" s="92">
        <f t="shared" si="198"/>
        <v>0</v>
      </c>
      <c r="EP72" s="92">
        <f t="shared" si="278"/>
        <v>201.9998400912383</v>
      </c>
      <c r="EQ72" s="92">
        <f t="shared" si="239"/>
        <v>226.9998400912383</v>
      </c>
      <c r="ER72" s="128">
        <f t="shared" si="201"/>
        <v>0.155079221441174</v>
      </c>
      <c r="ES72" s="111">
        <f t="shared" si="240"/>
        <v>1236.7671170916483</v>
      </c>
      <c r="ET72" s="72">
        <f t="shared" si="203"/>
        <v>0.12295130793369946</v>
      </c>
      <c r="EU72" s="96">
        <f t="shared" si="280"/>
        <v>1.8662972007336758</v>
      </c>
      <c r="EV72" s="92">
        <f t="shared" si="205"/>
        <v>1866.2972007336757</v>
      </c>
      <c r="EW72" s="120">
        <f t="shared" si="244"/>
        <v>-0.87704872899999997</v>
      </c>
      <c r="EX72" s="9">
        <f t="shared" si="184"/>
        <v>0.89261870099999996</v>
      </c>
      <c r="EY72" s="9">
        <f t="shared" si="185"/>
        <v>0.65162997199999995</v>
      </c>
      <c r="EZ72" s="9">
        <f t="shared" si="186"/>
        <v>-0.28638416999999999</v>
      </c>
      <c r="FA72" s="113" cm="1">
        <f t="array" ref="FA72">$DN$11+SUMPRODUCT($DP$11:$DS$11*EW72:EZ72)</f>
        <v>1.6760098943649531</v>
      </c>
      <c r="FB72">
        <v>2009</v>
      </c>
      <c r="FC72" s="116">
        <f t="shared" si="121"/>
        <v>1032516.8497687094</v>
      </c>
      <c r="FD72" s="116">
        <f t="shared" si="255"/>
        <v>2751090.066894717</v>
      </c>
      <c r="FE72" s="116">
        <f t="shared" si="159"/>
        <v>2454336.2172501353</v>
      </c>
      <c r="FF72" s="116">
        <f t="shared" si="256"/>
        <v>2381207.3815098484</v>
      </c>
      <c r="FG72" s="5">
        <f t="shared" si="257"/>
        <v>369882.68538486864</v>
      </c>
      <c r="FH72" s="5">
        <f t="shared" si="155"/>
        <v>329984.2785221911</v>
      </c>
      <c r="FI72" s="155">
        <f t="shared" si="258"/>
        <v>0.13444950052194124</v>
      </c>
      <c r="FJ72" s="117">
        <f t="shared" si="127"/>
        <v>13.444950052194123</v>
      </c>
      <c r="FK72" s="61">
        <f t="shared" si="259"/>
        <v>7775.0525071201791</v>
      </c>
      <c r="FL72" s="61">
        <f t="shared" si="142"/>
        <v>353.83556115863456</v>
      </c>
      <c r="FM72" s="92">
        <f t="shared" si="128"/>
        <v>47.573014464679211</v>
      </c>
      <c r="FN72" s="72">
        <f t="shared" si="129"/>
        <v>0.13444950052194124</v>
      </c>
      <c r="FO72" s="179">
        <f t="shared" si="260"/>
        <v>1.5857671488226404</v>
      </c>
      <c r="FP72" s="92">
        <f t="shared" si="160"/>
        <v>43.379575247961498</v>
      </c>
      <c r="FQ72" s="1">
        <f t="shared" si="143"/>
        <v>0</v>
      </c>
      <c r="FR72" s="26">
        <f t="shared" si="130"/>
        <v>1.2341408827186904</v>
      </c>
      <c r="FS72">
        <f t="shared" si="261"/>
        <v>2009</v>
      </c>
      <c r="FT72" s="5">
        <f t="shared" si="241"/>
        <v>1937.4553194866126</v>
      </c>
      <c r="FU72" s="214">
        <f t="shared" si="262"/>
        <v>7887.5602458931799</v>
      </c>
      <c r="FV72" s="213">
        <f t="shared" si="131"/>
        <v>4545.5794544513374</v>
      </c>
      <c r="FW72" s="5">
        <f t="shared" si="132"/>
        <v>3341.9807914418425</v>
      </c>
      <c r="FX72" s="1">
        <f t="shared" si="133"/>
        <v>0.42370272774549184</v>
      </c>
      <c r="FY72">
        <f t="shared" si="263"/>
        <v>37455.134174093313</v>
      </c>
      <c r="FZ72" s="26">
        <f t="shared" si="134"/>
        <v>8.9226240010465613E-2</v>
      </c>
      <c r="GA72" s="106">
        <f t="shared" si="264"/>
        <v>2.9742080003488536E-3</v>
      </c>
      <c r="GB72" s="61">
        <f t="shared" si="135"/>
        <v>1236.7671170916483</v>
      </c>
      <c r="GC72" s="61">
        <f t="shared" si="207"/>
        <v>3100.0999129450579</v>
      </c>
      <c r="GD72" s="61">
        <f t="shared" si="247"/>
        <v>2382.6661927340151</v>
      </c>
      <c r="GE72" s="61">
        <f t="shared" si="210"/>
        <v>1866.2972007336759</v>
      </c>
      <c r="GF72" s="61">
        <f t="shared" si="137"/>
        <v>1233.802712211382</v>
      </c>
      <c r="GG72" s="61">
        <f t="shared" si="245"/>
        <v>924.25793256011343</v>
      </c>
      <c r="GH72" s="6">
        <f t="shared" si="138"/>
        <v>0.39798804775917179</v>
      </c>
      <c r="GI72">
        <f t="shared" si="265"/>
        <v>9248.6922093424037</v>
      </c>
      <c r="GJ72" s="26">
        <f t="shared" si="208"/>
        <v>0.13340293787321389</v>
      </c>
      <c r="GK72">
        <f t="shared" si="266"/>
        <v>4.4467645957737964E-3</v>
      </c>
      <c r="GL72" s="232">
        <f t="shared" si="140"/>
        <v>1.2341408827186904</v>
      </c>
      <c r="GY72">
        <v>2009</v>
      </c>
      <c r="GZ72" s="112">
        <f t="shared" si="267"/>
        <v>0.82691422066627984</v>
      </c>
      <c r="HA72" s="112">
        <f t="shared" si="268"/>
        <v>0.12295130793369946</v>
      </c>
      <c r="HB72" s="112">
        <f t="shared" si="269"/>
        <v>2.3569780181670299</v>
      </c>
    </row>
    <row r="73" spans="1:210" x14ac:dyDescent="0.35">
      <c r="A73">
        <v>2010</v>
      </c>
      <c r="D73" s="80">
        <f>'SR + catch data Murdoch_age var'!C62</f>
        <v>608718</v>
      </c>
      <c r="E73" s="80">
        <f>'SR + catch data Murdoch_age var'!E62</f>
        <v>1596985.3916231559</v>
      </c>
      <c r="F73" s="231">
        <f t="shared" si="63"/>
        <v>0.96451789450628955</v>
      </c>
      <c r="G73" s="80">
        <f>'SR + catch data Murdoch_age var'!D62</f>
        <v>661736.70499843312</v>
      </c>
      <c r="H73" s="80">
        <f>'Orig data'!Q64</f>
        <v>661736.70499843312</v>
      </c>
      <c r="I73" s="80">
        <f t="shared" si="64"/>
        <v>53018.704998433124</v>
      </c>
      <c r="J73" s="149">
        <f t="shared" si="65"/>
        <v>8.0120544316124434E-2</v>
      </c>
      <c r="K73" s="83">
        <f>'SR + catch data Murdoch_age var'!CM62</f>
        <v>0.99966341016454185</v>
      </c>
      <c r="L73" s="83">
        <f>'SR + catch data Murdoch_age var'!CN62</f>
        <v>0.72187609503745609</v>
      </c>
      <c r="M73" s="84">
        <f>'SR + catch data Murdoch_age var'!CO62</f>
        <v>1223682.3871691148</v>
      </c>
      <c r="N73" s="81">
        <f t="shared" si="66"/>
        <v>0.26625305899369212</v>
      </c>
      <c r="O73" s="88">
        <f t="shared" si="67"/>
        <v>2010</v>
      </c>
      <c r="P73" s="81">
        <f>'Orig data'!CN64</f>
        <v>5.3054662379421219E-2</v>
      </c>
      <c r="Q73" s="81">
        <f>'Orig data'!CO64</f>
        <v>0.83922829581993574</v>
      </c>
      <c r="R73" s="81">
        <f>'Orig data'!CP64</f>
        <v>0.1045016077170418</v>
      </c>
      <c r="S73" s="85">
        <f>'Orig data'!CQ64</f>
        <v>3.2154340836012861E-3</v>
      </c>
      <c r="T73" s="80">
        <f t="shared" si="144"/>
        <v>35108.21746776253</v>
      </c>
      <c r="U73" s="80">
        <f t="shared" si="145"/>
        <v>555348.16721733462</v>
      </c>
      <c r="V73" s="80">
        <f t="shared" si="146"/>
        <v>69152.549557714068</v>
      </c>
      <c r="W73" s="80">
        <f t="shared" si="147"/>
        <v>2127.7707556219716</v>
      </c>
      <c r="X73" s="79">
        <f t="shared" si="73"/>
        <v>2010</v>
      </c>
      <c r="Y73" s="79">
        <f t="shared" si="149"/>
        <v>101816.53326215129</v>
      </c>
      <c r="Z73" s="79">
        <f t="shared" si="152"/>
        <v>548248.08343426685</v>
      </c>
      <c r="AA73" s="79">
        <f t="shared" si="156"/>
        <v>86401.193125894541</v>
      </c>
      <c r="AB73" s="79">
        <f t="shared" si="161"/>
        <v>4099.2200387001621</v>
      </c>
      <c r="AC73" s="80">
        <f t="shared" si="78"/>
        <v>740565.02986101282</v>
      </c>
      <c r="AD73" s="84">
        <f t="shared" si="79"/>
        <v>-78828.324862579699</v>
      </c>
      <c r="AE73" s="80">
        <f t="shared" si="80"/>
        <v>53018.704998433124</v>
      </c>
      <c r="AF73" s="72">
        <f t="shared" si="81"/>
        <v>7.1592234119377096E-2</v>
      </c>
      <c r="AG73" s="26">
        <f t="shared" si="82"/>
        <v>-8.5283101967473379E-3</v>
      </c>
      <c r="AH73" s="61">
        <f t="shared" si="249"/>
        <v>2010</v>
      </c>
      <c r="AI73" s="74" cm="1">
        <f t="array" ref="AI73">IF(Uhistoric=1,J73,Uapply)</f>
        <v>0.2</v>
      </c>
      <c r="AJ73" s="75">
        <f t="shared" si="150"/>
        <v>177257.41799466306</v>
      </c>
      <c r="AK73" s="75">
        <f t="shared" si="153"/>
        <v>765534.69078193058</v>
      </c>
      <c r="AL73" s="75">
        <f t="shared" si="157"/>
        <v>128569.30886775868</v>
      </c>
      <c r="AM73" s="75">
        <f t="shared" si="162"/>
        <v>5105.1669664309884</v>
      </c>
      <c r="AN73" s="79">
        <f t="shared" si="84"/>
        <v>1076466.5846107833</v>
      </c>
      <c r="AO73" s="80">
        <f t="shared" si="85"/>
        <v>215293.31692215666</v>
      </c>
      <c r="AP73" s="80">
        <f t="shared" si="86"/>
        <v>861173.26768862666</v>
      </c>
      <c r="AQ73" s="81">
        <v>1.7651058721613537</v>
      </c>
      <c r="AR73" s="81">
        <v>0.53238587626396305</v>
      </c>
      <c r="AS73" s="81">
        <f>'SR + catch data Murdoch_age var'!N62</f>
        <v>-1.4292824539800555</v>
      </c>
      <c r="AT73" s="121">
        <f>'SR + catch data Murdoch_age var'!BR62</f>
        <v>1.818732514903282</v>
      </c>
      <c r="AU73" s="122">
        <f t="shared" si="250"/>
        <v>0.99966341016454197</v>
      </c>
      <c r="AV73" s="122">
        <f t="shared" si="88"/>
        <v>0.69826483551259755</v>
      </c>
      <c r="AW73" s="115">
        <f t="shared" si="251"/>
        <v>3498360.4053329621</v>
      </c>
      <c r="AX73" s="115"/>
      <c r="AY73" s="141">
        <f t="shared" si="89"/>
        <v>3.130698208692293</v>
      </c>
      <c r="AZ73" s="141"/>
      <c r="BA73" s="84">
        <v>590</v>
      </c>
      <c r="BB73" s="101">
        <v>2010</v>
      </c>
      <c r="BC73" s="72">
        <v>3.5750695088044487E-2</v>
      </c>
      <c r="BD73" s="72">
        <v>0.8358758109360519</v>
      </c>
      <c r="BE73" s="72">
        <v>0.11956904541241889</v>
      </c>
      <c r="BF73" s="72">
        <v>8.3410565338276187E-3</v>
      </c>
      <c r="BG73" s="72">
        <v>4.6339202965708991E-4</v>
      </c>
      <c r="BH73" s="76">
        <v>0.59</v>
      </c>
      <c r="BI73" s="76">
        <v>1.0309999999999999</v>
      </c>
      <c r="BJ73" s="72">
        <f t="shared" si="215"/>
        <v>0.55816194711719469</v>
      </c>
      <c r="BK73">
        <v>0.59</v>
      </c>
      <c r="BL73" s="120">
        <v>1.082050403</v>
      </c>
      <c r="BM73" s="125">
        <v>-1.0574423900000001</v>
      </c>
      <c r="BN73" s="4">
        <v>0.65162997199999995</v>
      </c>
      <c r="BO73" s="98">
        <f t="shared" si="221"/>
        <v>0.93407766036620732</v>
      </c>
      <c r="BP73" s="98">
        <f t="shared" si="216"/>
        <v>0.93409795501602821</v>
      </c>
      <c r="BQ73" s="99">
        <f t="shared" si="217"/>
        <v>9.8703174396491303E-2</v>
      </c>
      <c r="BR73" s="200">
        <v>50</v>
      </c>
      <c r="BS73" s="100">
        <v>20.49</v>
      </c>
      <c r="BT73" s="98">
        <v>9.9999999999999978E-2</v>
      </c>
      <c r="BU73" s="98">
        <f t="shared" si="222"/>
        <v>0.10000000000000007</v>
      </c>
      <c r="BV73" s="124">
        <f t="shared" si="92"/>
        <v>0.10000000000000007</v>
      </c>
      <c r="BW73" s="100">
        <f t="shared" si="218"/>
        <v>73.387777777777842</v>
      </c>
      <c r="BX73" s="100">
        <v>733.87777777777785</v>
      </c>
      <c r="BY73" s="99">
        <v>0.32</v>
      </c>
      <c r="BZ73" s="89">
        <f t="shared" si="277"/>
        <v>0.16746284906363229</v>
      </c>
      <c r="CA73" s="78">
        <v>2010</v>
      </c>
      <c r="CB73" s="91">
        <f t="shared" si="275"/>
        <v>0.13799999999999998</v>
      </c>
      <c r="CC73" s="97">
        <f t="shared" si="252"/>
        <v>190.46605249933904</v>
      </c>
      <c r="CD73" s="97">
        <f t="shared" si="271"/>
        <v>2427.0477087430672</v>
      </c>
      <c r="CE73" s="97">
        <f t="shared" si="272"/>
        <v>269.76527733225799</v>
      </c>
      <c r="CF73" s="97">
        <f t="shared" si="273"/>
        <v>20.970200240865395</v>
      </c>
      <c r="CG73" s="97">
        <f t="shared" si="274"/>
        <v>0.80173929172392233</v>
      </c>
      <c r="CH73" s="92">
        <f t="shared" si="224"/>
        <v>2909.0509781072537</v>
      </c>
      <c r="CI73" s="200">
        <f t="shared" si="225"/>
        <v>50</v>
      </c>
      <c r="CJ73" s="93">
        <f t="shared" si="226"/>
        <v>20.49</v>
      </c>
      <c r="CK73" s="92">
        <f t="shared" si="227"/>
        <v>401.44903497880097</v>
      </c>
      <c r="CL73" s="92">
        <f t="shared" si="228"/>
        <v>471.93903497880098</v>
      </c>
      <c r="CM73" s="76">
        <f t="shared" si="229"/>
        <v>1.9939368820882562E-2</v>
      </c>
      <c r="CN73" s="128">
        <f t="shared" si="230"/>
        <v>0.16223127010509236</v>
      </c>
      <c r="CO73" s="111">
        <f t="shared" si="279"/>
        <v>2437.1119431284528</v>
      </c>
      <c r="CP73" s="72">
        <f t="shared" si="232"/>
        <v>0.93407766036620732</v>
      </c>
      <c r="CQ73" s="96">
        <f t="shared" ref="CQ73:CQ103" si="281">IF(SSLcontrol=0,$CO73/1000*EXP($CP73+$BG$10*$CO73/1000),$CO73/1000*EXP($CV73+$BG$10*$CO73/1000))</f>
        <v>3.9858494134895106</v>
      </c>
      <c r="CR73" s="92">
        <f t="shared" si="234"/>
        <v>3985.8494134895104</v>
      </c>
      <c r="CS73" s="120">
        <f t="shared" si="235"/>
        <v>-0.90461819600000004</v>
      </c>
      <c r="CT73" s="72">
        <f t="shared" si="97"/>
        <v>-1.0574423900000001</v>
      </c>
      <c r="CU73" s="72">
        <f t="shared" si="236"/>
        <v>0.65162997199999995</v>
      </c>
      <c r="CV73" s="104">
        <f t="shared" si="237"/>
        <v>2.4524441228355105</v>
      </c>
      <c r="CW73" s="105">
        <f t="shared" si="99"/>
        <v>1.7651058721613537</v>
      </c>
      <c r="CX73" s="105">
        <f t="shared" si="100"/>
        <v>0.53238587626396305</v>
      </c>
      <c r="CY73" s="105">
        <f t="shared" si="101"/>
        <v>-1.4292824539800555</v>
      </c>
      <c r="CZ73" s="123">
        <f t="shared" si="242"/>
        <v>-0.68849257550252763</v>
      </c>
      <c r="DA73" s="81">
        <f t="shared" si="253"/>
        <v>1.5618993221264565</v>
      </c>
      <c r="DB73" s="9">
        <f t="shared" si="104"/>
        <v>3498360.4053329621</v>
      </c>
      <c r="DD73" s="1">
        <f t="shared" si="105"/>
        <v>9.0019450783715858</v>
      </c>
      <c r="DE73" s="114">
        <v>144</v>
      </c>
      <c r="DF73" s="126">
        <v>2010</v>
      </c>
      <c r="DG73" s="26">
        <v>7.6142131979695434E-3</v>
      </c>
      <c r="DH73" s="26">
        <v>0.29512169725367693</v>
      </c>
      <c r="DI73" s="26">
        <v>0.6060236886632826</v>
      </c>
      <c r="DJ73" s="26">
        <v>8.8702329819081091E-2</v>
      </c>
      <c r="DK73" s="26">
        <v>2.5380710659898475E-3</v>
      </c>
      <c r="DL73" s="106">
        <v>0.14399999999999999</v>
      </c>
      <c r="DM73" s="106">
        <v>0.30199999999999999</v>
      </c>
      <c r="DN73" s="26">
        <v>0.74061371779886909</v>
      </c>
      <c r="DO73" s="76">
        <f t="shared" si="107"/>
        <v>0.14399999999999999</v>
      </c>
      <c r="DP73" s="119">
        <v>1.2195294750000001</v>
      </c>
      <c r="DQ73" s="26">
        <v>2.0609843379999999</v>
      </c>
      <c r="DR73" s="26">
        <v>8.7322901999999994E-2</v>
      </c>
      <c r="DS73" s="26">
        <v>1.741649859</v>
      </c>
      <c r="DT73" s="113" cm="1">
        <f t="array" ref="DT73">$DN$11+SUMPRODUCT(DP$11:$DS$11*DP73:DS73)</f>
        <v>0.18950166358229237</v>
      </c>
      <c r="DU73" s="76">
        <f t="shared" si="254"/>
        <v>0.15021680605897833</v>
      </c>
      <c r="DV73" s="72">
        <f t="shared" si="179"/>
        <v>0.69834739309927352</v>
      </c>
      <c r="DW73" s="199">
        <v>25</v>
      </c>
      <c r="DX73" s="61">
        <v>0</v>
      </c>
      <c r="DY73" s="26">
        <v>9.9999999999999978E-2</v>
      </c>
      <c r="DZ73" s="98">
        <f t="shared" si="213"/>
        <v>0.1000000000000001</v>
      </c>
      <c r="EA73" s="110">
        <f t="shared" si="214"/>
        <v>0.1000000000000001</v>
      </c>
      <c r="EB73" s="100">
        <f t="shared" si="188"/>
        <v>18.7777777777778</v>
      </c>
      <c r="EC73" s="61">
        <v>187.7777777777778</v>
      </c>
      <c r="ED73" s="99">
        <v>0.32</v>
      </c>
      <c r="EE73" s="125">
        <f t="shared" si="189"/>
        <v>1.7061584436097257E-2</v>
      </c>
      <c r="EF73" s="37">
        <v>2010</v>
      </c>
      <c r="EG73" s="110">
        <f t="shared" si="276"/>
        <v>0.13799999999999998</v>
      </c>
      <c r="EH73" s="97">
        <f t="shared" si="220"/>
        <v>15.031641672650448</v>
      </c>
      <c r="EI73" s="97">
        <f t="shared" si="238"/>
        <v>585.45848823953474</v>
      </c>
      <c r="EJ73" s="97">
        <f t="shared" si="243"/>
        <v>971.78047621526798</v>
      </c>
      <c r="EK73" s="97">
        <f t="shared" si="246"/>
        <v>124.01188180259759</v>
      </c>
      <c r="EL73" s="97">
        <f t="shared" si="248"/>
        <v>3.5784068327199092</v>
      </c>
      <c r="EM73" s="111">
        <f t="shared" si="196"/>
        <v>1699.8608947627708</v>
      </c>
      <c r="EN73" s="200">
        <f t="shared" si="197"/>
        <v>25</v>
      </c>
      <c r="EO73" s="92">
        <f t="shared" si="198"/>
        <v>0</v>
      </c>
      <c r="EP73" s="92">
        <f t="shared" si="278"/>
        <v>234.58080347726235</v>
      </c>
      <c r="EQ73" s="92">
        <f t="shared" si="239"/>
        <v>259.58080347726235</v>
      </c>
      <c r="ER73" s="128">
        <f t="shared" si="201"/>
        <v>0.15270708578391581</v>
      </c>
      <c r="ES73" s="111">
        <f t="shared" si="240"/>
        <v>1440.2800912855084</v>
      </c>
      <c r="ET73" s="72">
        <f t="shared" si="203"/>
        <v>0.18950166358229237</v>
      </c>
      <c r="EU73" s="96">
        <f t="shared" si="280"/>
        <v>2.1037961498061386</v>
      </c>
      <c r="EV73" s="92">
        <f t="shared" si="205"/>
        <v>2103.7961498061386</v>
      </c>
      <c r="EW73" s="120">
        <f t="shared" si="244"/>
        <v>-0.87704872899999997</v>
      </c>
      <c r="EX73" s="9">
        <f t="shared" si="184"/>
        <v>2.0609843379999999</v>
      </c>
      <c r="EY73" s="9">
        <f t="shared" si="185"/>
        <v>8.7322901999999994E-2</v>
      </c>
      <c r="EZ73" s="9">
        <f t="shared" si="186"/>
        <v>1.741649859</v>
      </c>
      <c r="FA73" s="113" cm="1">
        <f t="array" ref="FA73">$DN$11+SUMPRODUCT($DP$11:$DS$11*EW73:EZ73)</f>
        <v>1.8515455737966411</v>
      </c>
      <c r="FB73">
        <v>2010</v>
      </c>
      <c r="FC73" s="116">
        <f t="shared" si="121"/>
        <v>861173.26768862666</v>
      </c>
      <c r="FD73" s="116">
        <f t="shared" si="255"/>
        <v>3096990.7152916784</v>
      </c>
      <c r="FE73" s="116">
        <f t="shared" si="159"/>
        <v>2363295.161123035</v>
      </c>
      <c r="FF73" s="116">
        <f t="shared" si="256"/>
        <v>2680601.8604996232</v>
      </c>
      <c r="FG73" s="5">
        <f t="shared" si="257"/>
        <v>416388.85479205521</v>
      </c>
      <c r="FH73" s="5">
        <f t="shared" si="155"/>
        <v>317743.85399891273</v>
      </c>
      <c r="FI73" s="155">
        <f t="shared" si="258"/>
        <v>0.13444950052194107</v>
      </c>
      <c r="FJ73" s="117">
        <f t="shared" si="127"/>
        <v>13.444950052194107</v>
      </c>
      <c r="FK73" s="61">
        <f t="shared" si="259"/>
        <v>7775.0525071201791</v>
      </c>
      <c r="FL73" s="61">
        <f t="shared" si="142"/>
        <v>398.32409008885014</v>
      </c>
      <c r="FM73" s="92">
        <f t="shared" si="128"/>
        <v>53.554474958302563</v>
      </c>
      <c r="FN73" s="72">
        <f t="shared" si="129"/>
        <v>0.13444950052194107</v>
      </c>
      <c r="FO73" s="179">
        <f t="shared" si="260"/>
        <v>1.7851491652767522</v>
      </c>
      <c r="FP73" s="92">
        <f t="shared" si="160"/>
        <v>46.892299400441608</v>
      </c>
      <c r="FQ73" s="1">
        <f t="shared" si="143"/>
        <v>0</v>
      </c>
      <c r="FR73" s="26">
        <f t="shared" si="130"/>
        <v>1.2341408827186904</v>
      </c>
      <c r="FS73">
        <f t="shared" si="261"/>
        <v>2010</v>
      </c>
      <c r="FT73" s="5">
        <f t="shared" si="241"/>
        <v>2437.1119431284528</v>
      </c>
      <c r="FU73" s="214">
        <f t="shared" si="262"/>
        <v>7099.8638019547388</v>
      </c>
      <c r="FV73" s="213">
        <f t="shared" si="131"/>
        <v>4091.6321424450362</v>
      </c>
      <c r="FW73" s="5">
        <f t="shared" si="132"/>
        <v>3008.2316595097027</v>
      </c>
      <c r="FX73" s="1">
        <f t="shared" si="133"/>
        <v>0.42370272774549206</v>
      </c>
      <c r="FY73">
        <f t="shared" si="263"/>
        <v>39325.092552143687</v>
      </c>
      <c r="FZ73" s="26">
        <f t="shared" si="134"/>
        <v>7.6496492805983696E-2</v>
      </c>
      <c r="GA73" s="106">
        <f t="shared" si="264"/>
        <v>2.5498830935327898E-3</v>
      </c>
      <c r="GB73" s="61">
        <f t="shared" si="135"/>
        <v>1440.2800912855084</v>
      </c>
      <c r="GC73" s="61">
        <f t="shared" si="207"/>
        <v>3494.608606980843</v>
      </c>
      <c r="GD73" s="61">
        <f t="shared" si="247"/>
        <v>2663.6272869227091</v>
      </c>
      <c r="GE73" s="61">
        <f t="shared" si="210"/>
        <v>2103.7961498061386</v>
      </c>
      <c r="GF73" s="61">
        <f t="shared" si="137"/>
        <v>1390.8124571747044</v>
      </c>
      <c r="GG73" s="61">
        <f t="shared" si="245"/>
        <v>1060.0918238804281</v>
      </c>
      <c r="GH73" s="6">
        <f t="shared" si="138"/>
        <v>0.39798804775917174</v>
      </c>
      <c r="GI73">
        <f t="shared" si="265"/>
        <v>9248.6922093424037</v>
      </c>
      <c r="GJ73" s="26">
        <f t="shared" si="208"/>
        <v>0.15037936453002509</v>
      </c>
      <c r="GK73">
        <f t="shared" si="266"/>
        <v>5.0126454843341696E-3</v>
      </c>
      <c r="GL73" s="232">
        <f t="shared" si="140"/>
        <v>1.2341408827186904</v>
      </c>
      <c r="GY73">
        <v>2010</v>
      </c>
      <c r="GZ73" s="112">
        <f t="shared" si="267"/>
        <v>0.99966341016454197</v>
      </c>
      <c r="HA73" s="112">
        <f t="shared" si="268"/>
        <v>0.18950166358229237</v>
      </c>
      <c r="HB73" s="112">
        <f t="shared" si="269"/>
        <v>2.4524441228355105</v>
      </c>
    </row>
    <row r="74" spans="1:210" x14ac:dyDescent="0.35">
      <c r="A74">
        <v>2011</v>
      </c>
      <c r="D74" s="80">
        <f>'SR + catch data Murdoch_age var'!C63</f>
        <v>1079068</v>
      </c>
      <c r="E74" s="80">
        <f>'SR + catch data Murdoch_age var'!E63</f>
        <v>1137157.6669372031</v>
      </c>
      <c r="F74" s="231">
        <f t="shared" si="63"/>
        <v>5.2434168798394749E-2</v>
      </c>
      <c r="G74" s="80">
        <f>'SR + catch data Murdoch_age var'!D63</f>
        <v>1420924.6212415406</v>
      </c>
      <c r="H74" s="80">
        <f>'Orig data'!Q65</f>
        <v>1420924.6212415406</v>
      </c>
      <c r="I74" s="80">
        <f t="shared" si="64"/>
        <v>341856.62124154065</v>
      </c>
      <c r="J74" s="149">
        <f t="shared" si="65"/>
        <v>0.24058744294460993</v>
      </c>
      <c r="K74" s="83">
        <f>'SR + catch data Murdoch_age var'!CM63</f>
        <v>0.96261283681662935</v>
      </c>
      <c r="L74" s="83">
        <f>'SR + catch data Murdoch_age var'!CN63</f>
        <v>0.67481417414611389</v>
      </c>
      <c r="M74" s="84">
        <f>'SR + catch data Murdoch_age var'!CO63</f>
        <v>1656032.1289564201</v>
      </c>
      <c r="N74" s="81">
        <f t="shared" si="66"/>
        <v>-0.37589258291392624</v>
      </c>
      <c r="O74" s="88">
        <f t="shared" si="67"/>
        <v>2011</v>
      </c>
      <c r="P74" s="81">
        <f>'Orig data'!CN65</f>
        <v>1.9230769230769232E-2</v>
      </c>
      <c r="Q74" s="81">
        <f>'Orig data'!CO65</f>
        <v>0.93376068376068377</v>
      </c>
      <c r="R74" s="81">
        <f>'Orig data'!CP65</f>
        <v>4.7008547008547008E-2</v>
      </c>
      <c r="S74" s="85">
        <f>'Orig data'!CQ65</f>
        <v>0</v>
      </c>
      <c r="T74" s="80">
        <f t="shared" si="144"/>
        <v>27325.473485414244</v>
      </c>
      <c r="U74" s="80">
        <f t="shared" si="145"/>
        <v>1326803.5459028916</v>
      </c>
      <c r="V74" s="80">
        <f t="shared" si="146"/>
        <v>66795.60185323481</v>
      </c>
      <c r="W74" s="80">
        <f t="shared" si="147"/>
        <v>0</v>
      </c>
      <c r="X74" s="79">
        <f t="shared" si="73"/>
        <v>2011</v>
      </c>
      <c r="Y74" s="79">
        <f t="shared" si="149"/>
        <v>25799.528826968861</v>
      </c>
      <c r="Z74" s="79">
        <f t="shared" si="152"/>
        <v>1791968.3483630144</v>
      </c>
      <c r="AA74" s="79">
        <f t="shared" si="156"/>
        <v>30709.576799106439</v>
      </c>
      <c r="AB74" s="79">
        <f t="shared" si="161"/>
        <v>0</v>
      </c>
      <c r="AC74" s="80">
        <f t="shared" si="78"/>
        <v>1848477.4539890897</v>
      </c>
      <c r="AD74" s="84">
        <f t="shared" si="79"/>
        <v>-427552.83274754905</v>
      </c>
      <c r="AE74" s="80">
        <f t="shared" si="80"/>
        <v>341856.62124154065</v>
      </c>
      <c r="AF74" s="72">
        <f t="shared" si="81"/>
        <v>0.18493956769870259</v>
      </c>
      <c r="AG74" s="26">
        <f t="shared" si="82"/>
        <v>-5.5647875245907336E-2</v>
      </c>
      <c r="AH74" s="61">
        <f t="shared" si="249"/>
        <v>2011</v>
      </c>
      <c r="AI74" s="74" cm="1">
        <f t="array" ref="AI74">IF(Uhistoric=1,J74,Uapply)</f>
        <v>0.2</v>
      </c>
      <c r="AJ74" s="75">
        <f t="shared" si="150"/>
        <v>45689.511138065114</v>
      </c>
      <c r="AK74" s="75">
        <f t="shared" si="153"/>
        <v>3119725.9657343533</v>
      </c>
      <c r="AL74" s="75">
        <f t="shared" si="157"/>
        <v>42880.67225275869</v>
      </c>
      <c r="AM74" s="75">
        <f t="shared" si="162"/>
        <v>0</v>
      </c>
      <c r="AN74" s="79">
        <f t="shared" si="84"/>
        <v>3208296.1491251774</v>
      </c>
      <c r="AO74" s="80">
        <f t="shared" si="85"/>
        <v>641659.22982503555</v>
      </c>
      <c r="AP74" s="80">
        <f t="shared" si="86"/>
        <v>2566636.9193001417</v>
      </c>
      <c r="AQ74" s="81">
        <v>1.3073690584214468</v>
      </c>
      <c r="AR74" s="81">
        <v>0.5570957692551175</v>
      </c>
      <c r="AS74" s="81">
        <f>'SR + catch data Murdoch_age var'!N63</f>
        <v>-1.8573776282208598</v>
      </c>
      <c r="AT74" s="121">
        <f>'SR + catch data Murdoch_age var'!BR63</f>
        <v>2.00779931803616</v>
      </c>
      <c r="AU74" s="122">
        <f t="shared" si="250"/>
        <v>0.96261283681662957</v>
      </c>
      <c r="AV74" s="122">
        <f t="shared" si="88"/>
        <v>0.42832675171232126</v>
      </c>
      <c r="AW74" s="115">
        <f t="shared" si="251"/>
        <v>2370531.5402289536</v>
      </c>
      <c r="AX74" s="115"/>
      <c r="AY74" s="141">
        <f t="shared" si="89"/>
        <v>7.1578935111261197</v>
      </c>
      <c r="AZ74" s="141"/>
      <c r="BA74" s="84">
        <v>520</v>
      </c>
      <c r="BB74" s="101">
        <v>2011</v>
      </c>
      <c r="BC74" s="72">
        <v>3.5750695088044487E-2</v>
      </c>
      <c r="BD74" s="72">
        <v>0.8358758109360519</v>
      </c>
      <c r="BE74" s="72">
        <v>0.11956904541241889</v>
      </c>
      <c r="BF74" s="72">
        <v>8.3410565338276187E-3</v>
      </c>
      <c r="BG74" s="72">
        <v>4.6339202965708991E-4</v>
      </c>
      <c r="BH74" s="76">
        <v>0.52</v>
      </c>
      <c r="BI74" s="76">
        <v>0.41899999999999998</v>
      </c>
      <c r="BJ74" s="72">
        <f t="shared" si="215"/>
        <v>-0.21595789165333543</v>
      </c>
      <c r="BK74">
        <v>0.52</v>
      </c>
      <c r="BL74" s="120">
        <v>1.2195294750000001</v>
      </c>
      <c r="BM74" s="125">
        <v>0.89261870099999996</v>
      </c>
      <c r="BN74" s="4">
        <v>8.7322901999999994E-2</v>
      </c>
      <c r="BO74" s="98">
        <f t="shared" si="221"/>
        <v>0.45492341336477926</v>
      </c>
      <c r="BP74" s="98">
        <f t="shared" si="216"/>
        <v>0.53939279478202129</v>
      </c>
      <c r="BQ74" s="99">
        <f t="shared" si="217"/>
        <v>-0.25257313285597582</v>
      </c>
      <c r="BR74" s="200">
        <v>50</v>
      </c>
      <c r="BS74" s="100">
        <v>0</v>
      </c>
      <c r="BT74" s="98">
        <v>9.9999999999999978E-2</v>
      </c>
      <c r="BU74" s="98">
        <f t="shared" si="222"/>
        <v>0.10000000000000005</v>
      </c>
      <c r="BV74" s="124">
        <f t="shared" si="92"/>
        <v>0.10000000000000005</v>
      </c>
      <c r="BW74" s="100">
        <f t="shared" si="218"/>
        <v>63.333333333333371</v>
      </c>
      <c r="BX74" s="100">
        <v>633.33333333333337</v>
      </c>
      <c r="BY74" s="99">
        <v>0.34</v>
      </c>
      <c r="BZ74" s="89">
        <f t="shared" si="277"/>
        <v>0.1706357065435791</v>
      </c>
      <c r="CA74" s="78">
        <v>2011</v>
      </c>
      <c r="CB74" s="91">
        <f t="shared" si="275"/>
        <v>0.13799999999999998</v>
      </c>
      <c r="CC74" s="97">
        <f t="shared" si="252"/>
        <v>158.84840143691414</v>
      </c>
      <c r="CD74" s="97">
        <f t="shared" si="271"/>
        <v>4453.2271525516226</v>
      </c>
      <c r="CE74" s="97">
        <f t="shared" si="272"/>
        <v>347.18049488694749</v>
      </c>
      <c r="CF74" s="97">
        <f t="shared" si="273"/>
        <v>18.81864508770548</v>
      </c>
      <c r="CG74" s="97">
        <f t="shared" si="274"/>
        <v>1.1650111244925219</v>
      </c>
      <c r="CH74" s="92">
        <f t="shared" si="224"/>
        <v>4979.2397050876825</v>
      </c>
      <c r="CI74" s="200">
        <f t="shared" si="225"/>
        <v>50</v>
      </c>
      <c r="CJ74" s="93">
        <f t="shared" si="226"/>
        <v>0</v>
      </c>
      <c r="CK74" s="92">
        <f t="shared" si="227"/>
        <v>687.13507930210005</v>
      </c>
      <c r="CL74" s="92">
        <f t="shared" si="228"/>
        <v>737.13507930210005</v>
      </c>
      <c r="CM74" s="76">
        <f t="shared" si="229"/>
        <v>1.1649296641003601E-2</v>
      </c>
      <c r="CN74" s="128">
        <f t="shared" si="230"/>
        <v>0.14804169370454506</v>
      </c>
      <c r="CO74" s="111">
        <f t="shared" si="279"/>
        <v>4242.1046257855824</v>
      </c>
      <c r="CP74" s="72">
        <f t="shared" si="232"/>
        <v>0.45492341336477926</v>
      </c>
      <c r="CQ74" s="96">
        <f t="shared" si="281"/>
        <v>1.1172921765332218</v>
      </c>
      <c r="CR74" s="92">
        <f t="shared" si="234"/>
        <v>1117.2921765332217</v>
      </c>
      <c r="CS74" s="120">
        <f t="shared" ref="CS74:CS80" si="282">(1-SSLcontrol)*BL74+SSLcontrol*$CS$41</f>
        <v>-0.90461819600000004</v>
      </c>
      <c r="CT74" s="72">
        <f t="shared" si="97"/>
        <v>0.89261870099999996</v>
      </c>
      <c r="CU74" s="72">
        <f t="shared" si="236"/>
        <v>8.7322901999999994E-2</v>
      </c>
      <c r="CV74" s="104">
        <f t="shared" si="237"/>
        <v>2.0783620616638054</v>
      </c>
      <c r="CW74" s="105">
        <f t="shared" si="99"/>
        <v>1.3073690584214468</v>
      </c>
      <c r="CX74" s="105">
        <f t="shared" si="100"/>
        <v>0.5570957692551175</v>
      </c>
      <c r="CY74" s="105">
        <f t="shared" si="101"/>
        <v>-1.8573776282208598</v>
      </c>
      <c r="CZ74" s="123">
        <f>(1-SSLcontrol)*AT74+SSLcontrol*$CZ$41</f>
        <v>-0.68849257550252763</v>
      </c>
      <c r="DA74" s="81">
        <f t="shared" si="253"/>
        <v>1.5672462769812998</v>
      </c>
      <c r="DB74" s="9">
        <f t="shared" si="104"/>
        <v>2370531.5402289536</v>
      </c>
      <c r="DD74" s="1">
        <f t="shared" si="105"/>
        <v>3.4160295689836451</v>
      </c>
      <c r="DE74" s="168">
        <v>374</v>
      </c>
      <c r="DF74" s="126">
        <v>2011</v>
      </c>
      <c r="DG74" s="26">
        <v>7.6142131979695434E-3</v>
      </c>
      <c r="DH74" s="26">
        <v>0.29512169725367693</v>
      </c>
      <c r="DI74" s="26">
        <v>0.6060236886632826</v>
      </c>
      <c r="DJ74" s="26">
        <v>8.8702329819081091E-2</v>
      </c>
      <c r="DK74" s="26">
        <v>2.5380710659898475E-3</v>
      </c>
      <c r="DL74" s="106">
        <v>0.374</v>
      </c>
      <c r="DM74" s="106">
        <v>0.22800000000000001</v>
      </c>
      <c r="DN74" s="26">
        <v>-0.49491016846009117</v>
      </c>
      <c r="DO74" s="76">
        <f t="shared" si="107"/>
        <v>0.374</v>
      </c>
      <c r="DP74" s="119">
        <v>1.3665054459999999</v>
      </c>
      <c r="DQ74" s="26">
        <v>1.737063217</v>
      </c>
      <c r="DR74" s="26">
        <v>-0.76998976299999999</v>
      </c>
      <c r="DS74" s="26">
        <v>1.0545776950000001</v>
      </c>
      <c r="DT74" s="113" cm="1">
        <f t="array" ref="DT74">$DN$11+SUMPRODUCT(DP$11:$DS$11*DP74:DS74)</f>
        <v>-0.15560431148387055</v>
      </c>
      <c r="DU74" s="76">
        <f t="shared" si="254"/>
        <v>0.21838260469978377</v>
      </c>
      <c r="DV74" s="72">
        <f t="shared" si="179"/>
        <v>4.3097037066339709E-2</v>
      </c>
      <c r="DW74" s="199">
        <v>25</v>
      </c>
      <c r="DX74" s="61">
        <v>0</v>
      </c>
      <c r="DY74" s="26">
        <v>9.9999999999999978E-2</v>
      </c>
      <c r="DZ74" s="98">
        <f t="shared" si="213"/>
        <v>0.10090135202804205</v>
      </c>
      <c r="EA74" s="110">
        <f t="shared" si="214"/>
        <v>0.10090135202804205</v>
      </c>
      <c r="EB74" s="100">
        <f t="shared" si="188"/>
        <v>44.777777777777771</v>
      </c>
      <c r="EC74" s="61">
        <v>443.77777777777777</v>
      </c>
      <c r="ED74" s="99">
        <v>0.34</v>
      </c>
      <c r="EE74" s="125">
        <f t="shared" si="189"/>
        <v>1.4911173612723844E-2</v>
      </c>
      <c r="EF74" s="37">
        <v>2011</v>
      </c>
      <c r="EG74" s="110">
        <f t="shared" si="276"/>
        <v>0.13799999999999998</v>
      </c>
      <c r="EH74" s="97">
        <f t="shared" si="220"/>
        <v>14.382274602582031</v>
      </c>
      <c r="EI74" s="97">
        <f t="shared" si="238"/>
        <v>582.61615318634313</v>
      </c>
      <c r="EJ74" s="97">
        <f t="shared" si="243"/>
        <v>1202.2217136314989</v>
      </c>
      <c r="EK74" s="97">
        <f t="shared" si="246"/>
        <v>142.23733151936932</v>
      </c>
      <c r="EL74" s="97">
        <f t="shared" si="248"/>
        <v>3.5483957375651545</v>
      </c>
      <c r="EM74" s="111">
        <f t="shared" si="196"/>
        <v>1945.0058686773586</v>
      </c>
      <c r="EN74" s="200">
        <f t="shared" si="197"/>
        <v>25</v>
      </c>
      <c r="EO74" s="92">
        <f t="shared" si="198"/>
        <v>0</v>
      </c>
      <c r="EP74" s="92">
        <f t="shared" si="278"/>
        <v>268.41080987747546</v>
      </c>
      <c r="EQ74" s="92">
        <f t="shared" si="239"/>
        <v>293.41080987747546</v>
      </c>
      <c r="ER74" s="128">
        <f t="shared" si="201"/>
        <v>0.15085343165416792</v>
      </c>
      <c r="ES74" s="111">
        <f t="shared" si="240"/>
        <v>1651.5950587998832</v>
      </c>
      <c r="ET74" s="72">
        <f t="shared" si="203"/>
        <v>-0.15560431148387055</v>
      </c>
      <c r="EU74" s="96">
        <f t="shared" si="280"/>
        <v>1.5464972601187736</v>
      </c>
      <c r="EV74" s="92">
        <f t="shared" si="205"/>
        <v>1546.4972601187737</v>
      </c>
      <c r="EW74" s="120">
        <f t="shared" ref="EW74:EW79" si="283">(1-SSLcontrol)*DP74+SSLcontrol*$EW$41</f>
        <v>-0.87704872899999997</v>
      </c>
      <c r="EX74" s="9">
        <f t="shared" si="184"/>
        <v>1.737063217</v>
      </c>
      <c r="EY74" s="9">
        <f t="shared" si="185"/>
        <v>-0.76998976299999999</v>
      </c>
      <c r="EZ74" s="9">
        <f t="shared" si="186"/>
        <v>1.0545776950000001</v>
      </c>
      <c r="FA74" s="113" cm="1">
        <f t="array" ref="FA74">$DN$11+SUMPRODUCT($DP$11:$DS$11*EW74:EZ74)</f>
        <v>1.6229535055727486</v>
      </c>
      <c r="FB74">
        <v>2011</v>
      </c>
      <c r="FC74" s="116">
        <f t="shared" si="121"/>
        <v>2566636.9193001417</v>
      </c>
      <c r="FD74" s="116">
        <f t="shared" si="255"/>
        <v>3988424.7377871284</v>
      </c>
      <c r="FE74" s="116">
        <f t="shared" si="159"/>
        <v>3208296.1491251774</v>
      </c>
      <c r="FF74" s="116">
        <f t="shared" si="256"/>
        <v>3452183.0239222944</v>
      </c>
      <c r="FG74" s="5">
        <f t="shared" si="257"/>
        <v>536241.71386483405</v>
      </c>
      <c r="FH74" s="5">
        <f t="shared" si="155"/>
        <v>374125.86811611429</v>
      </c>
      <c r="FI74" s="155">
        <f t="shared" si="258"/>
        <v>0.1344495005219413</v>
      </c>
      <c r="FJ74" s="117">
        <f t="shared" si="127"/>
        <v>13.44495005219413</v>
      </c>
      <c r="FK74" s="61">
        <f t="shared" si="259"/>
        <v>7775.0525071201791</v>
      </c>
      <c r="FL74" s="61">
        <f t="shared" si="142"/>
        <v>512.97720936735004</v>
      </c>
      <c r="FM74" s="92">
        <f t="shared" si="128"/>
        <v>68.969529578579525</v>
      </c>
      <c r="FN74" s="72">
        <f t="shared" si="129"/>
        <v>0.1344495005219413</v>
      </c>
      <c r="FO74" s="179">
        <f t="shared" si="260"/>
        <v>2.2989843192859842</v>
      </c>
      <c r="FP74" s="92">
        <f t="shared" si="160"/>
        <v>51.313650792254457</v>
      </c>
      <c r="FQ74" s="1">
        <f t="shared" si="143"/>
        <v>0</v>
      </c>
      <c r="FR74" s="26">
        <f t="shared" si="130"/>
        <v>1.2341408827186904</v>
      </c>
      <c r="FS74">
        <f t="shared" si="261"/>
        <v>2011</v>
      </c>
      <c r="FT74" s="5">
        <f t="shared" si="241"/>
        <v>4242.1046257855824</v>
      </c>
      <c r="FU74" s="214">
        <f t="shared" si="262"/>
        <v>1945.5599393119153</v>
      </c>
      <c r="FV74" s="213">
        <f t="shared" si="131"/>
        <v>1121.2208860331029</v>
      </c>
      <c r="FW74" s="5">
        <f t="shared" si="132"/>
        <v>824.33905327881234</v>
      </c>
      <c r="FX74" s="1">
        <f t="shared" si="133"/>
        <v>0.423702727745492</v>
      </c>
      <c r="FY74">
        <f t="shared" si="263"/>
        <v>41321.699072351068</v>
      </c>
      <c r="FZ74" s="26">
        <f t="shared" si="134"/>
        <v>1.9949301983818696E-2</v>
      </c>
      <c r="GA74" s="106">
        <f t="shared" si="264"/>
        <v>6.6497673279395655E-4</v>
      </c>
      <c r="GB74" s="61">
        <f t="shared" si="135"/>
        <v>1651.5950587998832</v>
      </c>
      <c r="GC74" s="61">
        <f t="shared" si="207"/>
        <v>2568.8813226421034</v>
      </c>
      <c r="GD74" s="61">
        <f t="shared" si="247"/>
        <v>3295.2612650045417</v>
      </c>
      <c r="GE74" s="61">
        <f t="shared" si="210"/>
        <v>1546.4972601187737</v>
      </c>
      <c r="GF74" s="61">
        <f t="shared" si="137"/>
        <v>1022.3840625233297</v>
      </c>
      <c r="GG74" s="61">
        <f t="shared" si="245"/>
        <v>1311.4745977155765</v>
      </c>
      <c r="GH74" s="6">
        <f t="shared" si="138"/>
        <v>0.39798804775917174</v>
      </c>
      <c r="GI74">
        <f t="shared" si="265"/>
        <v>9248.6922093424037</v>
      </c>
      <c r="GJ74" s="26">
        <f t="shared" si="208"/>
        <v>0.110543635725123</v>
      </c>
      <c r="GK74">
        <f t="shared" si="266"/>
        <v>3.6847878575041E-3</v>
      </c>
      <c r="GL74" s="232">
        <f t="shared" si="140"/>
        <v>1.2341408827186904</v>
      </c>
      <c r="GY74">
        <v>2011</v>
      </c>
      <c r="GZ74" s="112">
        <f t="shared" si="267"/>
        <v>0.96261283681662957</v>
      </c>
      <c r="HA74" s="112">
        <f t="shared" si="268"/>
        <v>-0.15560431148387055</v>
      </c>
      <c r="HB74" s="112">
        <f t="shared" si="269"/>
        <v>2.0783620616638054</v>
      </c>
    </row>
    <row r="75" spans="1:210" x14ac:dyDescent="0.35">
      <c r="A75">
        <v>2012</v>
      </c>
      <c r="D75" s="80">
        <f>'SR + catch data Murdoch_age var'!C64</f>
        <v>1381072</v>
      </c>
      <c r="E75" s="80">
        <f>'SR + catch data Murdoch_age var'!E64</f>
        <v>3027578.7899983842</v>
      </c>
      <c r="F75" s="231">
        <f t="shared" si="63"/>
        <v>0.7849032116775021</v>
      </c>
      <c r="G75" s="80">
        <f>'SR + catch data Murdoch_age var'!D64</f>
        <v>1702019.9096711003</v>
      </c>
      <c r="H75" s="80">
        <f>'Orig data'!Q66</f>
        <v>1702019.9096711003</v>
      </c>
      <c r="I75" s="80">
        <f t="shared" si="64"/>
        <v>320947.90967110032</v>
      </c>
      <c r="J75" s="149">
        <f t="shared" si="65"/>
        <v>0.18856883391753071</v>
      </c>
      <c r="K75" s="83">
        <f>'SR + catch data Murdoch_age var'!CM64</f>
        <v>0.80614775178678877</v>
      </c>
      <c r="L75" s="83">
        <f>'SR + catch data Murdoch_age var'!CN64</f>
        <v>0.62426580307576829</v>
      </c>
      <c r="M75" s="84">
        <f>'SR + catch data Murdoch_age var'!CO64</f>
        <v>1560784.2749839099</v>
      </c>
      <c r="N75" s="81">
        <f t="shared" si="66"/>
        <v>0.6625747855747085</v>
      </c>
      <c r="O75" s="88">
        <f t="shared" si="67"/>
        <v>2012</v>
      </c>
      <c r="P75" s="81">
        <f>'Orig data'!CN66</f>
        <v>0.1065989847715736</v>
      </c>
      <c r="Q75" s="81">
        <f>'Orig data'!CO66</f>
        <v>0.57360406091370564</v>
      </c>
      <c r="R75" s="81">
        <f>'Orig data'!CP66</f>
        <v>0.31979695431472083</v>
      </c>
      <c r="S75" s="85">
        <f>'Orig data'!CQ66</f>
        <v>0</v>
      </c>
      <c r="T75" s="80">
        <f t="shared" si="144"/>
        <v>181433.59443194472</v>
      </c>
      <c r="U75" s="80">
        <f t="shared" si="145"/>
        <v>976285.53194332158</v>
      </c>
      <c r="V75" s="80">
        <f t="shared" si="146"/>
        <v>544300.78329583409</v>
      </c>
      <c r="W75" s="80">
        <f t="shared" si="147"/>
        <v>0</v>
      </c>
      <c r="X75" s="79">
        <f t="shared" si="73"/>
        <v>2012</v>
      </c>
      <c r="Y75" s="79">
        <f t="shared" si="149"/>
        <v>171130.50045314722</v>
      </c>
      <c r="Z75" s="79">
        <f t="shared" si="152"/>
        <v>769533.15425009665</v>
      </c>
      <c r="AA75" s="79">
        <f t="shared" si="156"/>
        <v>613718.3006323122</v>
      </c>
      <c r="AB75" s="79">
        <f t="shared" si="161"/>
        <v>0</v>
      </c>
      <c r="AC75" s="80">
        <f t="shared" si="78"/>
        <v>1554381.9553355561</v>
      </c>
      <c r="AD75" s="84">
        <f t="shared" si="79"/>
        <v>147637.95433554426</v>
      </c>
      <c r="AE75" s="80">
        <f t="shared" si="80"/>
        <v>320947.90967110032</v>
      </c>
      <c r="AF75" s="72">
        <f t="shared" si="81"/>
        <v>0.20647943613178069</v>
      </c>
      <c r="AG75" s="26">
        <f t="shared" si="82"/>
        <v>1.7910602214249977E-2</v>
      </c>
      <c r="AH75" s="61">
        <f t="shared" si="249"/>
        <v>2012</v>
      </c>
      <c r="AI75" s="74" cm="1">
        <f t="array" ref="AI75">IF(Uhistoric=1,J75,Uapply)</f>
        <v>0.2</v>
      </c>
      <c r="AJ75" s="75">
        <f t="shared" si="150"/>
        <v>475076.21519200777</v>
      </c>
      <c r="AK75" s="75">
        <f t="shared" si="153"/>
        <v>1362799.8347577187</v>
      </c>
      <c r="AL75" s="75">
        <f t="shared" si="157"/>
        <v>1068452.419864462</v>
      </c>
      <c r="AM75" s="75">
        <f t="shared" si="162"/>
        <v>0</v>
      </c>
      <c r="AN75" s="79">
        <f t="shared" si="84"/>
        <v>2906328.4698141888</v>
      </c>
      <c r="AO75" s="80">
        <f t="shared" si="85"/>
        <v>581265.6939628378</v>
      </c>
      <c r="AP75" s="80">
        <f t="shared" si="86"/>
        <v>2325062.7758513512</v>
      </c>
      <c r="AQ75" s="81">
        <v>0.67542146885303633</v>
      </c>
      <c r="AR75" s="81">
        <v>0.95245405711358799</v>
      </c>
      <c r="AS75" s="81">
        <f>'SR + catch data Murdoch_age var'!N64</f>
        <v>-0.97624969677376738</v>
      </c>
      <c r="AT75" s="121">
        <f>'SR + catch data Murdoch_age var'!BR64</f>
        <v>2.2082101296986836</v>
      </c>
      <c r="AU75" s="122">
        <f t="shared" si="250"/>
        <v>0.80614775178678877</v>
      </c>
      <c r="AV75" s="122">
        <f t="shared" si="88"/>
        <v>0.1223284261027936</v>
      </c>
      <c r="AW75" s="115">
        <f t="shared" si="251"/>
        <v>6115464.1288072309</v>
      </c>
      <c r="AX75" s="115"/>
      <c r="AY75" s="141">
        <f t="shared" si="89"/>
        <v>2.8108322744251306</v>
      </c>
      <c r="AZ75" s="141"/>
      <c r="BA75" s="84">
        <v>1000</v>
      </c>
      <c r="BB75" s="101">
        <v>2012</v>
      </c>
      <c r="BC75" s="72">
        <v>3.5750695088044487E-2</v>
      </c>
      <c r="BD75" s="72">
        <v>0.8358758109360519</v>
      </c>
      <c r="BE75" s="72">
        <v>0.11956904541241889</v>
      </c>
      <c r="BF75" s="72">
        <v>8.3410565338276187E-3</v>
      </c>
      <c r="BG75" s="72">
        <v>4.6339202965708991E-4</v>
      </c>
      <c r="BH75" s="76">
        <v>1</v>
      </c>
      <c r="BI75" s="76">
        <v>0.33400000000000002</v>
      </c>
      <c r="BJ75" s="72">
        <f t="shared" si="215"/>
        <v>-1.0966142860054366</v>
      </c>
      <c r="BK75">
        <v>1</v>
      </c>
      <c r="BL75" s="120">
        <v>1.3665054459999999</v>
      </c>
      <c r="BM75" s="125">
        <v>2.0609843379999999</v>
      </c>
      <c r="BN75" s="4">
        <v>-0.76998976299999999</v>
      </c>
      <c r="BO75" s="98">
        <f t="shared" si="221"/>
        <v>0.13933498806550393</v>
      </c>
      <c r="BP75" s="98">
        <f t="shared" si="216"/>
        <v>0.51422014654310932</v>
      </c>
      <c r="BQ75" s="99">
        <f t="shared" si="217"/>
        <v>-0.43151048145144261</v>
      </c>
      <c r="BR75" s="200">
        <v>50</v>
      </c>
      <c r="BS75" s="100">
        <v>28.169999999999998</v>
      </c>
      <c r="BT75" s="98">
        <v>0.2</v>
      </c>
      <c r="BU75" s="98">
        <f t="shared" si="222"/>
        <v>0.2</v>
      </c>
      <c r="BV75" s="124">
        <f t="shared" si="92"/>
        <v>0.2</v>
      </c>
      <c r="BW75" s="100">
        <f t="shared" si="218"/>
        <v>269.54250000000002</v>
      </c>
      <c r="BX75" s="100">
        <v>1347.7125000000001</v>
      </c>
      <c r="BY75" s="99">
        <v>0.36</v>
      </c>
      <c r="BZ75" s="89">
        <f t="shared" si="277"/>
        <v>0.17368219399150595</v>
      </c>
      <c r="CA75" s="78">
        <v>2012</v>
      </c>
      <c r="CB75" s="91">
        <f t="shared" si="275"/>
        <v>0.13799999999999998</v>
      </c>
      <c r="CC75" s="97">
        <f t="shared" si="252"/>
        <v>135.33603918982828</v>
      </c>
      <c r="CD75" s="97">
        <f t="shared" si="271"/>
        <v>3713.9847502259818</v>
      </c>
      <c r="CE75" s="97">
        <f t="shared" si="272"/>
        <v>637.01821809986313</v>
      </c>
      <c r="CF75" s="97">
        <f t="shared" si="273"/>
        <v>24.219078820156788</v>
      </c>
      <c r="CG75" s="97">
        <f t="shared" si="274"/>
        <v>1.0454802826503042</v>
      </c>
      <c r="CH75" s="92">
        <f t="shared" si="224"/>
        <v>4511.6035666184807</v>
      </c>
      <c r="CI75" s="200">
        <f t="shared" si="225"/>
        <v>50</v>
      </c>
      <c r="CJ75" s="93">
        <f t="shared" si="226"/>
        <v>28.169999999999998</v>
      </c>
      <c r="CK75" s="92">
        <f t="shared" si="227"/>
        <v>622.60129219335022</v>
      </c>
      <c r="CL75" s="92">
        <f t="shared" si="228"/>
        <v>700.77129219335018</v>
      </c>
      <c r="CM75" s="76">
        <f t="shared" si="229"/>
        <v>1.2856768001605493E-2</v>
      </c>
      <c r="CN75" s="128">
        <f t="shared" si="230"/>
        <v>0.15532643368277801</v>
      </c>
      <c r="CO75" s="111">
        <f t="shared" si="279"/>
        <v>3810.8322744251304</v>
      </c>
      <c r="CP75" s="72">
        <f t="shared" si="232"/>
        <v>0.13933498806550393</v>
      </c>
      <c r="CQ75" s="96">
        <f t="shared" si="281"/>
        <v>1.1587830810534847</v>
      </c>
      <c r="CR75" s="92">
        <f t="shared" si="234"/>
        <v>1158.7830810534847</v>
      </c>
      <c r="CS75" s="120">
        <f t="shared" si="282"/>
        <v>-0.90461819600000004</v>
      </c>
      <c r="CT75" s="72">
        <f t="shared" si="97"/>
        <v>2.0609843379999999</v>
      </c>
      <c r="CU75" s="72">
        <f t="shared" si="236"/>
        <v>-0.76998976299999999</v>
      </c>
      <c r="CV75" s="104">
        <f t="shared" si="237"/>
        <v>1.8751040901038154</v>
      </c>
      <c r="CW75" s="105">
        <f t="shared" si="99"/>
        <v>0.67542146885303633</v>
      </c>
      <c r="CX75" s="105">
        <f t="shared" si="100"/>
        <v>0.95245405711358799</v>
      </c>
      <c r="CY75" s="105">
        <f t="shared" si="101"/>
        <v>-0.97624969677376738</v>
      </c>
      <c r="CZ75" s="123">
        <f t="shared" ref="CZ75:CZ78" si="284">(1-SSLcontrol)*AT75+SSLcontrol*$CZ$41</f>
        <v>-0.68849257550252763</v>
      </c>
      <c r="DA75" s="81">
        <f t="shared" si="253"/>
        <v>1.4557225719229991</v>
      </c>
      <c r="DB75" s="9">
        <f t="shared" si="104"/>
        <v>6115464.1288072309</v>
      </c>
      <c r="DD75" s="1">
        <f t="shared" si="105"/>
        <v>4.3994320162265952</v>
      </c>
      <c r="DE75" s="168">
        <v>307</v>
      </c>
      <c r="DF75" s="126">
        <v>2012</v>
      </c>
      <c r="DG75" s="26">
        <v>7.6142131979695434E-3</v>
      </c>
      <c r="DH75" s="26">
        <v>0.29512169725367693</v>
      </c>
      <c r="DI75" s="26">
        <v>0.6060236886632826</v>
      </c>
      <c r="DJ75" s="26">
        <v>8.8702329819081091E-2</v>
      </c>
      <c r="DK75" s="26">
        <v>2.5380710659898475E-3</v>
      </c>
      <c r="DL75" s="106">
        <v>0.307</v>
      </c>
      <c r="DM75" s="106">
        <v>0.14099999999999999</v>
      </c>
      <c r="DN75" s="26">
        <v>-0.77808785720902895</v>
      </c>
      <c r="DO75" s="76">
        <f t="shared" si="107"/>
        <v>0.307</v>
      </c>
      <c r="DP75" s="119">
        <v>1.5238343910000001</v>
      </c>
      <c r="DQ75" s="26">
        <v>1.9340650450000001</v>
      </c>
      <c r="DR75" s="26">
        <v>-0.73562490899999999</v>
      </c>
      <c r="DS75" s="26">
        <v>0.57831176299999998</v>
      </c>
      <c r="DT75" s="113" cm="1">
        <f t="array" ref="DT75">$DN$11+SUMPRODUCT(DP$11:$DS$11*DP75:DS75)</f>
        <v>-0.39683307374954224</v>
      </c>
      <c r="DU75" s="76">
        <f t="shared" si="254"/>
        <v>0.15082453044539823</v>
      </c>
      <c r="DV75" s="72">
        <f t="shared" si="179"/>
        <v>-6.7357220702625828E-2</v>
      </c>
      <c r="DW75" s="199">
        <v>25</v>
      </c>
      <c r="DX75" s="61">
        <v>0</v>
      </c>
      <c r="DY75" s="26">
        <v>0.2</v>
      </c>
      <c r="DZ75" s="98">
        <f t="shared" si="213"/>
        <v>0.2</v>
      </c>
      <c r="EA75" s="110">
        <f t="shared" si="214"/>
        <v>0.2</v>
      </c>
      <c r="EB75" s="100">
        <f t="shared" si="188"/>
        <v>83</v>
      </c>
      <c r="EC75" s="61">
        <v>415</v>
      </c>
      <c r="ED75" s="99">
        <v>0.36</v>
      </c>
      <c r="EE75" s="125">
        <f t="shared" si="189"/>
        <v>1.4857731612665164E-2</v>
      </c>
      <c r="EF75" s="37">
        <v>2012</v>
      </c>
      <c r="EG75" s="110">
        <f t="shared" si="276"/>
        <v>0.13799999999999998</v>
      </c>
      <c r="EH75" s="97">
        <f t="shared" si="220"/>
        <v>18.133311442705562</v>
      </c>
      <c r="EI75" s="97">
        <f t="shared" si="238"/>
        <v>557.44712956216324</v>
      </c>
      <c r="EJ75" s="97">
        <f t="shared" si="243"/>
        <v>1196.3850625503298</v>
      </c>
      <c r="EK75" s="97">
        <f t="shared" si="246"/>
        <v>175.96649925256148</v>
      </c>
      <c r="EL75" s="97">
        <f t="shared" si="248"/>
        <v>4.0698869620362457</v>
      </c>
      <c r="EM75" s="111">
        <f t="shared" si="196"/>
        <v>1952.0018897697964</v>
      </c>
      <c r="EN75" s="200">
        <f t="shared" si="197"/>
        <v>25</v>
      </c>
      <c r="EO75" s="92">
        <f t="shared" si="198"/>
        <v>0</v>
      </c>
      <c r="EP75" s="92">
        <f t="shared" si="278"/>
        <v>269.37626078823189</v>
      </c>
      <c r="EQ75" s="92">
        <f t="shared" si="239"/>
        <v>294.37626078823189</v>
      </c>
      <c r="ER75" s="128">
        <f t="shared" si="201"/>
        <v>0.15080736465011738</v>
      </c>
      <c r="ES75" s="111">
        <f t="shared" si="240"/>
        <v>1657.6256289815647</v>
      </c>
      <c r="ET75" s="72">
        <f t="shared" si="203"/>
        <v>-0.39683307374954224</v>
      </c>
      <c r="EU75" s="96">
        <f t="shared" si="280"/>
        <v>1.3729525453255069</v>
      </c>
      <c r="EV75" s="92">
        <f t="shared" si="205"/>
        <v>1372.9525453255069</v>
      </c>
      <c r="EW75" s="120">
        <f t="shared" si="283"/>
        <v>-0.87704872899999997</v>
      </c>
      <c r="EX75" s="9">
        <f t="shared" si="184"/>
        <v>1.9340650450000001</v>
      </c>
      <c r="EY75" s="9">
        <f t="shared" si="185"/>
        <v>-0.73562490899999999</v>
      </c>
      <c r="EZ75" s="9">
        <f t="shared" si="186"/>
        <v>0.57831176299999998</v>
      </c>
      <c r="FA75" s="113" cm="1">
        <f t="array" ref="FA75">$DN$11+SUMPRODUCT($DP$11:$DS$11*EW75:EZ75)</f>
        <v>1.5064458791267727</v>
      </c>
      <c r="FB75">
        <v>2012</v>
      </c>
      <c r="FC75" s="116">
        <f t="shared" si="121"/>
        <v>2325062.7758513512</v>
      </c>
      <c r="FD75" s="116">
        <f t="shared" si="255"/>
        <v>3642373.1723336889</v>
      </c>
      <c r="FE75" s="116">
        <f t="shared" si="159"/>
        <v>2906328.4698141888</v>
      </c>
      <c r="FF75" s="116">
        <f t="shared" si="256"/>
        <v>3152657.9185989061</v>
      </c>
      <c r="FG75" s="5">
        <f t="shared" si="257"/>
        <v>489715.2537347828</v>
      </c>
      <c r="FH75" s="5">
        <f t="shared" si="155"/>
        <v>379414.99929405935</v>
      </c>
      <c r="FI75" s="155">
        <f t="shared" si="258"/>
        <v>0.13444950052194116</v>
      </c>
      <c r="FJ75" s="117">
        <f t="shared" si="127"/>
        <v>13.444950052194116</v>
      </c>
      <c r="FK75" s="61">
        <f t="shared" si="259"/>
        <v>7775.0525071201791</v>
      </c>
      <c r="FL75" s="61">
        <f t="shared" si="142"/>
        <v>468.46927001433158</v>
      </c>
      <c r="FM75" s="92">
        <f t="shared" si="128"/>
        <v>62.985459363305267</v>
      </c>
      <c r="FN75" s="72">
        <f t="shared" si="129"/>
        <v>0.13444950052194116</v>
      </c>
      <c r="FO75" s="179">
        <f t="shared" si="260"/>
        <v>2.0995153121101757</v>
      </c>
      <c r="FP75" s="92">
        <f t="shared" si="160"/>
        <v>55.00004389760398</v>
      </c>
      <c r="FQ75" s="1">
        <f t="shared" si="143"/>
        <v>0</v>
      </c>
      <c r="FR75" s="26">
        <f t="shared" si="130"/>
        <v>1.2341408827186904</v>
      </c>
      <c r="FS75">
        <f t="shared" si="261"/>
        <v>2012</v>
      </c>
      <c r="FT75" s="5">
        <f t="shared" si="241"/>
        <v>3810.8322744251304</v>
      </c>
      <c r="FU75" s="214">
        <f t="shared" si="262"/>
        <v>1949.4569339342208</v>
      </c>
      <c r="FV75" s="213">
        <f t="shared" si="131"/>
        <v>1123.4667134039282</v>
      </c>
      <c r="FW75" s="5">
        <f t="shared" si="132"/>
        <v>825.99022053029262</v>
      </c>
      <c r="FX75" s="1">
        <f t="shared" si="133"/>
        <v>0.42370272774549195</v>
      </c>
      <c r="FY75">
        <f t="shared" si="263"/>
        <v>43456.228915645421</v>
      </c>
      <c r="FZ75" s="26">
        <f t="shared" si="134"/>
        <v>1.9007406789338634E-2</v>
      </c>
      <c r="GA75" s="106">
        <f t="shared" si="264"/>
        <v>6.3358022631128776E-4</v>
      </c>
      <c r="GB75" s="61">
        <f t="shared" si="135"/>
        <v>1657.6256289815647</v>
      </c>
      <c r="GC75" s="61">
        <f t="shared" si="207"/>
        <v>2280.6067889766291</v>
      </c>
      <c r="GD75" s="61">
        <f t="shared" si="247"/>
        <v>3279.2631425226032</v>
      </c>
      <c r="GE75" s="61">
        <f t="shared" si="210"/>
        <v>1372.9525453255073</v>
      </c>
      <c r="GF75" s="61">
        <f t="shared" si="137"/>
        <v>907.65424365112176</v>
      </c>
      <c r="GG75" s="61">
        <f t="shared" si="245"/>
        <v>1305.1075361811775</v>
      </c>
      <c r="GH75" s="6">
        <f t="shared" si="138"/>
        <v>0.39798804775917163</v>
      </c>
      <c r="GI75">
        <f t="shared" si="265"/>
        <v>9248.6922093424037</v>
      </c>
      <c r="GJ75" s="26">
        <f t="shared" si="208"/>
        <v>9.8138658213133181E-2</v>
      </c>
      <c r="GK75">
        <f t="shared" si="266"/>
        <v>3.2712886071044394E-3</v>
      </c>
      <c r="GL75" s="232">
        <f t="shared" si="140"/>
        <v>1.2341408827186904</v>
      </c>
      <c r="GY75">
        <v>2012</v>
      </c>
      <c r="GZ75" s="112">
        <f t="shared" si="267"/>
        <v>0.80614775178678877</v>
      </c>
      <c r="HA75" s="112">
        <f t="shared" si="268"/>
        <v>-0.39683307374954224</v>
      </c>
      <c r="HB75" s="112">
        <f t="shared" si="269"/>
        <v>1.8751040901038154</v>
      </c>
    </row>
    <row r="76" spans="1:210" x14ac:dyDescent="0.35">
      <c r="A76">
        <v>2013</v>
      </c>
      <c r="D76" s="80">
        <f>'SR + catch data Murdoch_age var'!C65</f>
        <v>1167839</v>
      </c>
      <c r="E76" s="80">
        <f>'SR + catch data Murdoch_age var'!E65</f>
        <v>805154.93228744587</v>
      </c>
      <c r="F76" s="231">
        <f t="shared" si="63"/>
        <v>-0.37187559005235787</v>
      </c>
      <c r="G76" s="80">
        <f>'SR + catch data Murdoch_age var'!D65</f>
        <v>1601307.957646556</v>
      </c>
      <c r="H76" s="80">
        <f>'Orig data'!Q67</f>
        <v>1601307.957646556</v>
      </c>
      <c r="I76" s="80">
        <f t="shared" si="64"/>
        <v>433468.95764655597</v>
      </c>
      <c r="J76" s="149">
        <f t="shared" si="65"/>
        <v>0.27069681105165166</v>
      </c>
      <c r="K76" s="83">
        <f>'SR + catch data Murdoch_age var'!CM65</f>
        <v>0.46603376969388977</v>
      </c>
      <c r="L76" s="83">
        <f>'SR + catch data Murdoch_age var'!CN65</f>
        <v>0.62426580307576829</v>
      </c>
      <c r="M76" s="84">
        <f>'SR + catch data Murdoch_age var'!CO65</f>
        <v>1043884.596815276</v>
      </c>
      <c r="N76" s="81">
        <f t="shared" si="66"/>
        <v>-0.25966950151476409</v>
      </c>
      <c r="O76" s="88">
        <f t="shared" si="67"/>
        <v>2013</v>
      </c>
      <c r="P76" s="81">
        <f>'Orig data'!CN67</f>
        <v>3.1155778894472363E-2</v>
      </c>
      <c r="Q76" s="81">
        <f>'Orig data'!CO67</f>
        <v>0.74974874371859301</v>
      </c>
      <c r="R76" s="81">
        <f>'Orig data'!CP67</f>
        <v>0.21105527638190955</v>
      </c>
      <c r="S76" s="85">
        <f>'Orig data'!CQ67</f>
        <v>8.0402010050251264E-3</v>
      </c>
      <c r="T76" s="80">
        <f t="shared" si="144"/>
        <v>49889.996670395216</v>
      </c>
      <c r="U76" s="80">
        <f t="shared" si="145"/>
        <v>1200578.6295520912</v>
      </c>
      <c r="V76" s="80">
        <f t="shared" si="146"/>
        <v>337964.49357364496</v>
      </c>
      <c r="W76" s="80">
        <f t="shared" si="147"/>
        <v>12874.837850424572</v>
      </c>
      <c r="X76" s="79">
        <f t="shared" si="73"/>
        <v>2013</v>
      </c>
      <c r="Y76" s="79">
        <f t="shared" si="149"/>
        <v>49755.323759113402</v>
      </c>
      <c r="Z76" s="79">
        <f t="shared" si="152"/>
        <v>1203621.9481979143</v>
      </c>
      <c r="AA76" s="79">
        <f t="shared" si="156"/>
        <v>283146.58772914566</v>
      </c>
      <c r="AB76" s="79">
        <f t="shared" si="161"/>
        <v>15429.84831772392</v>
      </c>
      <c r="AC76" s="80">
        <f t="shared" si="78"/>
        <v>1551953.7080038975</v>
      </c>
      <c r="AD76" s="84">
        <f t="shared" si="79"/>
        <v>49354.249642658513</v>
      </c>
      <c r="AE76" s="80">
        <f t="shared" si="80"/>
        <v>433468.95764655597</v>
      </c>
      <c r="AF76" s="72">
        <f t="shared" si="81"/>
        <v>0.27930533972181298</v>
      </c>
      <c r="AG76" s="26">
        <f t="shared" si="82"/>
        <v>8.6085286701613195E-3</v>
      </c>
      <c r="AH76" s="126">
        <f t="shared" si="249"/>
        <v>2013</v>
      </c>
      <c r="AI76" s="74" cm="1">
        <f t="array" ref="AI76">IF(Uhistoric=1,J76,Uapply)</f>
        <v>0.2</v>
      </c>
      <c r="AJ76" s="75">
        <f t="shared" si="150"/>
        <v>108994.14328173047</v>
      </c>
      <c r="AK76" s="75">
        <f t="shared" si="153"/>
        <v>3341380.7483631419</v>
      </c>
      <c r="AL76" s="75">
        <f t="shared" si="157"/>
        <v>501436.64485193061</v>
      </c>
      <c r="AM76" s="75">
        <f t="shared" si="162"/>
        <v>26862.582973700126</v>
      </c>
      <c r="AN76" s="79">
        <f t="shared" si="84"/>
        <v>3978674.1194705027</v>
      </c>
      <c r="AO76" s="80">
        <f t="shared" si="85"/>
        <v>795734.82389410061</v>
      </c>
      <c r="AP76" s="80">
        <f t="shared" si="86"/>
        <v>3182939.295576402</v>
      </c>
      <c r="AQ76" s="81">
        <v>7.4628104676789861E-2</v>
      </c>
      <c r="AR76" s="81">
        <v>-0.67839888030260287</v>
      </c>
      <c r="AS76" s="81">
        <f>'SR + catch data Murdoch_age var'!N65</f>
        <v>-0.32163814392981888</v>
      </c>
      <c r="AT76" s="121">
        <f>'SR + catch data Murdoch_age var'!BR65</f>
        <v>2.4203010242976566</v>
      </c>
      <c r="AU76" s="122">
        <f t="shared" si="250"/>
        <v>0.46603376969388977</v>
      </c>
      <c r="AV76" s="122">
        <f t="shared" si="88"/>
        <v>-0.11220608853759362</v>
      </c>
      <c r="AW76" s="115">
        <f t="shared" si="251"/>
        <v>1624686.6189789749</v>
      </c>
      <c r="AX76" s="115"/>
      <c r="AY76" s="141">
        <f t="shared" si="89"/>
        <v>2.003187486839936</v>
      </c>
      <c r="AZ76" s="141"/>
      <c r="BA76" s="84">
        <v>1090</v>
      </c>
      <c r="BB76" s="101">
        <v>2013</v>
      </c>
      <c r="BC76" s="72">
        <v>3.5750695088044487E-2</v>
      </c>
      <c r="BD76" s="72">
        <v>0.8358758109360519</v>
      </c>
      <c r="BE76" s="72">
        <v>0.11956904541241889</v>
      </c>
      <c r="BF76" s="72">
        <v>8.3410565338276187E-3</v>
      </c>
      <c r="BG76" s="72">
        <v>4.6339202965708991E-4</v>
      </c>
      <c r="BH76" s="76">
        <v>1.0900000000000001</v>
      </c>
      <c r="BI76" s="76">
        <v>0.22</v>
      </c>
      <c r="BJ76" s="72">
        <f t="shared" si="215"/>
        <v>-1.6003054288708278</v>
      </c>
      <c r="BK76">
        <v>1.0900000000000001</v>
      </c>
      <c r="BL76" s="120">
        <v>1.5238343910000001</v>
      </c>
      <c r="BM76" s="125">
        <v>1.737063217</v>
      </c>
      <c r="BN76" s="4">
        <v>-0.73562490899999999</v>
      </c>
      <c r="BO76" s="98">
        <f t="shared" si="221"/>
        <v>8.361661914903773E-2</v>
      </c>
      <c r="BP76" s="98">
        <f t="shared" si="216"/>
        <v>0.49309966330497235</v>
      </c>
      <c r="BQ76" s="99">
        <f t="shared" si="217"/>
        <v>-0.8070837640646128</v>
      </c>
      <c r="BR76" s="200">
        <v>50</v>
      </c>
      <c r="BS76" s="100">
        <v>34.199999999999996</v>
      </c>
      <c r="BT76" s="98">
        <v>0.113</v>
      </c>
      <c r="BU76" s="98">
        <f t="shared" si="222"/>
        <v>0.11299999999999998</v>
      </c>
      <c r="BV76" s="124">
        <f t="shared" si="92"/>
        <v>0.11299999999999998</v>
      </c>
      <c r="BW76" s="100">
        <f t="shared" si="218"/>
        <v>149.58804960541147</v>
      </c>
      <c r="BX76" s="100">
        <v>1323.7880496054115</v>
      </c>
      <c r="BY76" s="99">
        <v>0.38</v>
      </c>
      <c r="BZ76" s="89">
        <f t="shared" si="277"/>
        <v>0.17661396632821513</v>
      </c>
      <c r="CA76" s="78">
        <v>2013</v>
      </c>
      <c r="CB76" s="91">
        <f t="shared" si="275"/>
        <v>0.13799999999999998</v>
      </c>
      <c r="CC76" s="97">
        <f t="shared" si="252"/>
        <v>153.90860208117059</v>
      </c>
      <c r="CD76" s="97">
        <f t="shared" si="271"/>
        <v>3164.249568521012</v>
      </c>
      <c r="CE76" s="97">
        <f t="shared" si="272"/>
        <v>531.27223619918277</v>
      </c>
      <c r="CF76" s="97">
        <f t="shared" si="273"/>
        <v>44.437964290189271</v>
      </c>
      <c r="CG76" s="97">
        <f t="shared" si="274"/>
        <v>1.3455043788975991</v>
      </c>
      <c r="CH76" s="92">
        <f t="shared" si="224"/>
        <v>3895.2138754704524</v>
      </c>
      <c r="CI76" s="200">
        <f t="shared" si="225"/>
        <v>50</v>
      </c>
      <c r="CJ76" s="93">
        <f t="shared" si="226"/>
        <v>34.199999999999996</v>
      </c>
      <c r="CK76" s="92">
        <f t="shared" si="227"/>
        <v>537.53951481492243</v>
      </c>
      <c r="CL76" s="92">
        <f t="shared" si="228"/>
        <v>621.73951481492236</v>
      </c>
      <c r="CM76" s="76">
        <f t="shared" si="229"/>
        <v>1.4891259434175247E-2</v>
      </c>
      <c r="CN76" s="128">
        <f t="shared" si="230"/>
        <v>0.15961627132472425</v>
      </c>
      <c r="CO76" s="111">
        <f t="shared" si="279"/>
        <v>3273.4743606555303</v>
      </c>
      <c r="CP76" s="72">
        <f t="shared" si="232"/>
        <v>8.361661914903773E-2</v>
      </c>
      <c r="CQ76" s="96">
        <f t="shared" si="281"/>
        <v>1.6358636251008458</v>
      </c>
      <c r="CR76" s="92">
        <f t="shared" si="234"/>
        <v>1635.8636251008459</v>
      </c>
      <c r="CS76" s="120">
        <f t="shared" si="282"/>
        <v>-0.90461819600000004</v>
      </c>
      <c r="CT76" s="72">
        <f t="shared" si="97"/>
        <v>1.737063217</v>
      </c>
      <c r="CU76" s="72">
        <f t="shared" si="236"/>
        <v>-0.73562490899999999</v>
      </c>
      <c r="CV76" s="104">
        <f t="shared" si="237"/>
        <v>1.9396287218488191</v>
      </c>
      <c r="CW76" s="105">
        <f t="shared" si="99"/>
        <v>7.4628104676789861E-2</v>
      </c>
      <c r="CX76" s="105">
        <f t="shared" si="100"/>
        <v>-0.67839888030260287</v>
      </c>
      <c r="CY76" s="105">
        <f t="shared" si="101"/>
        <v>-0.32163814392981888</v>
      </c>
      <c r="CZ76" s="123">
        <f t="shared" si="284"/>
        <v>-0.68849257550252763</v>
      </c>
      <c r="DA76" s="81">
        <f t="shared" si="253"/>
        <v>1.1631691850076042</v>
      </c>
      <c r="DB76" s="9">
        <f t="shared" si="104"/>
        <v>1624686.6189789749</v>
      </c>
      <c r="DD76" s="1">
        <f t="shared" si="105"/>
        <v>3.6393375325952246</v>
      </c>
      <c r="DE76" s="168">
        <v>374</v>
      </c>
      <c r="DF76" s="126">
        <v>2013</v>
      </c>
      <c r="DG76" s="26">
        <v>7.6142131979695434E-3</v>
      </c>
      <c r="DH76" s="26">
        <v>0.29512169725367693</v>
      </c>
      <c r="DI76" s="26">
        <v>0.6060236886632826</v>
      </c>
      <c r="DJ76" s="26">
        <v>8.8702329819081091E-2</v>
      </c>
      <c r="DK76" s="26">
        <v>2.5380710659898475E-3</v>
      </c>
      <c r="DL76" s="106">
        <v>0.374</v>
      </c>
      <c r="DM76" s="106">
        <v>0.112</v>
      </c>
      <c r="DN76" s="26">
        <v>-1.2057569261194372</v>
      </c>
      <c r="DO76" s="76">
        <f t="shared" si="107"/>
        <v>0.374</v>
      </c>
      <c r="DP76" s="119">
        <v>1.6924607309999999</v>
      </c>
      <c r="DQ76" s="26">
        <v>0.22747257000000001</v>
      </c>
      <c r="DR76" s="26">
        <v>-0.53305314000000004</v>
      </c>
      <c r="DS76" s="26">
        <v>6.6911460000000006E-2</v>
      </c>
      <c r="DT76" s="113" cm="1">
        <f t="array" ref="DT76">$DN$11+SUMPRODUCT(DP$11:$DS$11*DP76:DS76)</f>
        <v>-0.38492031197136267</v>
      </c>
      <c r="DU76" s="76">
        <f t="shared" si="254"/>
        <v>0.17363104057544551</v>
      </c>
      <c r="DV76" s="72">
        <f t="shared" si="179"/>
        <v>-0.43843372010551446</v>
      </c>
      <c r="DW76" s="199">
        <v>25</v>
      </c>
      <c r="DX76" s="61">
        <v>0</v>
      </c>
      <c r="DY76" s="26">
        <v>0.11</v>
      </c>
      <c r="DZ76" s="98">
        <f t="shared" si="213"/>
        <v>0.11000000000000008</v>
      </c>
      <c r="EA76" s="110">
        <f t="shared" si="214"/>
        <v>0.11000000000000008</v>
      </c>
      <c r="EB76" s="100">
        <f t="shared" si="188"/>
        <v>49.314606741573073</v>
      </c>
      <c r="EC76" s="61">
        <v>448.31460674157307</v>
      </c>
      <c r="ED76" s="99">
        <v>0.38</v>
      </c>
      <c r="EE76" s="125">
        <f t="shared" si="189"/>
        <v>1.4203639672378796E-2</v>
      </c>
      <c r="EF76" s="37">
        <v>2013</v>
      </c>
      <c r="EG76" s="110">
        <f t="shared" si="276"/>
        <v>0.13799999999999998</v>
      </c>
      <c r="EH76" s="97">
        <f t="shared" si="220"/>
        <v>14.210384777159968</v>
      </c>
      <c r="EI76" s="97">
        <f t="shared" si="238"/>
        <v>702.83475267383665</v>
      </c>
      <c r="EJ76" s="97">
        <f t="shared" si="243"/>
        <v>1144.7012159246178</v>
      </c>
      <c r="EK76" s="97">
        <f t="shared" si="246"/>
        <v>175.11220170788513</v>
      </c>
      <c r="EL76" s="97">
        <f t="shared" si="248"/>
        <v>5.034991541342551</v>
      </c>
      <c r="EM76" s="111">
        <f t="shared" si="196"/>
        <v>2041.8935466248422</v>
      </c>
      <c r="EN76" s="200">
        <f t="shared" si="197"/>
        <v>25</v>
      </c>
      <c r="EO76" s="92">
        <f t="shared" si="198"/>
        <v>0</v>
      </c>
      <c r="EP76" s="92">
        <f t="shared" si="278"/>
        <v>281.78130943422821</v>
      </c>
      <c r="EQ76" s="92">
        <f t="shared" si="239"/>
        <v>306.78130943422821</v>
      </c>
      <c r="ER76" s="128">
        <f t="shared" si="201"/>
        <v>0.1502435373975905</v>
      </c>
      <c r="ES76" s="111">
        <f t="shared" si="240"/>
        <v>1735.112237190614</v>
      </c>
      <c r="ET76" s="72">
        <f t="shared" si="203"/>
        <v>-0.38492031197136267</v>
      </c>
      <c r="EU76" s="96">
        <f t="shared" si="280"/>
        <v>1.535738986404142</v>
      </c>
      <c r="EV76" s="92">
        <f t="shared" si="205"/>
        <v>1535.738986404142</v>
      </c>
      <c r="EW76" s="120">
        <f t="shared" si="283"/>
        <v>-0.87704872899999997</v>
      </c>
      <c r="EX76" s="9">
        <f t="shared" si="184"/>
        <v>0.22747257000000001</v>
      </c>
      <c r="EY76" s="9">
        <f t="shared" si="185"/>
        <v>-0.53305314000000004</v>
      </c>
      <c r="EZ76" s="9">
        <f t="shared" si="186"/>
        <v>6.6911460000000006E-2</v>
      </c>
      <c r="FA76" s="113" cm="1">
        <f t="array" ref="FA76">$DN$11+SUMPRODUCT($DP$11:$DS$11*EW76:EZ76)</f>
        <v>1.6520356871339108</v>
      </c>
      <c r="FB76">
        <v>2013</v>
      </c>
      <c r="FC76" s="116">
        <f t="shared" si="121"/>
        <v>3182939.295576402</v>
      </c>
      <c r="FD76" s="116">
        <f t="shared" si="255"/>
        <v>2433605.7559861429</v>
      </c>
      <c r="FE76" s="116">
        <f t="shared" si="159"/>
        <v>3978674.1194705027</v>
      </c>
      <c r="FF76" s="116">
        <f t="shared" si="256"/>
        <v>2106408.677626485</v>
      </c>
      <c r="FG76" s="5">
        <f t="shared" si="257"/>
        <v>327197.0783596579</v>
      </c>
      <c r="FH76" s="5">
        <f t="shared" si="155"/>
        <v>369882.68538486864</v>
      </c>
      <c r="FI76" s="155">
        <f t="shared" si="258"/>
        <v>0.13444950052194116</v>
      </c>
      <c r="FJ76" s="117">
        <f t="shared" si="127"/>
        <v>13.444950052194116</v>
      </c>
      <c r="FK76" s="61">
        <f t="shared" si="259"/>
        <v>7775.0525071201791</v>
      </c>
      <c r="FL76" s="61">
        <f t="shared" si="142"/>
        <v>313.00184194994358</v>
      </c>
      <c r="FM76" s="92">
        <f t="shared" si="128"/>
        <v>42.082941312617479</v>
      </c>
      <c r="FN76" s="72">
        <f t="shared" si="129"/>
        <v>0.13444950052194116</v>
      </c>
      <c r="FO76" s="179">
        <f t="shared" si="260"/>
        <v>1.4027647104205827</v>
      </c>
      <c r="FP76" s="92">
        <f t="shared" si="160"/>
        <v>53.994074490677569</v>
      </c>
      <c r="FQ76" s="1">
        <f t="shared" si="143"/>
        <v>0</v>
      </c>
      <c r="FR76" s="26">
        <f t="shared" si="130"/>
        <v>1.2341408827186904</v>
      </c>
      <c r="FS76">
        <f t="shared" si="261"/>
        <v>2013</v>
      </c>
      <c r="FT76" s="5">
        <f t="shared" si="241"/>
        <v>3273.4743606555303</v>
      </c>
      <c r="FU76" s="214">
        <f t="shared" si="262"/>
        <v>2755.8686394740221</v>
      </c>
      <c r="FV76" s="213">
        <f t="shared" si="131"/>
        <v>1588.1995796206211</v>
      </c>
      <c r="FW76" s="5">
        <f t="shared" si="132"/>
        <v>1167.669059853401</v>
      </c>
      <c r="FX76" s="1">
        <f t="shared" si="133"/>
        <v>0.423702727745492</v>
      </c>
      <c r="FY76">
        <f t="shared" si="263"/>
        <v>45741.114846533499</v>
      </c>
      <c r="FZ76" s="26">
        <f t="shared" si="134"/>
        <v>2.5527778755962988E-2</v>
      </c>
      <c r="GA76" s="106">
        <f t="shared" si="264"/>
        <v>8.509259585320996E-4</v>
      </c>
      <c r="GB76" s="61">
        <f t="shared" si="135"/>
        <v>1735.112237190614</v>
      </c>
      <c r="GC76" s="61">
        <f t="shared" si="207"/>
        <v>2551.010790878428</v>
      </c>
      <c r="GD76" s="61">
        <f t="shared" si="247"/>
        <v>3137.5989420834917</v>
      </c>
      <c r="GE76" s="61">
        <f t="shared" si="210"/>
        <v>1535.7389864041415</v>
      </c>
      <c r="GF76" s="61">
        <f t="shared" si="137"/>
        <v>1015.2718044742865</v>
      </c>
      <c r="GG76" s="61">
        <f t="shared" si="245"/>
        <v>1248.7268776110516</v>
      </c>
      <c r="GH76" s="6">
        <f t="shared" si="138"/>
        <v>0.39798804775917179</v>
      </c>
      <c r="GI76">
        <f t="shared" si="265"/>
        <v>9248.6922093424037</v>
      </c>
      <c r="GJ76" s="26">
        <f t="shared" si="208"/>
        <v>0.10977463423950118</v>
      </c>
      <c r="GK76">
        <f t="shared" si="266"/>
        <v>3.6591544746500393E-3</v>
      </c>
      <c r="GL76" s="232">
        <f t="shared" si="140"/>
        <v>1.2341408827186904</v>
      </c>
      <c r="GY76">
        <v>2013</v>
      </c>
      <c r="GZ76" s="112">
        <f t="shared" si="267"/>
        <v>0.46603376969388977</v>
      </c>
      <c r="HA76" s="112">
        <f t="shared" si="268"/>
        <v>-0.38492031197136267</v>
      </c>
      <c r="HB76" s="112">
        <f t="shared" si="269"/>
        <v>1.9396287218488191</v>
      </c>
    </row>
    <row r="77" spans="1:210" x14ac:dyDescent="0.35">
      <c r="A77">
        <v>2014</v>
      </c>
      <c r="D77" s="80">
        <f>'SR + catch data Murdoch_age var'!C66</f>
        <v>1165580</v>
      </c>
      <c r="E77" s="80">
        <f>'SR + catch data Murdoch_age var'!E66</f>
        <v>920933.05007688294</v>
      </c>
      <c r="F77" s="231">
        <f t="shared" si="63"/>
        <v>-0.23558675521758243</v>
      </c>
      <c r="G77" s="80">
        <f>'SR + catch data Murdoch_age var'!D66</f>
        <v>1507866.1449047895</v>
      </c>
      <c r="H77" s="80">
        <f>'Orig data'!Q68</f>
        <v>1507866.1449047895</v>
      </c>
      <c r="I77" s="80">
        <f t="shared" si="64"/>
        <v>342286.14490478951</v>
      </c>
      <c r="J77" s="149">
        <f t="shared" si="65"/>
        <v>0.22700035149764725</v>
      </c>
      <c r="K77" s="83">
        <f>'SR + catch data Murdoch_age var'!CM66</f>
        <v>0.13087593777832862</v>
      </c>
      <c r="L77" s="83">
        <f>'SR + catch data Murdoch_age var'!CN66</f>
        <v>0.62426580307576829</v>
      </c>
      <c r="M77" s="84">
        <f>'SR + catch data Murdoch_age var'!CO66</f>
        <v>746002.30451873061</v>
      </c>
      <c r="N77" s="81">
        <f t="shared" si="66"/>
        <v>0.21065865160505926</v>
      </c>
      <c r="O77" s="88">
        <f t="shared" si="67"/>
        <v>2014</v>
      </c>
      <c r="P77" s="81">
        <f>'Orig data'!CN68</f>
        <v>4.2842215256008356E-2</v>
      </c>
      <c r="Q77" s="81">
        <f>'Orig data'!CO68</f>
        <v>0.81086729362591436</v>
      </c>
      <c r="R77" s="81">
        <f>'Orig data'!CP68</f>
        <v>0.14629049111807732</v>
      </c>
      <c r="S77" s="85">
        <f>'Orig data'!CQ68</f>
        <v>0</v>
      </c>
      <c r="T77" s="80">
        <f t="shared" si="144"/>
        <v>64600.325957258479</v>
      </c>
      <c r="U77" s="80">
        <f t="shared" si="145"/>
        <v>1222679.3400690875</v>
      </c>
      <c r="V77" s="80">
        <f t="shared" si="146"/>
        <v>220586.4788784436</v>
      </c>
      <c r="W77" s="80">
        <f t="shared" si="147"/>
        <v>0</v>
      </c>
      <c r="X77" s="79">
        <f t="shared" si="73"/>
        <v>2014</v>
      </c>
      <c r="Y77" s="79">
        <f t="shared" si="149"/>
        <v>48718.353546943908</v>
      </c>
      <c r="Z77" s="79">
        <f t="shared" si="152"/>
        <v>1294943.2224655894</v>
      </c>
      <c r="AA77" s="79">
        <f t="shared" si="156"/>
        <v>234849.93792594914</v>
      </c>
      <c r="AB77" s="79">
        <f t="shared" si="161"/>
        <v>0</v>
      </c>
      <c r="AC77" s="80">
        <f t="shared" si="78"/>
        <v>1578511.5139384826</v>
      </c>
      <c r="AD77" s="84">
        <f t="shared" si="79"/>
        <v>-70645.369033693103</v>
      </c>
      <c r="AE77" s="80">
        <f t="shared" si="80"/>
        <v>342286.14490478951</v>
      </c>
      <c r="AF77" s="72">
        <f t="shared" si="81"/>
        <v>0.21684108217289128</v>
      </c>
      <c r="AG77" s="26">
        <f t="shared" si="82"/>
        <v>-1.0159269324755971E-2</v>
      </c>
      <c r="AH77" s="126">
        <f t="shared" si="249"/>
        <v>2014</v>
      </c>
      <c r="AI77" s="74" cm="1">
        <f t="array" ref="AI77">IF(Uhistoric=1,J77,Uapply)</f>
        <v>0.2</v>
      </c>
      <c r="AJ77" s="75">
        <f t="shared" si="150"/>
        <v>101558.82251764587</v>
      </c>
      <c r="AK77" s="75">
        <f t="shared" si="153"/>
        <v>2836706.0340003958</v>
      </c>
      <c r="AL77" s="75">
        <f t="shared" si="157"/>
        <v>651968.055679732</v>
      </c>
      <c r="AM77" s="75">
        <f t="shared" si="162"/>
        <v>0</v>
      </c>
      <c r="AN77" s="79">
        <f t="shared" si="84"/>
        <v>3590232.9121977738</v>
      </c>
      <c r="AO77" s="80">
        <f t="shared" si="85"/>
        <v>718046.58243955486</v>
      </c>
      <c r="AP77" s="80">
        <f t="shared" si="86"/>
        <v>2872186.329758219</v>
      </c>
      <c r="AQ77" s="81">
        <v>-0.33057418006754624</v>
      </c>
      <c r="AR77" s="81">
        <v>-0.9254978102141469</v>
      </c>
      <c r="AS77" s="81">
        <f>'SR + catch data Murdoch_age var'!N66</f>
        <v>1.8375409144983164</v>
      </c>
      <c r="AT77" s="121">
        <f>'SR + catch data Murdoch_age var'!BR66</f>
        <v>2.6137121885812094</v>
      </c>
      <c r="AU77" s="122">
        <f t="shared" si="250"/>
        <v>0.13087593777832862</v>
      </c>
      <c r="AV77" s="122">
        <f t="shared" si="88"/>
        <v>-0.44624540682264158</v>
      </c>
      <c r="AW77" s="115">
        <f t="shared" si="251"/>
        <v>2044167.5242487274</v>
      </c>
      <c r="AX77" s="115"/>
      <c r="AY77" s="141">
        <f t="shared" si="89"/>
        <v>1.750581192626347</v>
      </c>
      <c r="AZ77" s="141"/>
      <c r="BA77" s="84">
        <v>1300</v>
      </c>
      <c r="BB77" s="101">
        <v>2014</v>
      </c>
      <c r="BC77" s="72">
        <v>3.5750695088044487E-2</v>
      </c>
      <c r="BD77" s="72">
        <v>0.8358758109360519</v>
      </c>
      <c r="BE77" s="72">
        <v>0.11956904541241889</v>
      </c>
      <c r="BF77" s="72">
        <v>8.3410565338276187E-3</v>
      </c>
      <c r="BG77" s="72">
        <v>4.6339202965708991E-4</v>
      </c>
      <c r="BH77" s="76">
        <v>1.3</v>
      </c>
      <c r="BI77" s="76">
        <v>0.28599999999999998</v>
      </c>
      <c r="BJ77" s="72">
        <f t="shared" si="215"/>
        <v>-1.5141277326297757</v>
      </c>
      <c r="BK77">
        <v>1.3</v>
      </c>
      <c r="BL77" s="120">
        <v>1.6924607309999999</v>
      </c>
      <c r="BM77" s="125">
        <v>1.9340650450000001</v>
      </c>
      <c r="BN77" s="4">
        <v>-0.53305314000000004</v>
      </c>
      <c r="BO77" s="98">
        <f t="shared" si="221"/>
        <v>-9.3486086298328663E-2</v>
      </c>
      <c r="BP77" s="98">
        <f t="shared" si="216"/>
        <v>0.41607395743101205</v>
      </c>
      <c r="BQ77" s="99">
        <f t="shared" si="217"/>
        <v>-0.37487121592609962</v>
      </c>
      <c r="BR77" s="200">
        <v>50</v>
      </c>
      <c r="BS77" s="100">
        <v>23.22</v>
      </c>
      <c r="BT77" s="98">
        <v>0.25</v>
      </c>
      <c r="BU77" s="98">
        <f t="shared" si="222"/>
        <v>0.25</v>
      </c>
      <c r="BV77" s="124">
        <f t="shared" si="92"/>
        <v>0.25</v>
      </c>
      <c r="BW77" s="100">
        <f t="shared" si="218"/>
        <v>457.74</v>
      </c>
      <c r="BX77" s="100">
        <v>1830.96</v>
      </c>
      <c r="BY77" s="99">
        <v>0.4</v>
      </c>
      <c r="BZ77" s="89">
        <f t="shared" si="277"/>
        <v>0.17944105570326593</v>
      </c>
      <c r="CA77" s="78">
        <v>2014</v>
      </c>
      <c r="CB77" s="91">
        <f t="shared" si="275"/>
        <v>0.13799999999999998</v>
      </c>
      <c r="CC77" s="97">
        <f t="shared" si="252"/>
        <v>142.49688704852446</v>
      </c>
      <c r="CD77" s="97">
        <f t="shared" si="271"/>
        <v>3598.4888477777977</v>
      </c>
      <c r="CE77" s="97">
        <f t="shared" si="272"/>
        <v>452.63458447377042</v>
      </c>
      <c r="CF77" s="97">
        <f t="shared" si="273"/>
        <v>37.061195409779067</v>
      </c>
      <c r="CG77" s="97">
        <f t="shared" si="274"/>
        <v>2.4687757938994039</v>
      </c>
      <c r="CH77" s="92">
        <f t="shared" si="224"/>
        <v>4233.1502905037714</v>
      </c>
      <c r="CI77" s="200">
        <f t="shared" si="225"/>
        <v>50</v>
      </c>
      <c r="CJ77" s="93">
        <f t="shared" si="226"/>
        <v>23.22</v>
      </c>
      <c r="CK77" s="92">
        <f t="shared" si="227"/>
        <v>584.17474008952036</v>
      </c>
      <c r="CL77" s="92">
        <f t="shared" si="228"/>
        <v>657.39474008952038</v>
      </c>
      <c r="CM77" s="76">
        <f t="shared" si="229"/>
        <v>1.3702476026270916E-2</v>
      </c>
      <c r="CN77" s="128">
        <f t="shared" si="230"/>
        <v>0.15529681087965488</v>
      </c>
      <c r="CO77" s="111">
        <f t="shared" si="279"/>
        <v>3575.755550414251</v>
      </c>
      <c r="CP77" s="125">
        <f t="shared" si="232"/>
        <v>-9.3486086298328663E-2</v>
      </c>
      <c r="CQ77" s="96">
        <f>IF(SSLcontrol=0,$CO77/1000*EXP($CP77+$BG$10*$CO77/1000),$CO77/1000*EXP($CV77+$BG$10*$CO77/1000))</f>
        <v>1.3352297611648096</v>
      </c>
      <c r="CR77" s="92">
        <f t="shared" si="234"/>
        <v>1335.2297611648096</v>
      </c>
      <c r="CS77" s="120">
        <f t="shared" si="282"/>
        <v>-0.90461819600000004</v>
      </c>
      <c r="CT77" s="72">
        <f t="shared" si="97"/>
        <v>1.9340650450000001</v>
      </c>
      <c r="CU77" s="72">
        <f t="shared" si="236"/>
        <v>-0.53305314000000004</v>
      </c>
      <c r="CV77" s="104">
        <f t="shared" si="237"/>
        <v>1.8914033638734078</v>
      </c>
      <c r="CW77" s="105">
        <f t="shared" si="99"/>
        <v>-0.33057418006754624</v>
      </c>
      <c r="CX77" s="105">
        <f t="shared" si="100"/>
        <v>-0.9254978102141469</v>
      </c>
      <c r="CY77" s="105">
        <f t="shared" si="101"/>
        <v>1.8375409144983164</v>
      </c>
      <c r="CZ77" s="123">
        <f t="shared" si="284"/>
        <v>-0.68849257550252763</v>
      </c>
      <c r="DA77" s="81">
        <f t="shared" si="253"/>
        <v>0.87138308814315424</v>
      </c>
      <c r="DB77" s="9">
        <f t="shared" si="104"/>
        <v>2044167.5242487274</v>
      </c>
      <c r="DD77" s="1">
        <f t="shared" si="105"/>
        <v>0.94388630334301982</v>
      </c>
      <c r="DE77" s="168">
        <v>955</v>
      </c>
      <c r="DF77" s="126">
        <v>2014</v>
      </c>
      <c r="DG77" s="26">
        <v>7.6142131979695434E-3</v>
      </c>
      <c r="DH77" s="26">
        <v>0.29512169725367693</v>
      </c>
      <c r="DI77" s="26">
        <v>0.6060236886632826</v>
      </c>
      <c r="DJ77" s="26">
        <v>8.8702329819081091E-2</v>
      </c>
      <c r="DK77" s="26">
        <v>2.5380710659898475E-3</v>
      </c>
      <c r="DL77" s="106">
        <v>0.95499999999999996</v>
      </c>
      <c r="DM77" s="106">
        <v>5.8000000000000003E-2</v>
      </c>
      <c r="DN77" s="26">
        <v>-2.8012683299343109</v>
      </c>
      <c r="DO77" s="76">
        <f t="shared" si="107"/>
        <v>0.95499999999999996</v>
      </c>
      <c r="DP77" s="119">
        <v>1.8734268300000001</v>
      </c>
      <c r="DQ77" s="26">
        <v>0.98533114700000002</v>
      </c>
      <c r="DR77" s="26">
        <v>-1.8570043439999999</v>
      </c>
      <c r="DS77" s="26">
        <v>-0.19464442100000001</v>
      </c>
      <c r="DT77" s="113" cm="1">
        <f t="array" ref="DT77">$DN$11+SUMPRODUCT(DP$11:$DS$11*DP77:DS77)</f>
        <v>-0.88030356462845694</v>
      </c>
      <c r="DU77" s="76">
        <f t="shared" si="254"/>
        <v>0.14914980269892014</v>
      </c>
      <c r="DV77" s="72">
        <f t="shared" si="179"/>
        <v>-0.94450817757685668</v>
      </c>
      <c r="DW77" s="199">
        <v>25</v>
      </c>
      <c r="DX77" s="61">
        <v>0</v>
      </c>
      <c r="DY77" s="26">
        <v>0.25</v>
      </c>
      <c r="DZ77" s="98">
        <f t="shared" si="213"/>
        <v>0.24999999999999992</v>
      </c>
      <c r="EA77" s="110">
        <f t="shared" si="214"/>
        <v>0.24999999999999992</v>
      </c>
      <c r="EB77" s="100">
        <f t="shared" si="188"/>
        <v>326.66666666666652</v>
      </c>
      <c r="EC77" s="61">
        <v>1306.6666666666665</v>
      </c>
      <c r="ED77" s="99">
        <v>0.4</v>
      </c>
      <c r="EE77" s="125">
        <f t="shared" si="189"/>
        <v>1.3287896383707989E-2</v>
      </c>
      <c r="EF77" s="37">
        <v>2014</v>
      </c>
      <c r="EG77" s="110">
        <f t="shared" si="276"/>
        <v>0.13799999999999998</v>
      </c>
      <c r="EH77" s="97">
        <f t="shared" si="220"/>
        <v>16.018752409691412</v>
      </c>
      <c r="EI77" s="97">
        <f t="shared" si="238"/>
        <v>550.7847974603086</v>
      </c>
      <c r="EJ77" s="97">
        <f t="shared" si="243"/>
        <v>1443.2504058487611</v>
      </c>
      <c r="EK77" s="97">
        <f t="shared" si="246"/>
        <v>167.54735284888298</v>
      </c>
      <c r="EL77" s="97">
        <f t="shared" si="248"/>
        <v>5.0105472242168156</v>
      </c>
      <c r="EM77" s="111">
        <f>SUM(EH77:EL77)</f>
        <v>2182.6118557918608</v>
      </c>
      <c r="EN77" s="200">
        <f t="shared" si="197"/>
        <v>25</v>
      </c>
      <c r="EO77" s="92">
        <f t="shared" si="198"/>
        <v>0</v>
      </c>
      <c r="EP77" s="92">
        <f t="shared" si="278"/>
        <v>301.20043609927677</v>
      </c>
      <c r="EQ77" s="92">
        <f t="shared" si="239"/>
        <v>326.20043609927677</v>
      </c>
      <c r="ER77" s="128">
        <f t="shared" si="201"/>
        <v>0.14945416668275627</v>
      </c>
      <c r="ES77" s="111">
        <f t="shared" si="240"/>
        <v>1856.4114196925839</v>
      </c>
      <c r="ET77" s="72">
        <f t="shared" si="203"/>
        <v>-0.88030356462845694</v>
      </c>
      <c r="EU77" s="96">
        <f t="shared" si="280"/>
        <v>1.0208508121824436</v>
      </c>
      <c r="EV77" s="92">
        <f t="shared" si="205"/>
        <v>1020.8508121824435</v>
      </c>
      <c r="EW77" s="120">
        <f t="shared" si="283"/>
        <v>-0.87704872899999997</v>
      </c>
      <c r="EX77" s="9">
        <f t="shared" si="184"/>
        <v>0.98533114700000002</v>
      </c>
      <c r="EY77" s="9">
        <f t="shared" si="185"/>
        <v>-1.8570043439999999</v>
      </c>
      <c r="EZ77" s="9">
        <f t="shared" si="186"/>
        <v>-0.19464442100000001</v>
      </c>
      <c r="FA77" s="113" cm="1">
        <f t="array" ref="FA77">$DN$11+SUMPRODUCT($DP$11:$DS$11*EW77:EZ77)</f>
        <v>1.3001117159977058</v>
      </c>
      <c r="FB77">
        <v>2014</v>
      </c>
      <c r="FC77" s="116">
        <f t="shared" si="121"/>
        <v>2872186.329758219</v>
      </c>
      <c r="FD77" s="116">
        <f t="shared" si="255"/>
        <v>1913093.4424625693</v>
      </c>
      <c r="FE77" s="116">
        <f t="shared" si="159"/>
        <v>3590232.9121977738</v>
      </c>
      <c r="FF77" s="116">
        <f t="shared" si="256"/>
        <v>1655878.9846716761</v>
      </c>
      <c r="FG77" s="5">
        <f t="shared" si="257"/>
        <v>257214.45779089327</v>
      </c>
      <c r="FH77" s="5">
        <f t="shared" si="155"/>
        <v>416388.85479205521</v>
      </c>
      <c r="FI77" s="155">
        <f t="shared" si="258"/>
        <v>0.13444950052194107</v>
      </c>
      <c r="FJ77" s="117">
        <f t="shared" si="127"/>
        <v>13.444950052194107</v>
      </c>
      <c r="FK77" s="61">
        <f t="shared" si="259"/>
        <v>7775.0525071201791</v>
      </c>
      <c r="FL77" s="61">
        <f t="shared" si="142"/>
        <v>246.05537270785129</v>
      </c>
      <c r="FM77" s="92">
        <f t="shared" si="128"/>
        <v>33.082021961310659</v>
      </c>
      <c r="FN77" s="72">
        <f t="shared" si="129"/>
        <v>0.13444950052194107</v>
      </c>
      <c r="FO77" s="179">
        <f t="shared" si="260"/>
        <v>1.1027340653770219</v>
      </c>
      <c r="FP77" s="92">
        <f t="shared" si="160"/>
        <v>51.374573606465788</v>
      </c>
      <c r="FQ77" s="1">
        <f t="shared" si="143"/>
        <v>0</v>
      </c>
      <c r="FR77" s="26">
        <f t="shared" si="130"/>
        <v>1.2341408827186904</v>
      </c>
      <c r="FS77">
        <f t="shared" si="261"/>
        <v>2014</v>
      </c>
      <c r="FT77" s="5">
        <f t="shared" si="241"/>
        <v>3575.755550414251</v>
      </c>
      <c r="FU77" s="214">
        <f t="shared" si="262"/>
        <v>2267.7949065822427</v>
      </c>
      <c r="FV77" s="213">
        <f t="shared" si="131"/>
        <v>1306.9240186960135</v>
      </c>
      <c r="FW77" s="5">
        <f t="shared" si="132"/>
        <v>960.87088788622918</v>
      </c>
      <c r="FX77" s="1">
        <f t="shared" si="133"/>
        <v>0.42370272774549189</v>
      </c>
      <c r="FY77">
        <f t="shared" si="263"/>
        <v>48190.072677167584</v>
      </c>
      <c r="FZ77" s="26">
        <f t="shared" si="134"/>
        <v>1.9939187357596349E-2</v>
      </c>
      <c r="GA77" s="106">
        <f t="shared" si="264"/>
        <v>6.6463957858654496E-4</v>
      </c>
      <c r="GB77" s="61">
        <f t="shared" si="135"/>
        <v>1856.4114196925839</v>
      </c>
      <c r="GC77" s="61">
        <f t="shared" si="207"/>
        <v>1695.7318013082627</v>
      </c>
      <c r="GD77" s="61">
        <f t="shared" si="247"/>
        <v>3955.9152061308278</v>
      </c>
      <c r="GE77" s="61">
        <f t="shared" si="210"/>
        <v>1020.8508121824435</v>
      </c>
      <c r="GF77" s="61">
        <f t="shared" si="137"/>
        <v>674.88098912581916</v>
      </c>
      <c r="GG77" s="61">
        <f t="shared" si="245"/>
        <v>1574.40696998883</v>
      </c>
      <c r="GH77" s="6">
        <f t="shared" si="138"/>
        <v>0.39798804775917174</v>
      </c>
      <c r="GI77">
        <f t="shared" si="265"/>
        <v>9248.6922093424037</v>
      </c>
      <c r="GJ77" s="26">
        <f t="shared" si="208"/>
        <v>7.2970423693427711E-2</v>
      </c>
      <c r="GK77">
        <f t="shared" si="266"/>
        <v>2.4323474564475903E-3</v>
      </c>
      <c r="GL77" s="232">
        <f t="shared" si="140"/>
        <v>1.2341408827186904</v>
      </c>
      <c r="GY77">
        <v>2014</v>
      </c>
      <c r="GZ77" s="112">
        <f t="shared" si="267"/>
        <v>0.13087593777832862</v>
      </c>
      <c r="HA77" s="112">
        <f t="shared" si="268"/>
        <v>-0.88030356462845694</v>
      </c>
      <c r="HB77" s="112">
        <f t="shared" si="269"/>
        <v>1.8914033638734078</v>
      </c>
    </row>
    <row r="78" spans="1:210" x14ac:dyDescent="0.35">
      <c r="A78">
        <v>2015</v>
      </c>
      <c r="D78" s="80">
        <f>'SR + catch data Murdoch_age var'!C67</f>
        <v>950865</v>
      </c>
      <c r="E78" s="80">
        <f>'SR + catch data Murdoch_age var'!E67</f>
        <v>390127.06417119328</v>
      </c>
      <c r="F78" s="231">
        <f t="shared" si="63"/>
        <v>-0.8908996050049991</v>
      </c>
      <c r="G78" s="80">
        <f>'SR + catch data Murdoch_age var'!D67</f>
        <v>1452703.6357440299</v>
      </c>
      <c r="H78" s="80">
        <f>'Orig data'!Q69</f>
        <v>1452703.6357440299</v>
      </c>
      <c r="I78" s="80">
        <f t="shared" si="64"/>
        <v>501838.63574402989</v>
      </c>
      <c r="J78" s="149">
        <f t="shared" si="65"/>
        <v>0.34545149017060434</v>
      </c>
      <c r="K78" s="83">
        <f>'SR + catch data Murdoch_age var'!CM67</f>
        <v>0.25837916488662593</v>
      </c>
      <c r="L78" s="83">
        <f>'SR + catch data Murdoch_age var'!CN67</f>
        <v>0.62426580307576829</v>
      </c>
      <c r="M78" s="84">
        <f>'SR + catch data Murdoch_age var'!CO67</f>
        <v>768886.35584255366</v>
      </c>
      <c r="N78" s="81">
        <f t="shared" si="66"/>
        <v>-0.67847068521789899</v>
      </c>
      <c r="O78" s="88">
        <f t="shared" si="67"/>
        <v>2015</v>
      </c>
      <c r="P78" s="81">
        <f>'Orig data'!CN69</f>
        <v>0.17341591233920914</v>
      </c>
      <c r="Q78" s="81">
        <f>'Orig data'!CO69</f>
        <v>0.60552644116245835</v>
      </c>
      <c r="R78" s="81">
        <f>'Orig data'!CP69</f>
        <v>0.2191519771319676</v>
      </c>
      <c r="S78" s="85">
        <f>'Orig data'!CQ69</f>
        <v>1.9056693663649356E-3</v>
      </c>
      <c r="T78" s="80">
        <f t="shared" si="144"/>
        <v>251921.92635103708</v>
      </c>
      <c r="U78" s="80">
        <f t="shared" si="145"/>
        <v>879650.46261584666</v>
      </c>
      <c r="V78" s="80">
        <f t="shared" si="146"/>
        <v>318362.8739601018</v>
      </c>
      <c r="W78" s="80">
        <f t="shared" si="147"/>
        <v>2768.3728170443637</v>
      </c>
      <c r="X78" s="79">
        <f t="shared" si="73"/>
        <v>2015</v>
      </c>
      <c r="Y78" s="79">
        <f t="shared" si="149"/>
        <v>525030.33804640872</v>
      </c>
      <c r="Z78" s="79">
        <f t="shared" si="152"/>
        <v>688579.03510108881</v>
      </c>
      <c r="AA78" s="79">
        <f t="shared" si="156"/>
        <v>349982.50602508418</v>
      </c>
      <c r="AB78" s="79">
        <f t="shared" si="161"/>
        <v>3059.2988578933277</v>
      </c>
      <c r="AC78" s="80">
        <f t="shared" si="78"/>
        <v>1566651.178030475</v>
      </c>
      <c r="AD78" s="84">
        <f t="shared" si="79"/>
        <v>-113947.54228644515</v>
      </c>
      <c r="AE78" s="80">
        <f t="shared" si="80"/>
        <v>501838.63574402989</v>
      </c>
      <c r="AF78" s="72">
        <f t="shared" si="81"/>
        <v>0.32032570030995627</v>
      </c>
      <c r="AG78" s="26">
        <f t="shared" si="82"/>
        <v>-2.5125789860648062E-2</v>
      </c>
      <c r="AH78" s="126">
        <f t="shared" ref="AH78:AH88" si="285">X78</f>
        <v>2015</v>
      </c>
      <c r="AI78" s="74" cm="1">
        <f t="array" ref="AI78">IF(Uhistoric=1,J78,Uapply)</f>
        <v>0.2</v>
      </c>
      <c r="AJ78" s="75">
        <f t="shared" si="150"/>
        <v>1060518.7912748128</v>
      </c>
      <c r="AK78" s="75">
        <f t="shared" si="153"/>
        <v>1435419.5272181993</v>
      </c>
      <c r="AL78" s="75">
        <f t="shared" si="157"/>
        <v>766672.59954891016</v>
      </c>
      <c r="AM78" s="75">
        <f t="shared" si="162"/>
        <v>8492.9344488600491</v>
      </c>
      <c r="AN78" s="79">
        <f t="shared" si="84"/>
        <v>3271103.8524907827</v>
      </c>
      <c r="AO78" s="80">
        <f t="shared" si="85"/>
        <v>654220.77049815655</v>
      </c>
      <c r="AP78" s="80">
        <f t="shared" si="86"/>
        <v>2616883.0819926262</v>
      </c>
      <c r="AQ78" s="81">
        <v>-0.90509417160994998</v>
      </c>
      <c r="AR78" s="81">
        <v>0.13702758840549265</v>
      </c>
      <c r="AS78" s="81">
        <f>'SR + catch data Murdoch_age var'!N67</f>
        <v>1.1081166127579165</v>
      </c>
      <c r="AT78" s="121">
        <f>'SR + catch data Murdoch_age var'!BR67</f>
        <v>2.6378516138507848</v>
      </c>
      <c r="AU78" s="122">
        <f t="shared" ref="AU78:AU79" si="286">$AP$11+SUMPRODUCT($AR$11:$AU$11,AQ78:AT78)</f>
        <v>0.25837916488662593</v>
      </c>
      <c r="AV78" s="122">
        <f t="shared" si="88"/>
        <v>-0.21242891978710005</v>
      </c>
      <c r="AW78" s="115">
        <f t="shared" ref="AW78:AW103" si="287">IF(SSLcontrol=0,AP78*EXP(AU78+$AQ$11*AP78)*EXP(N78),AP78*EXP(DA78+$AQ$11*AP78)*EXP(N78))</f>
        <v>992129.23957276728</v>
      </c>
      <c r="AX78" s="115"/>
      <c r="AY78" s="141">
        <f t="shared" si="89"/>
        <v>2.9005692530719696</v>
      </c>
      <c r="AZ78" s="141"/>
      <c r="BA78" s="84">
        <v>850</v>
      </c>
      <c r="BB78" s="101">
        <v>2015</v>
      </c>
      <c r="BC78" s="72">
        <v>3.5750695088044487E-2</v>
      </c>
      <c r="BD78" s="72">
        <v>0.8358758109360519</v>
      </c>
      <c r="BE78" s="72">
        <v>0.11956904541241889</v>
      </c>
      <c r="BF78" s="72">
        <v>8.3410565338276187E-3</v>
      </c>
      <c r="BG78" s="72">
        <v>4.6339202965708991E-4</v>
      </c>
      <c r="BH78" s="76">
        <v>0.85</v>
      </c>
      <c r="BI78" s="76">
        <v>0.27800000000000002</v>
      </c>
      <c r="BJ78" s="72">
        <f t="shared" si="215"/>
        <v>-1.117615235793725</v>
      </c>
      <c r="BK78">
        <v>0.85</v>
      </c>
      <c r="BL78" s="120">
        <v>1.8734268300000001</v>
      </c>
      <c r="BM78" s="125">
        <v>0.22747257000000001</v>
      </c>
      <c r="BN78" s="4">
        <v>-1.8570043439999999</v>
      </c>
      <c r="BO78" s="98">
        <f t="shared" si="221"/>
        <v>0.16865287771330628</v>
      </c>
      <c r="BP78" s="98">
        <f t="shared" si="216"/>
        <v>0.50781451526447519</v>
      </c>
      <c r="BQ78" s="99">
        <f t="shared" si="217"/>
        <v>-0.60249513978045799</v>
      </c>
      <c r="BR78" s="200">
        <v>50</v>
      </c>
      <c r="BS78" s="100">
        <v>13.559999999999999</v>
      </c>
      <c r="BT78" s="98">
        <v>0.24</v>
      </c>
      <c r="BU78" s="98">
        <f t="shared" si="222"/>
        <v>0.24</v>
      </c>
      <c r="BV78" s="124">
        <f t="shared" si="92"/>
        <v>0.24</v>
      </c>
      <c r="BW78" s="100">
        <f t="shared" si="218"/>
        <v>288.49263157894734</v>
      </c>
      <c r="BX78" s="100">
        <v>1202.0526315789473</v>
      </c>
      <c r="BY78" s="99">
        <v>0.42</v>
      </c>
      <c r="BZ78" s="89">
        <f t="shared" si="277"/>
        <v>0.1821721662511058</v>
      </c>
      <c r="CA78" s="78">
        <v>2015</v>
      </c>
      <c r="CB78" s="91">
        <f t="shared" si="275"/>
        <v>0.13799999999999998</v>
      </c>
      <c r="CC78" s="97">
        <f t="shared" si="252"/>
        <v>39.943971927496783</v>
      </c>
      <c r="CD78" s="97">
        <f t="shared" si="271"/>
        <v>3331.6751107695313</v>
      </c>
      <c r="CE78" s="97">
        <f t="shared" si="272"/>
        <v>514.75096040187213</v>
      </c>
      <c r="CF78" s="97">
        <f t="shared" si="273"/>
        <v>31.575485488229543</v>
      </c>
      <c r="CG78" s="97">
        <f t="shared" si="274"/>
        <v>2.0589553005432815</v>
      </c>
      <c r="CH78" s="92">
        <f t="shared" si="224"/>
        <v>3920.0044838876729</v>
      </c>
      <c r="CI78" s="200">
        <f t="shared" si="225"/>
        <v>50</v>
      </c>
      <c r="CJ78" s="93">
        <f t="shared" si="226"/>
        <v>13.559999999999999</v>
      </c>
      <c r="CK78" s="92">
        <f t="shared" si="227"/>
        <v>540.96061877649879</v>
      </c>
      <c r="CL78" s="92">
        <f t="shared" si="228"/>
        <v>604.52061877649885</v>
      </c>
      <c r="CM78" s="76">
        <f t="shared" si="229"/>
        <v>1.4797085209888197E-2</v>
      </c>
      <c r="CN78" s="128">
        <f t="shared" si="230"/>
        <v>0.15421426716761411</v>
      </c>
      <c r="CO78" s="111">
        <f t="shared" si="279"/>
        <v>3315.4838651111741</v>
      </c>
      <c r="CP78" s="125">
        <f t="shared" si="232"/>
        <v>0.16865287771330628</v>
      </c>
      <c r="CQ78" s="96">
        <f t="shared" si="281"/>
        <v>2.2781197133949562</v>
      </c>
      <c r="CR78" s="92">
        <f t="shared" si="234"/>
        <v>2278.1197133949563</v>
      </c>
      <c r="CS78" s="120">
        <f t="shared" si="282"/>
        <v>-0.90461819600000004</v>
      </c>
      <c r="CT78" s="72">
        <f t="shared" si="97"/>
        <v>0.22747257000000001</v>
      </c>
      <c r="CU78" s="72">
        <f t="shared" si="236"/>
        <v>-1.8570043439999999</v>
      </c>
      <c r="CV78" s="104">
        <f t="shared" si="237"/>
        <v>2.2918506777043377</v>
      </c>
      <c r="CW78" s="105">
        <f t="shared" si="99"/>
        <v>-0.90509417160994998</v>
      </c>
      <c r="CX78" s="105">
        <f t="shared" si="100"/>
        <v>0.13702758840549265</v>
      </c>
      <c r="CY78" s="105">
        <f t="shared" si="101"/>
        <v>1.1081166127579165</v>
      </c>
      <c r="CZ78" s="123">
        <f t="shared" si="284"/>
        <v>-0.68849257550252763</v>
      </c>
      <c r="DA78" s="81">
        <f t="shared" ref="DA78:DA79" si="288">$AP$11+SUMPRODUCT($AR$11:$AU$11,CW78:CZ78)</f>
        <v>1.0042994916880672</v>
      </c>
      <c r="DB78" s="9">
        <f t="shared" si="104"/>
        <v>992129.23957276728</v>
      </c>
      <c r="DD78" s="1">
        <f t="shared" si="105"/>
        <v>3.0227532743571501</v>
      </c>
      <c r="DE78" s="168">
        <v>418</v>
      </c>
      <c r="DF78" s="126">
        <v>2015</v>
      </c>
      <c r="DG78" s="26">
        <v>7.6142131979695434E-3</v>
      </c>
      <c r="DH78" s="26">
        <v>0.29512169725367693</v>
      </c>
      <c r="DI78" s="26">
        <v>0.6060236886632826</v>
      </c>
      <c r="DJ78" s="26">
        <v>8.8702329819081091E-2</v>
      </c>
      <c r="DK78" s="26">
        <v>2.5380710659898475E-3</v>
      </c>
      <c r="DL78" s="106">
        <v>0.41799999999999998</v>
      </c>
      <c r="DM78" s="106">
        <v>2.7E-2</v>
      </c>
      <c r="DN78" s="26">
        <v>-2.7396445665204272</v>
      </c>
      <c r="DO78" s="76">
        <f t="shared" si="107"/>
        <v>0.41799999999999998</v>
      </c>
      <c r="DP78" s="119">
        <v>2.067883642</v>
      </c>
      <c r="DQ78" s="26">
        <v>2.2785281519999998</v>
      </c>
      <c r="DR78" s="26">
        <v>-1.7982223580000001</v>
      </c>
      <c r="DS78" s="26">
        <v>-0.73727527800000003</v>
      </c>
      <c r="DT78" s="113" cm="1">
        <f t="array" ref="DT78">$DN$11+SUMPRODUCT(DP$11:$DS$11*DP78:DS78)</f>
        <v>-1.3009509518543585</v>
      </c>
      <c r="DU78" s="76">
        <f t="shared" ref="DU78:DU80" si="289">DO78*EXP(DT78+$DO$11*DO78)</f>
        <v>7.4227819876774667E-2</v>
      </c>
      <c r="DV78" s="72">
        <f t="shared" si="179"/>
        <v>-1.0113021448537955</v>
      </c>
      <c r="DW78" s="199">
        <v>25</v>
      </c>
      <c r="DX78" s="61">
        <v>0</v>
      </c>
      <c r="DY78" s="26">
        <v>0.24</v>
      </c>
      <c r="DZ78" s="98">
        <f t="shared" si="213"/>
        <v>0.24000000000000007</v>
      </c>
      <c r="EA78" s="110">
        <f t="shared" si="214"/>
        <v>0.24000000000000007</v>
      </c>
      <c r="EB78" s="100">
        <f t="shared" si="188"/>
        <v>139.89473684210532</v>
      </c>
      <c r="EC78" s="61">
        <v>582.89473684210532</v>
      </c>
      <c r="ED78" s="99">
        <v>0.42</v>
      </c>
      <c r="EE78" s="125">
        <f t="shared" si="189"/>
        <v>1.4649774846918394E-2</v>
      </c>
      <c r="EF78" s="37">
        <v>2015</v>
      </c>
      <c r="EG78" s="110">
        <f t="shared" si="276"/>
        <v>0.13799999999999998</v>
      </c>
      <c r="EH78" s="97">
        <f t="shared" si="220"/>
        <v>11.775359848620106</v>
      </c>
      <c r="EI78" s="97">
        <f t="shared" si="238"/>
        <v>620.87589040653836</v>
      </c>
      <c r="EJ78" s="97">
        <f t="shared" si="243"/>
        <v>1131.0203137305809</v>
      </c>
      <c r="EK78" s="97">
        <f t="shared" si="246"/>
        <v>211.24532902912549</v>
      </c>
      <c r="EL78" s="97">
        <f t="shared" si="248"/>
        <v>4.7940915341940098</v>
      </c>
      <c r="EM78" s="111">
        <f t="shared" si="196"/>
        <v>1979.7109845490588</v>
      </c>
      <c r="EN78" s="200">
        <f t="shared" si="197"/>
        <v>25</v>
      </c>
      <c r="EO78" s="92">
        <f t="shared" si="198"/>
        <v>0</v>
      </c>
      <c r="EP78" s="92">
        <f t="shared" si="278"/>
        <v>273.20011586777008</v>
      </c>
      <c r="EQ78" s="92">
        <f t="shared" si="239"/>
        <v>298.20011586777008</v>
      </c>
      <c r="ER78" s="128">
        <f t="shared" si="201"/>
        <v>0.15062810591804363</v>
      </c>
      <c r="ES78" s="111">
        <f t="shared" si="240"/>
        <v>1681.5108686812887</v>
      </c>
      <c r="ET78" s="72">
        <f t="shared" si="203"/>
        <v>-1.3009509518543585</v>
      </c>
      <c r="EU78" s="96">
        <f t="shared" si="280"/>
        <v>0.84706362886332132</v>
      </c>
      <c r="EV78" s="92">
        <f t="shared" si="205"/>
        <v>847.06362886332136</v>
      </c>
      <c r="EW78" s="120">
        <f t="shared" si="283"/>
        <v>-0.87704872899999997</v>
      </c>
      <c r="EX78" s="9">
        <f t="shared" si="184"/>
        <v>2.2785281519999998</v>
      </c>
      <c r="EY78" s="9">
        <f t="shared" si="185"/>
        <v>-1.7982223580000001</v>
      </c>
      <c r="EZ78" s="9">
        <f t="shared" si="186"/>
        <v>-0.73727527800000003</v>
      </c>
      <c r="FA78" s="113" cm="1">
        <f t="array" ref="FA78">$DN$11+SUMPRODUCT($DP$11:$DS$11*EW78:EZ78)</f>
        <v>1.0336182542336263</v>
      </c>
      <c r="FB78">
        <v>2015</v>
      </c>
      <c r="FC78" s="116">
        <f t="shared" si="121"/>
        <v>2616883.0819926262</v>
      </c>
      <c r="FD78" s="116">
        <f t="shared" ref="FD78:FD103" si="290">$FC78*EXP($AP$11+$AQ$11*$FC78+$AR$11*$AQ78+$AS$11*$AR78+$AT$11*$AS78+$AU$11*SSLz)</f>
        <v>2259081.5700578</v>
      </c>
      <c r="FE78" s="116">
        <f t="shared" si="159"/>
        <v>3988424.7377871284</v>
      </c>
      <c r="FF78" s="116">
        <f t="shared" ref="FF78:FF103" si="291">$FC78*EXP($AP$11+$AQ$11*$FC78+$AR$11*$AQ78+$AS$11*$AR78+$AT$11*$AS78+$AU$11*$CZ78)</f>
        <v>1955349.1813252061</v>
      </c>
      <c r="FG78" s="5">
        <f t="shared" ref="FG78:FG103" si="292">FD78-FF78</f>
        <v>303732.38873259397</v>
      </c>
      <c r="FH78" s="5">
        <f t="shared" si="155"/>
        <v>536241.71386483405</v>
      </c>
      <c r="FI78" s="155">
        <f t="shared" ref="FI78:FI103" si="293">FG78/FD78</f>
        <v>0.13444950052194121</v>
      </c>
      <c r="FJ78" s="117">
        <f t="shared" si="127"/>
        <v>13.444950052194121</v>
      </c>
      <c r="FK78" s="61">
        <f t="shared" ref="FK78:FK103" si="294">CZ78*SSLsd+SSLavg</f>
        <v>7775.0525071201791</v>
      </c>
      <c r="FL78" s="61">
        <f t="shared" si="142"/>
        <v>290.55515290591222</v>
      </c>
      <c r="FM78" s="92">
        <f t="shared" si="128"/>
        <v>39.064995182276157</v>
      </c>
      <c r="FN78" s="72">
        <f t="shared" si="129"/>
        <v>0.13444950052194121</v>
      </c>
      <c r="FO78" s="179">
        <f t="shared" ref="FO78:FO79" si="295">FM78/rundays</f>
        <v>1.3021665060758718</v>
      </c>
      <c r="FP78" s="92">
        <f t="shared" si="160"/>
        <v>49.956570392731948</v>
      </c>
      <c r="FQ78" s="1">
        <f t="shared" si="143"/>
        <v>0</v>
      </c>
      <c r="FR78" s="26">
        <f t="shared" si="130"/>
        <v>1.2341408827186904</v>
      </c>
      <c r="FS78">
        <f t="shared" ref="FS78:FS113" si="296">FB78</f>
        <v>2015</v>
      </c>
      <c r="FT78" s="5">
        <f t="shared" si="241"/>
        <v>3315.4838651111741</v>
      </c>
      <c r="FU78" s="214">
        <f t="shared" ref="FU78:FU103" si="297">$FT78*EXP($BF$10+$BG$10*$FT78/1000+$BI$10*$CT78+$BH$10*$FD$10)</f>
        <v>3668.6958723129014</v>
      </c>
      <c r="FV78" s="213">
        <f t="shared" si="131"/>
        <v>2114.2594239452983</v>
      </c>
      <c r="FW78" s="5">
        <f t="shared" si="132"/>
        <v>1554.4364483676031</v>
      </c>
      <c r="FX78" s="1">
        <f t="shared" si="133"/>
        <v>0.42370272774549189</v>
      </c>
      <c r="FY78">
        <f t="shared" ref="FY78:FY103" si="298">BL78*SSLsdTH+sslavgTH</f>
        <v>50818.240644433878</v>
      </c>
      <c r="FZ78" s="26">
        <f t="shared" si="134"/>
        <v>3.058815946116113E-2</v>
      </c>
      <c r="GA78" s="106">
        <f t="shared" ref="GA78:GA103" si="299">FZ78/rundays</f>
        <v>1.0196053153720378E-3</v>
      </c>
      <c r="GB78" s="61">
        <f t="shared" si="135"/>
        <v>1681.5108686812887</v>
      </c>
      <c r="GC78" s="61">
        <f t="shared" si="207"/>
        <v>1407.0545040017123</v>
      </c>
      <c r="GD78" s="61">
        <f t="shared" si="247"/>
        <v>3100.0999129450579</v>
      </c>
      <c r="GE78" s="61">
        <f t="shared" si="210"/>
        <v>847.06362886332124</v>
      </c>
      <c r="GF78" s="61">
        <f t="shared" si="137"/>
        <v>559.99087513839106</v>
      </c>
      <c r="GG78" s="61">
        <f t="shared" si="245"/>
        <v>1233.802712211382</v>
      </c>
      <c r="GH78" s="6">
        <f t="shared" si="138"/>
        <v>0.39798804775917168</v>
      </c>
      <c r="GI78">
        <f t="shared" ref="GI78:GI103" si="300">EW78*SSLsdCH+SSLavgCH</f>
        <v>9248.6922093424037</v>
      </c>
      <c r="GJ78" s="26">
        <f t="shared" si="208"/>
        <v>6.0548114529395423E-2</v>
      </c>
      <c r="GK78">
        <f t="shared" ref="GK78:GK103" si="301">GJ78/rundays</f>
        <v>2.0182704843131807E-3</v>
      </c>
      <c r="GL78" s="232">
        <f t="shared" si="140"/>
        <v>1.2341408827186904</v>
      </c>
      <c r="GY78">
        <v>2015</v>
      </c>
      <c r="GZ78" s="112">
        <f t="shared" si="267"/>
        <v>0.25837916488662593</v>
      </c>
      <c r="HA78" s="112">
        <f t="shared" si="268"/>
        <v>-1.3009509518543585</v>
      </c>
      <c r="HB78" s="112">
        <f t="shared" si="269"/>
        <v>2.2918506777043377</v>
      </c>
    </row>
    <row r="79" spans="1:210" x14ac:dyDescent="0.35">
      <c r="A79">
        <v>2016</v>
      </c>
      <c r="D79" s="80">
        <f>'SR + catch data Murdoch_age var'!C68</f>
        <v>1975386</v>
      </c>
      <c r="E79" s="80">
        <f>'SR + catch data Murdoch_age var'!E68</f>
        <v>720301.20758067002</v>
      </c>
      <c r="F79" s="231">
        <f t="shared" ref="F79" si="302">LN(E79/D79)</f>
        <v>-1.008849632885948</v>
      </c>
      <c r="G79" s="80">
        <f>'SR + catch data Murdoch_age var'!D68</f>
        <v>2944872.5193175911</v>
      </c>
      <c r="H79" s="80">
        <f>'Orig data'!Q70</f>
        <v>2944872.5193175911</v>
      </c>
      <c r="I79" s="80">
        <f t="shared" ref="I79" si="303">G79-D79</f>
        <v>969486.5193175911</v>
      </c>
      <c r="J79" s="149">
        <f t="shared" ref="J79:J86" si="304">I79/G79</f>
        <v>0.32921171050971271</v>
      </c>
      <c r="K79" s="83">
        <f>'SR + catch data Murdoch_age var'!CM68</f>
        <v>0.17371489483451719</v>
      </c>
      <c r="L79" s="83">
        <f>'SR + catch data Murdoch_age var'!CN68</f>
        <v>0.62426580307576829</v>
      </c>
      <c r="M79" s="84">
        <f>'SR + catch data Murdoch_age var'!CO68</f>
        <v>883726.86945157847</v>
      </c>
      <c r="N79" s="81">
        <f t="shared" ref="N79" si="305">LN(E79/M79)</f>
        <v>-0.20447857529683722</v>
      </c>
      <c r="O79" s="88">
        <f>A79</f>
        <v>2016</v>
      </c>
      <c r="P79" s="81">
        <f>'Orig data'!CN70</f>
        <v>5.1387461459403906E-2</v>
      </c>
      <c r="Q79" s="81">
        <f>'Orig data'!CO70</f>
        <v>0.88180883864337101</v>
      </c>
      <c r="R79" s="81">
        <f>'Orig data'!CP70</f>
        <v>6.4748201438848921E-2</v>
      </c>
      <c r="S79" s="85">
        <f>'Orig data'!CQ70</f>
        <v>2.0554984583761563E-3</v>
      </c>
      <c r="T79" s="80">
        <f>$G79*P79</f>
        <v>151329.52308929039</v>
      </c>
      <c r="U79" s="80">
        <f t="shared" si="145"/>
        <v>2596814.6162122232</v>
      </c>
      <c r="V79" s="80">
        <f t="shared" si="146"/>
        <v>190675.19909250591</v>
      </c>
      <c r="W79" s="80">
        <f t="shared" si="147"/>
        <v>6053.1809235716164</v>
      </c>
      <c r="X79" s="79">
        <f t="shared" ref="X79:X88" si="306">A79</f>
        <v>2016</v>
      </c>
      <c r="Y79" s="79">
        <f t="shared" si="149"/>
        <v>41374.868051770085</v>
      </c>
      <c r="Z79" s="79">
        <f t="shared" si="152"/>
        <v>2669745.7367097777</v>
      </c>
      <c r="AA79" s="79">
        <f t="shared" si="156"/>
        <v>73628.913686581509</v>
      </c>
      <c r="AB79" s="79">
        <f t="shared" si="161"/>
        <v>3282.6010105306391</v>
      </c>
      <c r="AC79" s="80">
        <f t="shared" ref="AC79:AC82" si="307">SUM(Y79:AB79)</f>
        <v>2788032.11945866</v>
      </c>
      <c r="AD79" s="84">
        <f>G79-AC79</f>
        <v>156840.39985893108</v>
      </c>
      <c r="AE79" s="80">
        <f t="shared" ref="AE79:AE90" si="308">I79</f>
        <v>969486.5193175911</v>
      </c>
      <c r="AF79" s="72">
        <f t="shared" ref="AF79" si="309">AE79/AC79</f>
        <v>0.34773147430806217</v>
      </c>
      <c r="AG79" s="26">
        <f t="shared" ref="AG79" si="310">AF79-J79</f>
        <v>1.8519763798349465E-2</v>
      </c>
      <c r="AH79" s="126">
        <f t="shared" si="285"/>
        <v>2016</v>
      </c>
      <c r="AI79" s="74" cm="1">
        <f t="array" ref="AI79">IF(Uhistoric=1,J79,Uapply)</f>
        <v>0.2</v>
      </c>
      <c r="AJ79" s="75">
        <f t="shared" si="150"/>
        <v>83488.521016391314</v>
      </c>
      <c r="AK79" s="75">
        <f t="shared" si="153"/>
        <v>5392670.3211886985</v>
      </c>
      <c r="AL79" s="75">
        <f t="shared" si="157"/>
        <v>153487.65368388908</v>
      </c>
      <c r="AM79" s="75">
        <f t="shared" si="162"/>
        <v>7190.8744200060883</v>
      </c>
      <c r="AN79" s="79">
        <f t="shared" ref="AN79" si="311">SUM(AJ79:AM79)</f>
        <v>5636837.3703089841</v>
      </c>
      <c r="AO79" s="80">
        <f t="shared" ref="AO79" si="312">AN79*AI79</f>
        <v>1127367.4740617969</v>
      </c>
      <c r="AP79" s="80">
        <f t="shared" ref="AP79" si="313">AN79-AO79</f>
        <v>4509469.8962471876</v>
      </c>
      <c r="AQ79" s="81">
        <v>-1.3051184806509919</v>
      </c>
      <c r="AR79" s="81">
        <v>-0.85136813124068367</v>
      </c>
      <c r="AS79" s="81">
        <f>'SR + catch data Murdoch_age var'!N68</f>
        <v>0.59897429387928969</v>
      </c>
      <c r="AT79" s="121">
        <f>'SR + catch data Murdoch_age var'!BR68</f>
        <v>2.6378516138507848</v>
      </c>
      <c r="AU79" s="122">
        <f t="shared" si="286"/>
        <v>0.17371489483451708</v>
      </c>
      <c r="AV79" s="122">
        <f t="shared" ref="AV79" si="314">$AP$11+SUMPRODUCT($AR$11:$AU$11,$AQ79:$AT79)+$AQ$11*$D79</f>
        <v>-0.80437105758911076</v>
      </c>
      <c r="AW79" s="115">
        <f t="shared" si="287"/>
        <v>988598.05953460862</v>
      </c>
      <c r="AX79" s="115"/>
      <c r="AY79" s="141">
        <f t="shared" ref="AY79:AY103" si="315">(CO79-BA79)/BA79</f>
        <v>2.4501708165864264</v>
      </c>
      <c r="AZ79" s="122">
        <f>AVERAGE(AU75:AU79)</f>
        <v>0.36703030379603002</v>
      </c>
      <c r="BA79" s="84">
        <v>360</v>
      </c>
      <c r="BB79" s="101">
        <v>2016</v>
      </c>
      <c r="BC79" s="72">
        <v>3.5750695088044487E-2</v>
      </c>
      <c r="BD79" s="72">
        <v>0.8358758109360519</v>
      </c>
      <c r="BE79" s="72">
        <v>0.11956904541241889</v>
      </c>
      <c r="BF79" s="72">
        <v>8.3410565338276187E-3</v>
      </c>
      <c r="BG79" s="72">
        <v>4.6339202965708991E-4</v>
      </c>
      <c r="BH79" s="76">
        <v>0.36</v>
      </c>
      <c r="BI79" s="76">
        <v>0.20799999999999999</v>
      </c>
      <c r="BJ79" s="72">
        <f t="shared" si="215"/>
        <v>-0.54856595174883782</v>
      </c>
      <c r="BK79">
        <v>0.36</v>
      </c>
      <c r="BL79" s="120">
        <v>2.067883642</v>
      </c>
      <c r="BM79" s="125">
        <v>0.98533114700000002</v>
      </c>
      <c r="BN79" s="4">
        <v>-1.7982223580000001</v>
      </c>
      <c r="BO79" s="98">
        <f t="shared" si="221"/>
        <v>-0.13652522477752793</v>
      </c>
      <c r="BP79" s="98">
        <f t="shared" si="216"/>
        <v>0.2350929202543218</v>
      </c>
      <c r="BQ79" s="99">
        <f t="shared" si="217"/>
        <v>-0.12244276162829064</v>
      </c>
      <c r="BR79" s="200">
        <v>40.196715344436988</v>
      </c>
      <c r="BS79" s="100">
        <v>1.77</v>
      </c>
      <c r="BT79" s="98">
        <v>0.2</v>
      </c>
      <c r="BU79" s="98">
        <f t="shared" si="222"/>
        <v>0.2</v>
      </c>
      <c r="BV79" s="124">
        <f t="shared" ref="BV79:BV81" si="316">BU79</f>
        <v>0.2</v>
      </c>
      <c r="BW79" s="100">
        <f t="shared" si="218"/>
        <v>100.49167883610926</v>
      </c>
      <c r="BX79" s="100">
        <v>502.45839418054624</v>
      </c>
      <c r="BY79" s="99">
        <v>0.44</v>
      </c>
      <c r="BZ79" s="89">
        <f t="shared" si="277"/>
        <v>0.18481490397738384</v>
      </c>
      <c r="CA79" s="78">
        <v>2016</v>
      </c>
      <c r="CB79" s="91">
        <f t="shared" si="275"/>
        <v>0.13799999999999998</v>
      </c>
      <c r="CC79" s="97">
        <f t="shared" si="252"/>
        <v>41.427300603927875</v>
      </c>
      <c r="CD79" s="97">
        <f t="shared" si="271"/>
        <v>933.91750411221312</v>
      </c>
      <c r="CE79" s="97">
        <f t="shared" si="272"/>
        <v>476.58420952859046</v>
      </c>
      <c r="CF79" s="97">
        <f t="shared" si="273"/>
        <v>35.908682274284772</v>
      </c>
      <c r="CG79" s="97">
        <f t="shared" si="274"/>
        <v>1.7541936382349745</v>
      </c>
      <c r="CH79" s="92">
        <f t="shared" si="224"/>
        <v>1489.5918901572511</v>
      </c>
      <c r="CI79" s="200">
        <f t="shared" si="225"/>
        <v>40.196715344436988</v>
      </c>
      <c r="CJ79" s="93">
        <f t="shared" si="226"/>
        <v>1.77</v>
      </c>
      <c r="CK79" s="92">
        <f t="shared" si="227"/>
        <v>205.56368084170063</v>
      </c>
      <c r="CL79" s="92">
        <f t="shared" si="228"/>
        <v>247.53039618613764</v>
      </c>
      <c r="CM79" s="76">
        <f t="shared" si="229"/>
        <v>3.1305165301519187E-2</v>
      </c>
      <c r="CN79" s="128">
        <f t="shared" si="230"/>
        <v>0.16617329741235817</v>
      </c>
      <c r="CO79" s="111">
        <f t="shared" si="279"/>
        <v>1242.0614939711136</v>
      </c>
      <c r="CP79" s="125">
        <f t="shared" si="232"/>
        <v>-0.13652522477752793</v>
      </c>
      <c r="CQ79" s="96">
        <f t="shared" si="281"/>
        <v>3.8686345742755006</v>
      </c>
      <c r="CR79" s="92">
        <f t="shared" si="234"/>
        <v>3868.6345742755007</v>
      </c>
      <c r="CS79" s="120">
        <f t="shared" si="282"/>
        <v>-0.90461819600000004</v>
      </c>
      <c r="CT79" s="72">
        <f t="shared" ref="CT79:CT103" si="317">BM79</f>
        <v>0.98533114700000002</v>
      </c>
      <c r="CU79" s="72">
        <f t="shared" si="236"/>
        <v>-1.7982223580000001</v>
      </c>
      <c r="CV79" s="104">
        <f t="shared" si="237"/>
        <v>2.1352915758299713</v>
      </c>
      <c r="CW79" s="105">
        <f t="shared" ref="CW79:CW103" si="318">AQ79</f>
        <v>-1.3051184806509919</v>
      </c>
      <c r="CX79" s="105">
        <f t="shared" ref="CX79:CX103" si="319">AR79</f>
        <v>-0.85136813124068367</v>
      </c>
      <c r="CY79" s="105">
        <f t="shared" ref="CY79:CY103" si="320">AS79</f>
        <v>0.59897429387928969</v>
      </c>
      <c r="CZ79" s="123">
        <f>(1-SSLcontrol)*AT79+SSLcontrol*$CZ$41</f>
        <v>-0.68849257550252763</v>
      </c>
      <c r="DA79" s="81">
        <f t="shared" si="288"/>
        <v>0.91963522163595846</v>
      </c>
      <c r="DB79" s="9">
        <f t="shared" ref="DB79:DB103" si="321">AW79</f>
        <v>988598.05953460862</v>
      </c>
      <c r="DD79" s="1">
        <f t="shared" ref="DD79:DD103" si="322">(ES79-DE79)/DE79</f>
        <v>11.122011242948153</v>
      </c>
      <c r="DE79" s="168">
        <v>134</v>
      </c>
      <c r="DF79" s="126">
        <v>2016</v>
      </c>
      <c r="DG79" s="26">
        <v>7.6142131979695434E-3</v>
      </c>
      <c r="DH79" s="26">
        <v>0.29512169725367693</v>
      </c>
      <c r="DI79" s="26">
        <v>0.6060236886632826</v>
      </c>
      <c r="DJ79" s="26">
        <v>8.8702329819081091E-2</v>
      </c>
      <c r="DK79" s="26">
        <v>2.5380710659898475E-3</v>
      </c>
      <c r="DL79" s="106">
        <v>0.13400000000000001</v>
      </c>
      <c r="DM79" s="106">
        <v>3.9E-2</v>
      </c>
      <c r="DN79" s="26">
        <v>-1.2342781538212648</v>
      </c>
      <c r="DO79" s="76">
        <f t="shared" ref="DO79:DO80" si="323">DL79</f>
        <v>0.13400000000000001</v>
      </c>
      <c r="DP79" s="119">
        <v>2.2771025479999998</v>
      </c>
      <c r="DQ79" s="26">
        <v>1.46155122</v>
      </c>
      <c r="DR79" s="26">
        <v>-1.3487662460000001</v>
      </c>
      <c r="DS79" s="26">
        <v>-0.90123567999999998</v>
      </c>
      <c r="DT79" s="113" cm="1">
        <f t="array" ref="DT79">$DN$11+SUMPRODUCT(DP$11:$DS$11*DP79:DS79)</f>
        <v>-1.3269581124006768</v>
      </c>
      <c r="DU79" s="76">
        <f t="shared" si="289"/>
        <v>3.0996398644510287E-2</v>
      </c>
      <c r="DV79" s="72">
        <f t="shared" ref="DV79:DV80" si="324">LN(DM79/DU79)</f>
        <v>0.22969062115081032</v>
      </c>
      <c r="DW79" s="199">
        <v>25</v>
      </c>
      <c r="DX79" s="61">
        <v>0</v>
      </c>
      <c r="DY79" s="26">
        <v>0.2</v>
      </c>
      <c r="DZ79" s="98">
        <f t="shared" si="213"/>
        <v>0.2</v>
      </c>
      <c r="EA79" s="110">
        <f t="shared" si="214"/>
        <v>0.2</v>
      </c>
      <c r="EB79" s="100">
        <f t="shared" si="188"/>
        <v>39.75</v>
      </c>
      <c r="EC79" s="61">
        <v>198.75</v>
      </c>
      <c r="ED79" s="99">
        <v>0.44</v>
      </c>
      <c r="EE79" s="125">
        <f t="shared" si="189"/>
        <v>1.5157490817223306E-2</v>
      </c>
      <c r="EF79" s="37">
        <v>2016</v>
      </c>
      <c r="EG79" s="110">
        <f t="shared" si="276"/>
        <v>0.13799999999999998</v>
      </c>
      <c r="EH79" s="97">
        <f t="shared" si="220"/>
        <v>10.453953390803353</v>
      </c>
      <c r="EI79" s="97">
        <f t="shared" si="238"/>
        <v>456.4048962044136</v>
      </c>
      <c r="EJ79" s="97">
        <f t="shared" si="243"/>
        <v>1274.950302901128</v>
      </c>
      <c r="EK79" s="97">
        <f t="shared" si="246"/>
        <v>165.5449098399063</v>
      </c>
      <c r="EL79" s="97">
        <f t="shared" si="248"/>
        <v>6.0444371475685204</v>
      </c>
      <c r="EM79" s="111">
        <f t="shared" si="196"/>
        <v>1913.3984994838197</v>
      </c>
      <c r="EN79" s="200">
        <f t="shared" si="197"/>
        <v>25</v>
      </c>
      <c r="EO79" s="92">
        <f t="shared" si="198"/>
        <v>0</v>
      </c>
      <c r="EP79" s="92">
        <f t="shared" si="278"/>
        <v>264.04899292876706</v>
      </c>
      <c r="EQ79" s="92">
        <f t="shared" si="239"/>
        <v>289.04899292876706</v>
      </c>
      <c r="ER79" s="128">
        <f t="shared" si="201"/>
        <v>0.15106575708444647</v>
      </c>
      <c r="ES79" s="111">
        <f t="shared" si="240"/>
        <v>1624.3495065550526</v>
      </c>
      <c r="ET79" s="72">
        <f t="shared" si="203"/>
        <v>-1.3269581124006768</v>
      </c>
      <c r="EU79" s="96">
        <f>IF(SSLcontrol=0,$ES79/1000*EXP($ET79+$DO$11*$ES79/1000),$ES79/1000*EXP($FA79+$DO$11*$ES79/1000))</f>
        <v>0.99773275316460408</v>
      </c>
      <c r="EV79" s="92">
        <f t="shared" si="205"/>
        <v>997.73275316460411</v>
      </c>
      <c r="EW79" s="120">
        <f t="shared" si="283"/>
        <v>-0.87704872899999997</v>
      </c>
      <c r="EX79" s="9">
        <f t="shared" si="184"/>
        <v>1.46155122</v>
      </c>
      <c r="EY79" s="9">
        <f t="shared" si="185"/>
        <v>-1.3487662460000001</v>
      </c>
      <c r="EZ79" s="9">
        <f t="shared" si="186"/>
        <v>-0.90123567999999998</v>
      </c>
      <c r="FA79" s="113" cm="1">
        <f t="array" ref="FA79">$DN$11+SUMPRODUCT($DP$11:$DS$11*EW79:EZ79)</f>
        <v>1.173467539182917</v>
      </c>
      <c r="FB79">
        <v>2016</v>
      </c>
      <c r="FC79" s="116">
        <f t="shared" ref="FC79:FC103" si="325">AP79</f>
        <v>4509469.8962471876</v>
      </c>
      <c r="FD79" s="116">
        <f t="shared" si="290"/>
        <v>1401300.4428739464</v>
      </c>
      <c r="FE79" s="116">
        <f t="shared" si="159"/>
        <v>5636837.3703089841</v>
      </c>
      <c r="FF79" s="116">
        <f t="shared" si="291"/>
        <v>1212896.2982483692</v>
      </c>
      <c r="FG79" s="5">
        <f t="shared" si="292"/>
        <v>188404.14462557714</v>
      </c>
      <c r="FH79" s="5">
        <f t="shared" si="155"/>
        <v>489715.2537347828</v>
      </c>
      <c r="FI79" s="155">
        <f t="shared" si="293"/>
        <v>0.13444950052194124</v>
      </c>
      <c r="FJ79" s="117">
        <f t="shared" ref="FJ79:FJ102" si="326">100*FI79</f>
        <v>13.444950052194123</v>
      </c>
      <c r="FK79" s="61">
        <f t="shared" si="294"/>
        <v>7775.0525071201791</v>
      </c>
      <c r="FL79" s="61">
        <f t="shared" ref="FL79:FL103" si="327">FD79/FK79</f>
        <v>180.23035106073868</v>
      </c>
      <c r="FM79" s="92">
        <f t="shared" ref="FM79:FM103" si="328">FG79/FK79</f>
        <v>24.231880679010438</v>
      </c>
      <c r="FN79" s="72">
        <f t="shared" ref="FN79:FN103" si="329">FI79</f>
        <v>0.13444950052194124</v>
      </c>
      <c r="FO79" s="179">
        <f t="shared" si="295"/>
        <v>0.80772935596701456</v>
      </c>
      <c r="FP79" s="92">
        <f t="shared" si="160"/>
        <v>45.069471346183256</v>
      </c>
      <c r="FQ79" s="1">
        <f t="shared" si="143"/>
        <v>0</v>
      </c>
      <c r="FR79" s="26">
        <f t="shared" ref="FR79" si="330">FK79/MIN($FK$14:$FK$79)</f>
        <v>1.2341408827186904</v>
      </c>
      <c r="FS79">
        <f t="shared" si="296"/>
        <v>2016</v>
      </c>
      <c r="FT79" s="5">
        <f t="shared" si="241"/>
        <v>1242.0614939711136</v>
      </c>
      <c r="FU79" s="214">
        <f t="shared" si="297"/>
        <v>6244.8074497085836</v>
      </c>
      <c r="FV79" s="213">
        <f t="shared" ref="FV79:FV103" si="331">$FT79*EXP($BF$10+$BG$10*$FT79/1000+$BI$10*$CT79+$BH$10*$CS79)</f>
        <v>3598.8654990216883</v>
      </c>
      <c r="FW79" s="5">
        <f t="shared" ref="FW79:FW103" si="332">FU79-FV79</f>
        <v>2645.9419506868953</v>
      </c>
      <c r="FX79" s="1">
        <f t="shared" ref="FX79:FX103" si="333">FW79/FU79</f>
        <v>0.42370272774549184</v>
      </c>
      <c r="FY79">
        <f t="shared" si="298"/>
        <v>53642.334036175293</v>
      </c>
      <c r="FZ79" s="26">
        <f t="shared" ref="FZ79:FZ103" si="334">FW79/FY79</f>
        <v>4.932563055333361E-2</v>
      </c>
      <c r="GA79" s="106">
        <f t="shared" si="299"/>
        <v>1.6441876851111203E-3</v>
      </c>
      <c r="GB79" s="61">
        <f t="shared" ref="GB79:GB103" si="335">ES79</f>
        <v>1624.3495065550526</v>
      </c>
      <c r="GC79" s="61">
        <f t="shared" si="207"/>
        <v>1657.3304723449612</v>
      </c>
      <c r="GD79" s="61">
        <f t="shared" si="247"/>
        <v>3494.608606980843</v>
      </c>
      <c r="GE79" s="61">
        <f t="shared" si="210"/>
        <v>997.73275316460399</v>
      </c>
      <c r="GF79" s="61">
        <f t="shared" ref="GF79:GF103" si="336">GC79-GE79</f>
        <v>659.59771918035722</v>
      </c>
      <c r="GG79" s="61">
        <f t="shared" si="245"/>
        <v>1390.8124571747044</v>
      </c>
      <c r="GH79" s="6">
        <f t="shared" ref="GH79:GH103" si="337">GF79/GC79</f>
        <v>0.39798804775917185</v>
      </c>
      <c r="GI79">
        <f t="shared" si="300"/>
        <v>9248.6922093424037</v>
      </c>
      <c r="GJ79" s="26">
        <f t="shared" si="208"/>
        <v>7.1317944661849181E-2</v>
      </c>
      <c r="GK79">
        <f t="shared" si="301"/>
        <v>2.3772648220616393E-3</v>
      </c>
      <c r="GL79" s="232">
        <f t="shared" ref="GL79:GL88" si="338">FK79/MIN($FK$14:$FK$78)</f>
        <v>1.2341408827186904</v>
      </c>
      <c r="GY79">
        <v>2016</v>
      </c>
      <c r="GZ79" s="112">
        <f t="shared" si="267"/>
        <v>0.17371489483451708</v>
      </c>
      <c r="HA79" s="112">
        <f t="shared" si="268"/>
        <v>-1.3269581124006768</v>
      </c>
      <c r="HB79" s="112">
        <f t="shared" si="269"/>
        <v>2.1352915758299713</v>
      </c>
    </row>
    <row r="80" spans="1:210" x14ac:dyDescent="0.35">
      <c r="A80" s="56">
        <v>2017</v>
      </c>
      <c r="D80" s="80">
        <v>659667</v>
      </c>
      <c r="E80" s="80"/>
      <c r="F80" s="80"/>
      <c r="G80" s="80">
        <v>1072321.8899999999</v>
      </c>
      <c r="H80" s="80"/>
      <c r="I80" s="80">
        <v>412654.8899999999</v>
      </c>
      <c r="J80" s="149">
        <f t="shared" si="304"/>
        <v>0.38482371184271913</v>
      </c>
      <c r="K80" s="83"/>
      <c r="L80" s="83"/>
      <c r="M80" s="84"/>
      <c r="N80" s="82"/>
      <c r="O80" s="88">
        <f t="shared" si="67"/>
        <v>2017</v>
      </c>
      <c r="P80" s="81">
        <f>'Orig data'!CN71</f>
        <v>0.23933402705515089</v>
      </c>
      <c r="Q80" s="81">
        <f>'Orig data'!CO71</f>
        <v>0.59313215400624353</v>
      </c>
      <c r="R80" s="81">
        <f>'Orig data'!CP71</f>
        <v>0.16545265348595214</v>
      </c>
      <c r="S80" s="85">
        <f>'Orig data'!CQ71</f>
        <v>2.0811654526534861E-3</v>
      </c>
      <c r="T80" s="80">
        <f>$G80*P80</f>
        <v>256643.11623309052</v>
      </c>
      <c r="U80" s="80">
        <f t="shared" ref="U80:U103" si="339">$G80*Q80</f>
        <v>636028.59240374609</v>
      </c>
      <c r="V80" s="80">
        <f t="shared" ref="V80:V103" si="340">$G80*R80</f>
        <v>177418.50209157128</v>
      </c>
      <c r="W80" s="80">
        <f t="shared" ref="W80:W103" si="341">$G80*S80</f>
        <v>2231.6792715920915</v>
      </c>
      <c r="X80" s="79">
        <f t="shared" si="306"/>
        <v>2017</v>
      </c>
      <c r="Y80" s="79">
        <f t="shared" si="149"/>
        <v>220410.61552308334</v>
      </c>
      <c r="Z80" s="79">
        <f t="shared" si="152"/>
        <v>477563.27929640393</v>
      </c>
      <c r="AA80" s="79">
        <f t="shared" si="156"/>
        <v>500920.94444302091</v>
      </c>
      <c r="AB80" s="79">
        <f t="shared" si="161"/>
        <v>2366.613250649747</v>
      </c>
      <c r="AC80" s="80">
        <f t="shared" si="307"/>
        <v>1201261.4525131579</v>
      </c>
      <c r="AD80" s="84">
        <f t="shared" ref="AD80:AD82" si="342">G80-AC80</f>
        <v>-128939.56251315796</v>
      </c>
      <c r="AE80" s="80">
        <f>I80</f>
        <v>412654.8899999999</v>
      </c>
      <c r="AH80" s="126">
        <f t="shared" si="285"/>
        <v>2017</v>
      </c>
      <c r="AI80" s="74" cm="1">
        <f t="array" ref="AI80">IF(Uhistoric=1,J80,Uapply)</f>
        <v>0.2</v>
      </c>
      <c r="AJ80" s="75">
        <f t="shared" ref="AJ80:AJ103" si="343">AW77*P80</f>
        <v>489238.8455538057</v>
      </c>
      <c r="AK80" s="75">
        <f t="shared" ref="AK80:AK103" si="344">AW76*Q80</f>
        <v>963653.87390012038</v>
      </c>
      <c r="AL80" s="75">
        <f t="shared" ref="AL80:AL103" si="345">AW75*R80</f>
        <v>1011819.767409313</v>
      </c>
      <c r="AM80" s="75">
        <f t="shared" ref="AM80:AM103" si="346">AW74*S80</f>
        <v>4933.4683459499556</v>
      </c>
      <c r="AN80" s="79">
        <f t="shared" ref="AN80:AN103" si="347">SUM(AJ80:AM80)</f>
        <v>2469645.9552091891</v>
      </c>
      <c r="AO80" s="80">
        <f>AN80*AI80</f>
        <v>493929.19104183785</v>
      </c>
      <c r="AP80" s="80">
        <f t="shared" ref="AP80:AP103" si="348">AN80-AO80</f>
        <v>1975716.7641673512</v>
      </c>
      <c r="AQ80" s="81">
        <f>AVERAGE(AQ$70:AQ$79)</f>
        <v>-0.19962127429742188</v>
      </c>
      <c r="AR80" s="81">
        <f>AVERAGE(AR$70:AR$79)</f>
        <v>0.27293199985684191</v>
      </c>
      <c r="AS80" s="81">
        <f>AVERAGE($AS$70:$AS$79)</f>
        <v>-0.36569454050217348</v>
      </c>
      <c r="AT80" s="121">
        <f t="shared" ref="AT80:AT103" si="349">$AT$79*deltaPred</f>
        <v>2.6378516138507848</v>
      </c>
      <c r="AU80" s="122">
        <f>IF(alphaV=1,$AP$11+SUMPRODUCT($AR$11:$AU$11,AQ80:AT80),0)+IF(alphaV=2,$AU$104,0)+IF(alphaV=3,$AU$105,0)+IF(alphaV=4,$AU$106,0)+IF(alphaV=5,AU109,0)</f>
        <v>0.7959846428153432</v>
      </c>
      <c r="AV80" s="122"/>
      <c r="AW80" s="115">
        <f t="shared" si="287"/>
        <v>2558171.8958908785</v>
      </c>
      <c r="AX80" s="115"/>
      <c r="AY80" s="141">
        <f t="shared" si="315"/>
        <v>3.1774638845478558</v>
      </c>
      <c r="AZ80" s="141"/>
      <c r="BA80" s="84">
        <v>240</v>
      </c>
      <c r="BB80" s="101">
        <v>2017</v>
      </c>
      <c r="BC80" s="72">
        <v>3.5750695088044487E-2</v>
      </c>
      <c r="BD80" s="72">
        <v>0.8358758109360519</v>
      </c>
      <c r="BE80" s="72">
        <v>0.11956904541241889</v>
      </c>
      <c r="BF80" s="72">
        <v>8.3410565338276187E-3</v>
      </c>
      <c r="BG80" s="72">
        <v>4.6339202965708991E-4</v>
      </c>
      <c r="BH80" s="76">
        <v>0.24</v>
      </c>
      <c r="BI80" s="76">
        <v>0.154</v>
      </c>
      <c r="BJ80" s="72">
        <f t="shared" si="215"/>
        <v>-0.44368632092836208</v>
      </c>
      <c r="BK80">
        <v>0.24</v>
      </c>
      <c r="BL80" s="120">
        <v>2.2771025479999998</v>
      </c>
      <c r="BM80" s="125">
        <v>2.2785281519999998</v>
      </c>
      <c r="BN80" s="4">
        <v>-1.3487662460000001</v>
      </c>
      <c r="BO80" s="98">
        <f t="shared" si="221"/>
        <v>-0.57761116612795171</v>
      </c>
      <c r="BP80" s="98">
        <f t="shared" si="216"/>
        <v>0.11104798964061595</v>
      </c>
      <c r="BQ80" s="99">
        <f t="shared" si="217"/>
        <v>0.32699015542826915</v>
      </c>
      <c r="BR80" s="200">
        <v>26.828854766301255</v>
      </c>
      <c r="BS80" s="100">
        <v>1.46</v>
      </c>
      <c r="BT80" s="98">
        <v>0.2</v>
      </c>
      <c r="BU80" s="98">
        <f t="shared" si="222"/>
        <v>0.2</v>
      </c>
      <c r="BV80" s="124">
        <f t="shared" si="316"/>
        <v>0.2</v>
      </c>
      <c r="BW80" s="100">
        <f t="shared" si="218"/>
        <v>67.072213691575314</v>
      </c>
      <c r="BX80" s="100">
        <v>335.36106845787657</v>
      </c>
      <c r="BY80" s="99">
        <v>0.46</v>
      </c>
      <c r="BZ80" s="89">
        <f t="shared" si="277"/>
        <v>0.18737595832309004</v>
      </c>
      <c r="CA80" s="78">
        <v>2017</v>
      </c>
      <c r="CB80" s="91">
        <f t="shared" si="275"/>
        <v>0.13799999999999998</v>
      </c>
      <c r="CC80" s="97">
        <f t="shared" si="252"/>
        <v>58.483261666603454</v>
      </c>
      <c r="CD80" s="97">
        <f t="shared" si="271"/>
        <v>968.59874757455827</v>
      </c>
      <c r="CE80" s="97">
        <f t="shared" si="272"/>
        <v>133.59355899484112</v>
      </c>
      <c r="CF80" s="97">
        <f t="shared" si="273"/>
        <v>33.246195293239666</v>
      </c>
      <c r="CG80" s="97">
        <f t="shared" si="274"/>
        <v>1.9949267930158205</v>
      </c>
      <c r="CH80" s="92">
        <f>SUM(CC80:CG80)</f>
        <v>1195.9166903222583</v>
      </c>
      <c r="CI80" s="200">
        <f t="shared" si="225"/>
        <v>26.828854766301255</v>
      </c>
      <c r="CJ80" s="92">
        <f t="shared" si="226"/>
        <v>1.46</v>
      </c>
      <c r="CK80" s="92">
        <f t="shared" si="227"/>
        <v>165.03650326447163</v>
      </c>
      <c r="CL80" s="92">
        <f t="shared" si="228"/>
        <v>193.32535803077289</v>
      </c>
      <c r="CM80" s="76">
        <f t="shared" si="229"/>
        <v>2.6025191970051261E-2</v>
      </c>
      <c r="CN80" s="128">
        <f t="shared" si="230"/>
        <v>0.16165453630275731</v>
      </c>
      <c r="CO80" s="111">
        <f>CH80-CL80</f>
        <v>1002.5913322914854</v>
      </c>
      <c r="CP80" s="125">
        <f t="shared" si="232"/>
        <v>-0.57761116612795171</v>
      </c>
      <c r="CQ80" s="96">
        <f>IF(SSLcontrol=0,$CO80/1000*EXP($CP80+$BG$10*$CO80/1000),$CO80/1000*EXP($CV80+$BG$10*$CO80/1000))</f>
        <v>2.858141515209518</v>
      </c>
      <c r="CR80" s="92">
        <f t="shared" si="234"/>
        <v>2858.1415152095178</v>
      </c>
      <c r="CS80" s="120">
        <f t="shared" si="282"/>
        <v>-0.90461819600000004</v>
      </c>
      <c r="CT80" s="72">
        <f t="shared" si="317"/>
        <v>2.2785281519999998</v>
      </c>
      <c r="CU80" s="72">
        <f t="shared" si="236"/>
        <v>-1.3487662460000001</v>
      </c>
      <c r="CV80" s="104">
        <f t="shared" si="237"/>
        <v>1.8541069740108707</v>
      </c>
      <c r="CW80" s="105">
        <f>AQ80</f>
        <v>-0.19962127429742188</v>
      </c>
      <c r="CX80" s="105">
        <f t="shared" si="319"/>
        <v>0.27293199985684191</v>
      </c>
      <c r="CY80" s="105">
        <f t="shared" si="320"/>
        <v>-0.36569454050217348</v>
      </c>
      <c r="CZ80" s="123">
        <f t="shared" ref="CZ80:CZ103" si="350">IF(SSLcontrol=0,$CZ$79*deltaPred,(1-SSLcontrol)*AT79+SSLcontrol*$CZ$41)</f>
        <v>-0.68849257550252763</v>
      </c>
      <c r="DA80" s="81">
        <f t="shared" ref="DA80:DA103" si="351">IF(alphaV=1,$AP$11+SUMPRODUCT($AR$11:$AU$11,CW80:CZ80),0)+IF(alphaV=2,$DA$104,0)+IF(alphaV=3,$DA$105,0)+IF(alphaV=4,$DA$106,0)+IF(alphaV=5,DA109,0)</f>
        <v>1.2366113750272465</v>
      </c>
      <c r="DB80" s="9">
        <f t="shared" si="321"/>
        <v>2558171.8958908785</v>
      </c>
      <c r="DD80" s="1">
        <f t="shared" si="322"/>
        <v>5.990228116049396</v>
      </c>
      <c r="DE80" s="168">
        <v>187</v>
      </c>
      <c r="DF80" s="126">
        <v>2017</v>
      </c>
      <c r="DG80" s="26">
        <v>7.6142131979695434E-3</v>
      </c>
      <c r="DH80" s="26">
        <v>0.29512169725367693</v>
      </c>
      <c r="DI80" s="26">
        <v>0.6060236886632826</v>
      </c>
      <c r="DJ80" s="26">
        <v>8.8702329819081091E-2</v>
      </c>
      <c r="DK80" s="26">
        <v>2.5380710659898475E-3</v>
      </c>
      <c r="DL80" s="106">
        <v>0.187</v>
      </c>
      <c r="DM80" s="106">
        <v>0.11</v>
      </c>
      <c r="DN80" s="26">
        <v>-0.53062825106217038</v>
      </c>
      <c r="DO80" s="76">
        <f t="shared" si="323"/>
        <v>0.187</v>
      </c>
      <c r="DP80" s="119">
        <v>2.5024884869999999</v>
      </c>
      <c r="DQ80" s="26">
        <v>0.62435404299999997</v>
      </c>
      <c r="DR80" s="26">
        <v>-0.78807652800000005</v>
      </c>
      <c r="DS80" s="26">
        <v>-1.9689302070000001</v>
      </c>
      <c r="DT80" s="113" cm="1">
        <f t="array" ref="DT80">$DN$11+SUMPRODUCT(DP$11:$DS$11*DP80:DS80)</f>
        <v>-1.5294225055735928</v>
      </c>
      <c r="DU80" s="76">
        <f t="shared" si="289"/>
        <v>3.3464482893013625E-2</v>
      </c>
      <c r="DV80" s="72">
        <f t="shared" si="324"/>
        <v>1.1899957015327027</v>
      </c>
      <c r="DW80" s="199">
        <v>25</v>
      </c>
      <c r="DX80" s="61">
        <v>0</v>
      </c>
      <c r="DY80" s="26">
        <v>0.2</v>
      </c>
      <c r="DZ80" s="98">
        <f t="shared" si="213"/>
        <v>0.2</v>
      </c>
      <c r="EA80" s="110">
        <f t="shared" si="214"/>
        <v>0.2</v>
      </c>
      <c r="EB80" s="100">
        <f t="shared" si="188"/>
        <v>53</v>
      </c>
      <c r="EC80" s="61">
        <v>265</v>
      </c>
      <c r="ED80" s="99">
        <v>0.46</v>
      </c>
      <c r="EE80" s="216">
        <f t="shared" si="189"/>
        <v>1.8766336221867335E-2</v>
      </c>
      <c r="EF80" s="37">
        <v>2017</v>
      </c>
      <c r="EG80" s="110">
        <f t="shared" si="276"/>
        <v>0.13799999999999998</v>
      </c>
      <c r="EH80" s="97">
        <f t="shared" si="220"/>
        <v>11.693444058914787</v>
      </c>
      <c r="EI80" s="97">
        <f t="shared" si="238"/>
        <v>405.18808542521941</v>
      </c>
      <c r="EJ80" s="97">
        <f t="shared" si="243"/>
        <v>937.21397408483926</v>
      </c>
      <c r="EK80" s="97">
        <f t="shared" si="246"/>
        <v>186.61161995221704</v>
      </c>
      <c r="EL80" s="97">
        <f t="shared" si="248"/>
        <v>4.7367949257199884</v>
      </c>
      <c r="EM80" s="111">
        <f t="shared" si="196"/>
        <v>1545.4439184469106</v>
      </c>
      <c r="EN80" s="200">
        <f t="shared" si="197"/>
        <v>25</v>
      </c>
      <c r="EO80" s="92">
        <f t="shared" si="198"/>
        <v>0</v>
      </c>
      <c r="EP80" s="92">
        <f t="shared" si="278"/>
        <v>213.27126074567363</v>
      </c>
      <c r="EQ80" s="92">
        <f t="shared" si="239"/>
        <v>238.27126074567363</v>
      </c>
      <c r="ER80" s="128">
        <f t="shared" si="201"/>
        <v>0.15417658182324961</v>
      </c>
      <c r="ES80" s="111">
        <f t="shared" si="240"/>
        <v>1307.1726577012371</v>
      </c>
      <c r="ET80" s="72">
        <f t="shared" si="203"/>
        <v>-1.5294225055735928</v>
      </c>
      <c r="EU80" s="96">
        <f>IF(SSLcontrol=0,$ES80/1000*EXP($ET80+$DO$11*$ES80/1000),$ES80/1000*EXP($FA80+$DO$11*$ES80/1000))</f>
        <v>1.0843716143954576</v>
      </c>
      <c r="EV80" s="92">
        <f t="shared" si="205"/>
        <v>1084.3716143954575</v>
      </c>
      <c r="EW80" s="120">
        <f>(1-SSLcontrol)*DP80+SSLcontrol*$EW$41</f>
        <v>-0.87704872899999997</v>
      </c>
      <c r="EX80" s="9">
        <f t="shared" si="184"/>
        <v>0.62435404299999997</v>
      </c>
      <c r="EY80" s="9">
        <f t="shared" si="185"/>
        <v>-0.78807652800000005</v>
      </c>
      <c r="EZ80" s="9">
        <f t="shared" si="186"/>
        <v>-1.9689302070000001</v>
      </c>
      <c r="FA80" s="113" cm="1">
        <f t="array" ref="FA80">$DN$11+SUMPRODUCT($DP$11:$DS$11*EW80:EZ80)</f>
        <v>1.1496758645607339</v>
      </c>
      <c r="FB80">
        <v>2017</v>
      </c>
      <c r="FC80" s="116">
        <f t="shared" si="325"/>
        <v>1975716.7641673512</v>
      </c>
      <c r="FD80" s="116">
        <f t="shared" si="290"/>
        <v>2965484.6093096253</v>
      </c>
      <c r="FE80" s="116">
        <f t="shared" si="159"/>
        <v>2469645.9552091891</v>
      </c>
      <c r="FF80" s="116">
        <f t="shared" si="291"/>
        <v>2566776.6847824422</v>
      </c>
      <c r="FG80" s="5">
        <f t="shared" si="292"/>
        <v>398707.92452718318</v>
      </c>
      <c r="FH80" s="5">
        <f t="shared" si="155"/>
        <v>327197.0783596579</v>
      </c>
      <c r="FI80" s="117">
        <f t="shared" si="293"/>
        <v>0.13444950052194124</v>
      </c>
      <c r="FJ80" s="117">
        <f t="shared" si="326"/>
        <v>13.444950052194123</v>
      </c>
      <c r="FK80" s="61">
        <f t="shared" si="294"/>
        <v>7775.0525071201791</v>
      </c>
      <c r="FL80" s="61">
        <f t="shared" si="327"/>
        <v>381.41023569859061</v>
      </c>
      <c r="FM80" s="92">
        <f t="shared" si="328"/>
        <v>51.280415683631389</v>
      </c>
      <c r="FN80" s="72">
        <f t="shared" si="329"/>
        <v>0.13444950052194124</v>
      </c>
      <c r="FO80" s="92"/>
      <c r="FP80" s="92">
        <f t="shared" si="160"/>
        <v>42.121285697025236</v>
      </c>
      <c r="FQ80" s="158">
        <f>(FK80-FK79)/FK79</f>
        <v>0</v>
      </c>
      <c r="FS80">
        <f t="shared" si="296"/>
        <v>2017</v>
      </c>
      <c r="FT80" s="5">
        <f t="shared" si="241"/>
        <v>1002.5913322914854</v>
      </c>
      <c r="FU80" s="214">
        <f t="shared" si="297"/>
        <v>4697.7657581906906</v>
      </c>
      <c r="FV80" s="213">
        <f t="shared" si="331"/>
        <v>2707.3095921359259</v>
      </c>
      <c r="FW80" s="5">
        <f t="shared" si="332"/>
        <v>1990.4561660547647</v>
      </c>
      <c r="FX80" s="1">
        <f t="shared" si="333"/>
        <v>0.42370272774549195</v>
      </c>
      <c r="FY80">
        <f t="shared" si="298"/>
        <v>56680.817099766646</v>
      </c>
      <c r="FZ80" s="26">
        <f t="shared" si="334"/>
        <v>3.5116927876167818E-2</v>
      </c>
      <c r="GA80" s="106">
        <f t="shared" si="299"/>
        <v>1.1705642625389273E-3</v>
      </c>
      <c r="GB80" s="61">
        <f t="shared" si="335"/>
        <v>1307.1726577012371</v>
      </c>
      <c r="GC80" s="61">
        <f t="shared" si="207"/>
        <v>1801.2459891521664</v>
      </c>
      <c r="GD80" s="61">
        <f t="shared" si="247"/>
        <v>2568.8813226421034</v>
      </c>
      <c r="GE80" s="61">
        <f t="shared" si="210"/>
        <v>1084.3716143954575</v>
      </c>
      <c r="GF80" s="61">
        <f t="shared" si="336"/>
        <v>716.8743747567089</v>
      </c>
      <c r="GG80" s="61">
        <f t="shared" si="245"/>
        <v>1022.3840625233297</v>
      </c>
      <c r="GH80" s="6">
        <f t="shared" si="337"/>
        <v>0.39798804775917174</v>
      </c>
      <c r="GI80">
        <f t="shared" si="300"/>
        <v>9248.6922093424037</v>
      </c>
      <c r="GJ80" s="26">
        <f t="shared" si="208"/>
        <v>7.751089111091522E-2</v>
      </c>
      <c r="GK80">
        <f t="shared" si="301"/>
        <v>2.5836963703638406E-3</v>
      </c>
      <c r="GL80" s="232">
        <f t="shared" si="338"/>
        <v>1.2341408827186904</v>
      </c>
      <c r="GY80">
        <v>2017</v>
      </c>
      <c r="GZ80" s="26">
        <f t="shared" si="267"/>
        <v>0.7959846428153432</v>
      </c>
      <c r="HA80" s="112">
        <f t="shared" si="268"/>
        <v>-1.5294225055735928</v>
      </c>
      <c r="HB80" s="112">
        <f t="shared" si="269"/>
        <v>1.8541069740108707</v>
      </c>
    </row>
    <row r="81" spans="1:210" x14ac:dyDescent="0.35">
      <c r="A81" s="56">
        <v>2018</v>
      </c>
      <c r="D81" s="80">
        <v>684875</v>
      </c>
      <c r="E81" s="82"/>
      <c r="F81" s="82"/>
      <c r="G81" s="80">
        <v>789466.79299999995</v>
      </c>
      <c r="H81" s="82"/>
      <c r="I81" s="80">
        <v>104591.79299999995</v>
      </c>
      <c r="J81" s="149">
        <f t="shared" si="304"/>
        <v>0.13248409423599397</v>
      </c>
      <c r="K81" s="82"/>
      <c r="L81" s="82"/>
      <c r="M81" s="82"/>
      <c r="N81" s="82"/>
      <c r="O81" s="88">
        <f t="shared" ref="O81:O88" si="352">A81</f>
        <v>2018</v>
      </c>
      <c r="P81" s="81">
        <f>'Orig data'!CN72</f>
        <v>0.16591523895401261</v>
      </c>
      <c r="Q81" s="81">
        <f>'Orig data'!CO72</f>
        <v>0.80973850315599638</v>
      </c>
      <c r="R81" s="81">
        <f>'Orig data'!CP72</f>
        <v>2.2542831379621282E-2</v>
      </c>
      <c r="S81" s="85">
        <f>'Orig data'!CQ72</f>
        <v>1.8034265103697023E-3</v>
      </c>
      <c r="T81" s="80">
        <f t="shared" ref="T81:T103" si="353">$G81*P81</f>
        <v>130984.571606853</v>
      </c>
      <c r="U81" s="80">
        <f t="shared" si="339"/>
        <v>639261.65925518482</v>
      </c>
      <c r="V81" s="80">
        <f t="shared" si="340"/>
        <v>17796.816794409377</v>
      </c>
      <c r="W81" s="80">
        <f t="shared" si="341"/>
        <v>1423.74534355275</v>
      </c>
      <c r="X81" s="79">
        <f t="shared" si="306"/>
        <v>2018</v>
      </c>
      <c r="Y81" s="79">
        <f t="shared" si="149"/>
        <v>64728.025074390949</v>
      </c>
      <c r="Z81" s="79">
        <f t="shared" si="152"/>
        <v>745714.94947614148</v>
      </c>
      <c r="AA81" s="79">
        <f t="shared" si="156"/>
        <v>18150.471873026287</v>
      </c>
      <c r="AB81" s="79">
        <f t="shared" si="161"/>
        <v>5460.0158521161111</v>
      </c>
      <c r="AC81" s="80">
        <f t="shared" si="307"/>
        <v>834053.46227567492</v>
      </c>
      <c r="AD81" s="84">
        <f t="shared" si="342"/>
        <v>-44586.669275674969</v>
      </c>
      <c r="AE81" s="80">
        <f t="shared" si="308"/>
        <v>104591.79299999995</v>
      </c>
      <c r="AH81" s="61">
        <f t="shared" si="285"/>
        <v>2018</v>
      </c>
      <c r="AI81" s="74" cm="1">
        <f t="array" ref="AI81">IF(Uhistoric=1,J81,Uapply)</f>
        <v>0.2</v>
      </c>
      <c r="AJ81" s="75">
        <f t="shared" si="343"/>
        <v>164609.3598569785</v>
      </c>
      <c r="AK81" s="75">
        <f t="shared" si="344"/>
        <v>1655241.1512852635</v>
      </c>
      <c r="AL81" s="75">
        <f t="shared" si="345"/>
        <v>36625.036496370041</v>
      </c>
      <c r="AM81" s="75">
        <f t="shared" si="346"/>
        <v>11028.790133105917</v>
      </c>
      <c r="AN81" s="79">
        <f t="shared" si="347"/>
        <v>1867504.3377717179</v>
      </c>
      <c r="AO81" s="80">
        <f t="shared" ref="AO81:AO103" si="354">AN81*AI81</f>
        <v>373500.8675543436</v>
      </c>
      <c r="AP81" s="80">
        <f t="shared" si="348"/>
        <v>1494003.4702173744</v>
      </c>
      <c r="AQ81" s="81">
        <f t="shared" ref="AQ81:AQ103" si="355">AVERAGE(AQ$70:AQ$79)</f>
        <v>-0.19962127429742188</v>
      </c>
      <c r="AR81" s="81">
        <f t="shared" ref="AR81:AR103" si="356">AVERAGE($AR$70:$AR$79)</f>
        <v>0.27293199985684191</v>
      </c>
      <c r="AS81" s="81">
        <f t="shared" ref="AS81:AS103" si="357">AVERAGE($AS$70:$AS$79)</f>
        <v>-0.36569454050217348</v>
      </c>
      <c r="AT81" s="121">
        <f t="shared" si="349"/>
        <v>2.6378516138507848</v>
      </c>
      <c r="AU81" s="122">
        <f t="shared" ref="AU81:AU103" si="358">IF(alphaV=1,$AP$11+SUMPRODUCT($AR$11:$AU$11,AQ81:AT81),0)+IF(alphaV=2,$AU$104,0)+IF(alphaV=3,$AU$105,0)+IF(alphaV=4,$AU$106,0)+IF(alphaV=5,$AU110,0)</f>
        <v>0.7959846428153432</v>
      </c>
      <c r="AV81" s="122"/>
      <c r="AW81" s="115">
        <f t="shared" si="287"/>
        <v>2455511.1616766048</v>
      </c>
      <c r="AX81" s="115"/>
      <c r="AY81" s="141">
        <f t="shared" si="315"/>
        <v>7.8759197376934997</v>
      </c>
      <c r="AZ81" s="141"/>
      <c r="BA81" s="84">
        <v>150</v>
      </c>
      <c r="BB81" s="101">
        <v>2018</v>
      </c>
      <c r="BC81" s="72">
        <v>3.5750695088044487E-2</v>
      </c>
      <c r="BD81" s="72">
        <v>0.8358758109360519</v>
      </c>
      <c r="BE81" s="72">
        <v>0.11956904541241889</v>
      </c>
      <c r="BF81" s="72">
        <v>8.3410565338276187E-3</v>
      </c>
      <c r="BG81" s="72">
        <v>4.6339202965708991E-4</v>
      </c>
      <c r="BH81" s="76">
        <v>0.15</v>
      </c>
      <c r="BI81" s="76">
        <v>0.377</v>
      </c>
      <c r="BJ81" s="72">
        <f t="shared" si="215"/>
        <v>0.92160989335175514</v>
      </c>
      <c r="BK81">
        <v>0.15</v>
      </c>
      <c r="BL81" s="120">
        <v>2.5024884869999999</v>
      </c>
      <c r="BM81" s="125">
        <v>1.46155122</v>
      </c>
      <c r="BN81" s="4">
        <v>-0.78807652800000005</v>
      </c>
      <c r="BO81" s="98">
        <f t="shared" si="221"/>
        <v>-0.60618194536884862</v>
      </c>
      <c r="BP81" s="98">
        <f t="shared" si="216"/>
        <v>7.2514571642272027E-2</v>
      </c>
      <c r="BQ81" s="99">
        <f t="shared" si="217"/>
        <v>1.6484576576135284</v>
      </c>
      <c r="BR81" s="200">
        <v>16.5</v>
      </c>
      <c r="BS81" s="100">
        <v>1</v>
      </c>
      <c r="BT81" s="98">
        <v>0.2</v>
      </c>
      <c r="BU81" s="98">
        <f>BW81/BX81</f>
        <v>0.18126924692201821</v>
      </c>
      <c r="BV81" s="124">
        <f t="shared" si="316"/>
        <v>0.18126924692201821</v>
      </c>
      <c r="BW81" s="100">
        <f t="shared" si="218"/>
        <v>37.084961991828465</v>
      </c>
      <c r="BX81" s="100">
        <v>204.58496199182846</v>
      </c>
      <c r="BY81" s="99">
        <v>0.48</v>
      </c>
      <c r="BZ81" s="89">
        <f t="shared" si="277"/>
        <v>0.18986124720321065</v>
      </c>
      <c r="CA81" s="78">
        <v>2018</v>
      </c>
      <c r="CB81" s="91">
        <f t="shared" si="275"/>
        <v>0.13799999999999998</v>
      </c>
      <c r="CC81" s="97">
        <f>CQ77*BC81*1000</f>
        <v>47.73539206388557</v>
      </c>
      <c r="CD81" s="97">
        <f t="shared" si="271"/>
        <v>1367.3788342119592</v>
      </c>
      <c r="CE81" s="97">
        <f t="shared" si="272"/>
        <v>138.55458684162679</v>
      </c>
      <c r="CF81" s="97">
        <f t="shared" si="273"/>
        <v>9.31939720926691</v>
      </c>
      <c r="CG81" s="97">
        <f t="shared" si="274"/>
        <v>1.8470108496244255</v>
      </c>
      <c r="CH81" s="92">
        <f t="shared" si="224"/>
        <v>1564.8352211763631</v>
      </c>
      <c r="CI81" s="200">
        <f t="shared" si="225"/>
        <v>16.5</v>
      </c>
      <c r="CJ81" s="92">
        <f t="shared" si="226"/>
        <v>1</v>
      </c>
      <c r="CK81" s="92">
        <f t="shared" si="227"/>
        <v>215.9472605223381</v>
      </c>
      <c r="CL81" s="92">
        <f t="shared" si="228"/>
        <v>233.4472605223381</v>
      </c>
      <c r="CM81" s="72">
        <f t="shared" si="229"/>
        <v>1.2232298368205297E-2</v>
      </c>
      <c r="CN81" s="128">
        <f t="shared" si="230"/>
        <v>0.14918328611420464</v>
      </c>
      <c r="CO81" s="111">
        <f t="shared" si="279"/>
        <v>1331.3879606540249</v>
      </c>
      <c r="CP81" s="125">
        <f t="shared" si="232"/>
        <v>-0.60618194536884862</v>
      </c>
      <c r="CQ81" s="96">
        <f t="shared" si="281"/>
        <v>3.3635450449460778</v>
      </c>
      <c r="CR81" s="92">
        <f t="shared" si="234"/>
        <v>3363.5450449460777</v>
      </c>
      <c r="CS81" s="120">
        <f>(1-SSLcontrol)*BL81+SSLcontrol*$CS$41</f>
        <v>-0.90461819600000004</v>
      </c>
      <c r="CT81" s="72">
        <f t="shared" si="317"/>
        <v>1.46155122</v>
      </c>
      <c r="CU81" s="72">
        <f t="shared" si="236"/>
        <v>-0.78807652800000005</v>
      </c>
      <c r="CV81" s="104">
        <f t="shared" si="237"/>
        <v>1.9977936367318643</v>
      </c>
      <c r="CW81" s="105">
        <f t="shared" si="318"/>
        <v>-0.19962127429742188</v>
      </c>
      <c r="CX81" s="105">
        <f t="shared" si="319"/>
        <v>0.27293199985684191</v>
      </c>
      <c r="CY81" s="105">
        <f t="shared" si="320"/>
        <v>-0.36569454050217348</v>
      </c>
      <c r="CZ81" s="123">
        <f t="shared" si="350"/>
        <v>-0.68849257550252763</v>
      </c>
      <c r="DA81" s="81">
        <f t="shared" si="351"/>
        <v>1.2366113750272465</v>
      </c>
      <c r="DB81" s="9">
        <f t="shared" si="321"/>
        <v>2455511.1616766048</v>
      </c>
      <c r="DD81" s="1">
        <f t="shared" si="322"/>
        <v>14.769247655529664</v>
      </c>
      <c r="DE81" s="168">
        <v>77</v>
      </c>
      <c r="DF81" s="61">
        <v>2018</v>
      </c>
      <c r="DG81" s="26">
        <v>7.6142131979695434E-3</v>
      </c>
      <c r="DH81" s="26">
        <v>0.29512169725367693</v>
      </c>
      <c r="DI81" s="26">
        <v>0.6060236886632826</v>
      </c>
      <c r="DJ81" s="26">
        <v>8.8702329819081091E-2</v>
      </c>
      <c r="DK81" s="26">
        <v>2.5380710659898475E-3</v>
      </c>
      <c r="DO81" s="76" t="e">
        <f>NA()</f>
        <v>#N/A</v>
      </c>
      <c r="DP81" s="119">
        <f t="shared" ref="DP81:DP115" si="359">$DP$80*deltaPred</f>
        <v>2.5024884869999999</v>
      </c>
      <c r="DQ81" s="109">
        <f>AVERAGE(DQ$71:DQ$80)</f>
        <v>1.1144526043</v>
      </c>
      <c r="DR81" s="109">
        <f t="shared" ref="DR81:DS96" si="360">AVERAGE(DR$71:DR$80)</f>
        <v>-0.57392922950000003</v>
      </c>
      <c r="DS81" s="109">
        <f t="shared" si="360"/>
        <v>-0.15482546589999999</v>
      </c>
      <c r="DT81" s="113" cm="1">
        <f t="array" ref="DT81">IF(alphaV=1,$DN$11+SUMPRODUCT(DP$11:$DS$11*DP81:DS81),0)+IF(alphaV=2,$DY$104,0)+IF(alphaV=3,$DY$105,0)+IF(alphaV=4,$DY$106,0)+IF(alphaV=5,DY109,0)</f>
        <v>0.11617906224428368</v>
      </c>
      <c r="DU81" s="76" t="e">
        <f>NA()</f>
        <v>#N/A</v>
      </c>
      <c r="DV81" s="76" t="e">
        <f>NA()</f>
        <v>#N/A</v>
      </c>
      <c r="DW81" s="199"/>
      <c r="ED81" s="99">
        <v>0.48</v>
      </c>
      <c r="EE81" s="72">
        <f t="shared" si="189"/>
        <v>1.8766336221867335E-2</v>
      </c>
      <c r="EF81">
        <v>2018</v>
      </c>
      <c r="EG81" s="72">
        <f t="shared" ref="EG81:EG103" si="361">CB81</f>
        <v>0.13799999999999998</v>
      </c>
      <c r="EH81" s="97">
        <f t="shared" si="220"/>
        <v>7.7729757272774886</v>
      </c>
      <c r="EI81" s="97">
        <f t="shared" si="238"/>
        <v>453.22989620623184</v>
      </c>
      <c r="EJ81" s="97">
        <f t="shared" si="243"/>
        <v>832.04176587780637</v>
      </c>
      <c r="EK81" s="97">
        <f t="shared" si="246"/>
        <v>137.17791003136071</v>
      </c>
      <c r="EL81" s="97">
        <f t="shared" si="248"/>
        <v>5.3395841365638033</v>
      </c>
      <c r="EM81" s="111">
        <f t="shared" si="196"/>
        <v>1435.5621319792401</v>
      </c>
      <c r="EN81" s="210">
        <f>MAX($EN$80/($EM$80-$EP$80)*(EM81-EP81),0)</f>
        <v>23.222488290320879</v>
      </c>
      <c r="EO81" s="4">
        <v>0</v>
      </c>
      <c r="EP81" s="92">
        <f>MAX(EM81*EG81,0)</f>
        <v>198.10757421313511</v>
      </c>
      <c r="EQ81" s="92">
        <f t="shared" si="239"/>
        <v>221.33006250345599</v>
      </c>
      <c r="ER81" s="128">
        <f t="shared" ref="ER81:ER102" si="362">EQ81/EM81</f>
        <v>0.15417658182324961</v>
      </c>
      <c r="ES81" s="111">
        <f t="shared" ref="ES81:ES102" si="363">EM81-EQ81</f>
        <v>1214.2320694757841</v>
      </c>
      <c r="ET81" s="72">
        <f t="shared" ref="ET81:ET113" si="364">DT81</f>
        <v>0.11617906224428368</v>
      </c>
      <c r="EU81" s="96">
        <f>IF(SSLcontrol=0,$ES81/1000*EXP($ET81+$DO$11*$ES81/1000),$ES81/1000*EXP($FA81+$DO$11*$ES81/1000))</f>
        <v>1.7798758859174566</v>
      </c>
      <c r="EV81" s="92">
        <f t="shared" si="205"/>
        <v>1779.8758859174566</v>
      </c>
      <c r="EW81" s="120">
        <f t="shared" ref="EW81:EW103" si="365">IF(SSLcontrol =0,$EW$80*deltaPred,(1-SSLcontrol)*DP80+SSLcontrol*$EW$41)</f>
        <v>-0.87704872899999997</v>
      </c>
      <c r="EX81" s="127">
        <f>DQ81</f>
        <v>1.1144526043</v>
      </c>
      <c r="EY81" s="9">
        <f t="shared" si="185"/>
        <v>-0.57392922950000003</v>
      </c>
      <c r="EZ81" s="9">
        <f t="shared" si="186"/>
        <v>-0.15482546589999999</v>
      </c>
      <c r="FA81" s="113" cm="1">
        <f t="array" ref="FA81">IF(alphaV=1,$DN$11+SUMPRODUCT($DP$11:$DS$11*EW81:EZ81),0)+IF(alphaV=2,$ES$115,0)+IF(alphaV=3,$ES$116,0)+IF(alphaV=4,$ES$117,0)+IF(alphaV=5,ES120,0)</f>
        <v>1.6239447871927648</v>
      </c>
      <c r="FB81" s="56">
        <v>2018</v>
      </c>
      <c r="FC81" s="116">
        <f t="shared" si="325"/>
        <v>1494003.4702173744</v>
      </c>
      <c r="FD81" s="116">
        <f t="shared" si="290"/>
        <v>2846478.209551319</v>
      </c>
      <c r="FE81" s="116">
        <f t="shared" si="159"/>
        <v>1913093.4424625693</v>
      </c>
      <c r="FF81" s="116">
        <f t="shared" si="291"/>
        <v>2463770.6360305543</v>
      </c>
      <c r="FG81" s="5">
        <f t="shared" si="292"/>
        <v>382707.57352076471</v>
      </c>
      <c r="FH81" s="5">
        <f t="shared" si="155"/>
        <v>257214.45779089327</v>
      </c>
      <c r="FI81" s="117">
        <f t="shared" si="293"/>
        <v>0.13444950052194135</v>
      </c>
      <c r="FJ81" s="117">
        <f t="shared" si="326"/>
        <v>13.444950052194136</v>
      </c>
      <c r="FK81" s="61">
        <f t="shared" si="294"/>
        <v>7775.0525071201791</v>
      </c>
      <c r="FL81" s="61">
        <f t="shared" si="327"/>
        <v>366.10404970829364</v>
      </c>
      <c r="FM81" s="92">
        <f t="shared" si="328"/>
        <v>49.222506622340063</v>
      </c>
      <c r="FN81" s="72">
        <f t="shared" si="329"/>
        <v>0.13444950052194135</v>
      </c>
      <c r="FO81" s="92"/>
      <c r="FP81" s="92">
        <f t="shared" si="160"/>
        <v>39.827460240197695</v>
      </c>
      <c r="FQ81" s="1">
        <f t="shared" ref="FQ81:FQ103" si="366">(FK81-FK80)/FK80</f>
        <v>0</v>
      </c>
      <c r="FS81">
        <f t="shared" si="296"/>
        <v>2018</v>
      </c>
      <c r="FT81" s="5">
        <f t="shared" si="241"/>
        <v>1331.3879606540249</v>
      </c>
      <c r="FU81" s="214">
        <f t="shared" si="297"/>
        <v>5654.4842942179157</v>
      </c>
      <c r="FV81" s="213">
        <f t="shared" si="331"/>
        <v>3258.6638747637412</v>
      </c>
      <c r="FW81" s="5">
        <f t="shared" si="332"/>
        <v>2395.8204194541745</v>
      </c>
      <c r="FX81" s="1">
        <f t="shared" si="333"/>
        <v>0.42370272774549206</v>
      </c>
      <c r="FY81">
        <f t="shared" si="298"/>
        <v>59954.093743432561</v>
      </c>
      <c r="FZ81" s="26">
        <f t="shared" si="334"/>
        <v>3.9960914590867543E-2</v>
      </c>
      <c r="GA81" s="106">
        <f t="shared" si="299"/>
        <v>1.3320304863622514E-3</v>
      </c>
      <c r="GB81" s="61">
        <f t="shared" si="335"/>
        <v>1214.2320694757841</v>
      </c>
      <c r="GC81" s="61">
        <f t="shared" si="207"/>
        <v>2579.1026788156773</v>
      </c>
      <c r="GD81" s="61">
        <f t="shared" si="247"/>
        <v>2280.6067889766291</v>
      </c>
      <c r="GE81" s="61">
        <f t="shared" si="210"/>
        <v>1552.6506387033758</v>
      </c>
      <c r="GF81" s="61">
        <f t="shared" si="336"/>
        <v>1026.4520401123016</v>
      </c>
      <c r="GG81" s="61">
        <f t="shared" si="245"/>
        <v>907.65424365112176</v>
      </c>
      <c r="GH81" s="6">
        <f t="shared" si="337"/>
        <v>0.39798804775917174</v>
      </c>
      <c r="GI81">
        <f t="shared" si="300"/>
        <v>9248.6922093424037</v>
      </c>
      <c r="GJ81" s="26">
        <f t="shared" ref="GJ81:GJ103" si="367">GF81/GI81</f>
        <v>0.11098347927239369</v>
      </c>
      <c r="GK81">
        <f t="shared" si="301"/>
        <v>3.6994493090797896E-3</v>
      </c>
      <c r="GL81" s="232">
        <f t="shared" si="338"/>
        <v>1.2341408827186904</v>
      </c>
      <c r="GZ81" s="26">
        <f t="shared" si="267"/>
        <v>0.7959846428153432</v>
      </c>
      <c r="HA81" s="26">
        <f t="shared" si="268"/>
        <v>0.11617906224428368</v>
      </c>
      <c r="HB81" s="112">
        <f t="shared" si="269"/>
        <v>1.9977936367318643</v>
      </c>
    </row>
    <row r="82" spans="1:210" x14ac:dyDescent="0.35">
      <c r="A82" s="56">
        <v>2019</v>
      </c>
      <c r="D82" s="80">
        <v>300279</v>
      </c>
      <c r="E82" s="82"/>
      <c r="F82" s="82"/>
      <c r="G82" s="80">
        <v>326141.64</v>
      </c>
      <c r="H82" s="82"/>
      <c r="I82" s="80">
        <v>25862.640000000014</v>
      </c>
      <c r="J82" s="149">
        <f t="shared" si="304"/>
        <v>7.9298797908785926E-2</v>
      </c>
      <c r="K82" s="82"/>
      <c r="L82" s="82"/>
      <c r="M82" s="82"/>
      <c r="N82" s="82"/>
      <c r="O82" s="88">
        <f t="shared" si="352"/>
        <v>2019</v>
      </c>
      <c r="P82" s="81">
        <f>'Orig data'!CN73</f>
        <v>0.16376582278481014</v>
      </c>
      <c r="Q82" s="81">
        <f>'Orig data'!CO73</f>
        <v>0.759493670886076</v>
      </c>
      <c r="R82" s="81">
        <f>'Orig data'!CP73</f>
        <v>7.6740506329113931E-2</v>
      </c>
      <c r="S82" s="85">
        <f>'Orig data'!CQ73</f>
        <v>0</v>
      </c>
      <c r="T82" s="80">
        <f t="shared" si="353"/>
        <v>53410.854018987346</v>
      </c>
      <c r="U82" s="80">
        <f t="shared" si="339"/>
        <v>247702.51139240508</v>
      </c>
      <c r="V82" s="80">
        <f t="shared" si="340"/>
        <v>25028.274588607597</v>
      </c>
      <c r="W82" s="80">
        <f t="shared" si="341"/>
        <v>0</v>
      </c>
      <c r="X82" s="79">
        <f t="shared" si="306"/>
        <v>2019</v>
      </c>
      <c r="Y82" s="79">
        <f t="shared" ref="Y82" si="368">$M79*P82*EXP($N79)</f>
        <v>117960.71991234076</v>
      </c>
      <c r="Z82" s="79">
        <f t="shared" si="152"/>
        <v>296299.03607938736</v>
      </c>
      <c r="AA82" s="79">
        <f t="shared" si="156"/>
        <v>70672.868558115224</v>
      </c>
      <c r="AB82" s="79">
        <f t="shared" si="161"/>
        <v>0</v>
      </c>
      <c r="AC82" s="80">
        <f t="shared" si="307"/>
        <v>484932.62454984331</v>
      </c>
      <c r="AD82" s="84">
        <f t="shared" si="342"/>
        <v>-158790.9845498433</v>
      </c>
      <c r="AE82" s="80">
        <f t="shared" si="308"/>
        <v>25862.640000000014</v>
      </c>
      <c r="AH82" s="61">
        <f t="shared" si="285"/>
        <v>2019</v>
      </c>
      <c r="AI82" s="74" cm="1">
        <f t="array" ref="AI82">IF(Uhistoric=1,J82,Uapply)</f>
        <v>0.2</v>
      </c>
      <c r="AJ82" s="75">
        <f t="shared" si="343"/>
        <v>161898.57462315189</v>
      </c>
      <c r="AK82" s="75">
        <f t="shared" si="344"/>
        <v>753515.87815653218</v>
      </c>
      <c r="AL82" s="75">
        <f t="shared" si="345"/>
        <v>156870.45083237861</v>
      </c>
      <c r="AM82" s="75">
        <f t="shared" si="346"/>
        <v>0</v>
      </c>
      <c r="AN82" s="79">
        <f t="shared" si="347"/>
        <v>1072284.9036120628</v>
      </c>
      <c r="AO82" s="80">
        <f t="shared" si="354"/>
        <v>214456.98072241258</v>
      </c>
      <c r="AP82" s="80">
        <f t="shared" si="348"/>
        <v>857827.92288965022</v>
      </c>
      <c r="AQ82" s="81">
        <f t="shared" si="355"/>
        <v>-0.19962127429742188</v>
      </c>
      <c r="AR82" s="81">
        <f t="shared" si="356"/>
        <v>0.27293199985684191</v>
      </c>
      <c r="AS82" s="81">
        <f t="shared" si="357"/>
        <v>-0.36569454050217348</v>
      </c>
      <c r="AT82" s="121">
        <f t="shared" si="349"/>
        <v>2.6378516138507848</v>
      </c>
      <c r="AU82" s="122">
        <f t="shared" si="358"/>
        <v>0.7959846428153432</v>
      </c>
      <c r="AV82" s="122"/>
      <c r="AW82" s="115">
        <f t="shared" si="287"/>
        <v>1931926.3207629817</v>
      </c>
      <c r="AX82" s="115"/>
      <c r="AY82" s="141">
        <f t="shared" si="315"/>
        <v>3.9785771024815006</v>
      </c>
      <c r="AZ82" s="141"/>
      <c r="BA82" s="139">
        <v>240</v>
      </c>
      <c r="BB82" s="101">
        <v>2019</v>
      </c>
      <c r="BC82" s="72">
        <v>3.5750695088044487E-2</v>
      </c>
      <c r="BD82" s="72">
        <v>0.8358758109360519</v>
      </c>
      <c r="BE82" s="72">
        <v>0.11956904541241889</v>
      </c>
      <c r="BF82" s="72">
        <v>8.3410565338276187E-3</v>
      </c>
      <c r="BG82" s="72">
        <v>4.6339202965708991E-4</v>
      </c>
      <c r="BJ82" s="72"/>
      <c r="BL82" s="120">
        <f t="shared" ref="BL82:BL103" si="369">$BL$81*deltaPred</f>
        <v>2.5024884869999999</v>
      </c>
      <c r="BM82" s="125">
        <f>AVERAGE(BM$72:BM$81)</f>
        <v>0.97934707710000013</v>
      </c>
      <c r="BN82" s="72">
        <f>AVERAGE(BN$72:BN$81)</f>
        <v>-0.57392922950000003</v>
      </c>
      <c r="BO82" s="98">
        <f t="shared" ref="BO82:BO103" si="370">IF(alphaV=1,$BF$10+SUMPRODUCT($BH$10:$BJ$10,BL82:BN82),0)+IF(alphaV=2,$BO$104,0)+IF(alphaV=3,$BO$105,0)+IF(alphaV=4,$BO$106,0)+IF(alphaV=5,BO109,0)</f>
        <v>0.70534238386420578</v>
      </c>
      <c r="BP82" s="94"/>
      <c r="BR82" s="199"/>
      <c r="CA82" s="78">
        <v>2019</v>
      </c>
      <c r="CB82" s="91">
        <f>byrate*AI82</f>
        <v>0.13799999999999998</v>
      </c>
      <c r="CC82" s="97">
        <f t="shared" si="252"/>
        <v>81.444363247646379</v>
      </c>
      <c r="CD82" s="97">
        <f t="shared" si="271"/>
        <v>1116.0862593995862</v>
      </c>
      <c r="CE82" s="97">
        <f t="shared" si="272"/>
        <v>195.59865207820724</v>
      </c>
      <c r="CF82" s="97">
        <f t="shared" si="273"/>
        <v>9.665475189510067</v>
      </c>
      <c r="CG82" s="97">
        <f t="shared" si="274"/>
        <v>0.51774428940371719</v>
      </c>
      <c r="CH82" s="92">
        <f t="shared" ref="CH82:CH88" si="371">SUM(CC82:CG82)</f>
        <v>1403.3124942043535</v>
      </c>
      <c r="CI82" s="210">
        <f>($CI$81)/($CH$81-$CK$81)*(CH82-CK82)</f>
        <v>14.796865408592572</v>
      </c>
      <c r="CJ82" s="92">
        <f t="shared" ref="CJ82:CJ103" si="372">BS82</f>
        <v>0</v>
      </c>
      <c r="CK82" s="92">
        <f t="shared" ref="CK82:CK88" si="373">CH82*CB82</f>
        <v>193.65712420020077</v>
      </c>
      <c r="CL82" s="92">
        <f t="shared" ref="CL82:CL88" si="374">SUM(CI82:CK82)</f>
        <v>208.45398960879334</v>
      </c>
      <c r="CM82" s="72">
        <f t="shared" si="229"/>
        <v>1.2232298368205297E-2</v>
      </c>
      <c r="CN82" s="128">
        <f t="shared" ref="CN82:CN88" si="375">CL82/CH82</f>
        <v>0.14854424119339296</v>
      </c>
      <c r="CO82" s="111">
        <f t="shared" si="279"/>
        <v>1194.8585045955601</v>
      </c>
      <c r="CP82" s="72">
        <f t="shared" si="232"/>
        <v>0.70534238386420578</v>
      </c>
      <c r="CQ82" s="96">
        <f t="shared" si="281"/>
        <v>4.0425653282709018</v>
      </c>
      <c r="CR82" s="92">
        <f t="shared" si="234"/>
        <v>4042.5653282709018</v>
      </c>
      <c r="CS82" s="120">
        <f t="shared" ref="CS82:CS103" si="376">IF(SSLcontrol =0,$CS$81*deltaPred,(1-SSLcontrol)*BL81+SSLcontrol*$CS$41)</f>
        <v>-0.90461819600000004</v>
      </c>
      <c r="CT82" s="72">
        <f>AVERAGE(CT$72:CT$81)</f>
        <v>0.97934707710000013</v>
      </c>
      <c r="CU82" s="72">
        <f>AVERAGE(CU$72:CU$81)</f>
        <v>-0.57392922950000003</v>
      </c>
      <c r="CV82" s="104">
        <f t="shared" ref="CV82:CV103" si="377">IF(alphaV=1,$BF$10+SUMPRODUCT($BH$10:$BJ$10,CS82:CU82),0)+IF(alphaV=2,$CV$104,0)+IF(alphaV=3,$CV$105,0)+IF(alphaV=4,$CV$106,0)+IF(alphaV=5,CV109,0)</f>
        <v>2.1800422333136753</v>
      </c>
      <c r="CW82" s="105">
        <f t="shared" si="318"/>
        <v>-0.19962127429742188</v>
      </c>
      <c r="CX82" s="105">
        <f t="shared" si="319"/>
        <v>0.27293199985684191</v>
      </c>
      <c r="CY82" s="105">
        <f t="shared" si="320"/>
        <v>-0.36569454050217348</v>
      </c>
      <c r="CZ82" s="123">
        <f t="shared" si="350"/>
        <v>-0.68849257550252763</v>
      </c>
      <c r="DA82" s="81">
        <f t="shared" si="351"/>
        <v>1.2366113750272465</v>
      </c>
      <c r="DB82" s="9">
        <f t="shared" si="321"/>
        <v>1931926.3207629817</v>
      </c>
      <c r="DD82" s="1">
        <f t="shared" si="322"/>
        <v>8.6150976179840004</v>
      </c>
      <c r="DE82" s="168">
        <v>120</v>
      </c>
      <c r="DF82" s="61">
        <v>2019</v>
      </c>
      <c r="DG82" s="26">
        <v>7.6142131979695434E-3</v>
      </c>
      <c r="DH82" s="26">
        <v>0.29512169725367693</v>
      </c>
      <c r="DI82" s="26">
        <v>0.6060236886632826</v>
      </c>
      <c r="DJ82" s="26">
        <v>8.8702329819081091E-2</v>
      </c>
      <c r="DK82" s="26">
        <v>2.5380710659898475E-3</v>
      </c>
      <c r="DO82" s="76" t="e">
        <f>NA()</f>
        <v>#N/A</v>
      </c>
      <c r="DP82" s="119">
        <f t="shared" si="359"/>
        <v>2.5024884869999999</v>
      </c>
      <c r="DQ82" s="109">
        <f t="shared" ref="DQ82:DS115" si="378">AVERAGE(DQ$71:DQ$80)</f>
        <v>1.1144526043</v>
      </c>
      <c r="DR82" s="109">
        <f t="shared" si="360"/>
        <v>-0.57392922950000003</v>
      </c>
      <c r="DS82" s="109">
        <f t="shared" si="360"/>
        <v>-0.15482546589999999</v>
      </c>
      <c r="DT82" s="113" cm="1">
        <f t="array" ref="DT82">IF(alphaV=1,$DN$11+SUMPRODUCT(DP$11:$DS$11*DP82:DS82),0)+IF(alphaV=2,$DY$104,0)+IF(alphaV=3,$DY$105,0)+IF(alphaV=4,$DY$106,0)+IF(alphaV=5,DY110,0)</f>
        <v>0.11617906224428368</v>
      </c>
      <c r="DU82" s="76" t="e">
        <f>NA()</f>
        <v>#N/A</v>
      </c>
      <c r="DV82" s="76" t="e">
        <f>NA()</f>
        <v>#N/A</v>
      </c>
      <c r="DW82" s="199"/>
      <c r="EE82" s="72">
        <f t="shared" si="189"/>
        <v>1.8766336221867335E-2</v>
      </c>
      <c r="EF82">
        <v>2019</v>
      </c>
      <c r="EG82" s="72">
        <f t="shared" si="361"/>
        <v>0.13799999999999998</v>
      </c>
      <c r="EH82" s="97">
        <f t="shared" si="220"/>
        <v>6.4497230624110768</v>
      </c>
      <c r="EI82" s="97">
        <f t="shared" si="238"/>
        <v>301.27522433407728</v>
      </c>
      <c r="EJ82" s="97">
        <f t="shared" si="243"/>
        <v>930.69420536464895</v>
      </c>
      <c r="EK82" s="97">
        <f t="shared" si="246"/>
        <v>121.78408950140999</v>
      </c>
      <c r="EL82" s="97">
        <f t="shared" si="248"/>
        <v>3.9251199495400346</v>
      </c>
      <c r="EM82" s="111">
        <f t="shared" si="196"/>
        <v>1364.1283622120875</v>
      </c>
      <c r="EN82" s="210">
        <f t="shared" ref="EN82:EN88" si="379">MAX($EN$80/($EM$80-$EP$80)*(EM82-EP82),0)</f>
        <v>22.066934068739361</v>
      </c>
      <c r="EO82" s="4">
        <v>0</v>
      </c>
      <c r="EP82" s="92">
        <f t="shared" si="278"/>
        <v>188.24971398526804</v>
      </c>
      <c r="EQ82" s="92">
        <f t="shared" si="239"/>
        <v>210.3166480540074</v>
      </c>
      <c r="ER82" s="128">
        <f t="shared" si="362"/>
        <v>0.15417658182324961</v>
      </c>
      <c r="ES82" s="111">
        <f t="shared" si="363"/>
        <v>1153.8117141580801</v>
      </c>
      <c r="ET82" s="72">
        <f t="shared" si="364"/>
        <v>0.11617906224428368</v>
      </c>
      <c r="EU82" s="96">
        <f>IF(SSLcontrol=0,$ES82/1000*EXP($ET82+$DO$11*$ES82/1000),$ES82/1000*EXP($FA82+$DO$11*$ES82/1000))</f>
        <v>1.799089408104855</v>
      </c>
      <c r="EV82" s="92">
        <f t="shared" si="205"/>
        <v>1799.089408104855</v>
      </c>
      <c r="EW82" s="120">
        <f t="shared" si="365"/>
        <v>-0.87704872899999997</v>
      </c>
      <c r="EX82" s="127">
        <f t="shared" ref="EX82:EZ103" si="380">DQ82</f>
        <v>1.1144526043</v>
      </c>
      <c r="EY82" s="9">
        <f t="shared" si="185"/>
        <v>-0.57392922950000003</v>
      </c>
      <c r="EZ82" s="9">
        <f t="shared" si="186"/>
        <v>-0.15482546589999999</v>
      </c>
      <c r="FA82" s="113" cm="1">
        <f t="array" ref="FA82">IF(alphaV=1,$DN$11+SUMPRODUCT($DP$11:$DS$11*EW82:EZ82),0)+IF(alphaV=2,$ES$115,0)+IF(alphaV=3,$ES$116,0)+IF(alphaV=4,$ES$117,0)+IF(alphaV=5,ES121,0)</f>
        <v>1.6239447871927648</v>
      </c>
      <c r="FB82" s="56">
        <v>2019</v>
      </c>
      <c r="FC82" s="116">
        <f t="shared" si="325"/>
        <v>857827.92288965022</v>
      </c>
      <c r="FD82" s="116">
        <f t="shared" si="290"/>
        <v>2239528.0707075573</v>
      </c>
      <c r="FE82" s="116">
        <f t="shared" si="159"/>
        <v>2259081.5700578</v>
      </c>
      <c r="FF82" s="116">
        <f t="shared" si="291"/>
        <v>1938424.6401960594</v>
      </c>
      <c r="FG82" s="5">
        <f t="shared" si="292"/>
        <v>301103.43051149789</v>
      </c>
      <c r="FH82" s="5">
        <f t="shared" si="155"/>
        <v>303732.38873259397</v>
      </c>
      <c r="FI82" s="117">
        <f t="shared" si="293"/>
        <v>0.1344495005219413</v>
      </c>
      <c r="FJ82" s="117">
        <f t="shared" si="326"/>
        <v>13.44495005219413</v>
      </c>
      <c r="FK82" s="61">
        <f t="shared" si="294"/>
        <v>7775.0525071201791</v>
      </c>
      <c r="FL82" s="61">
        <f t="shared" si="327"/>
        <v>288.04025035929459</v>
      </c>
      <c r="FM82" s="92">
        <f t="shared" si="328"/>
        <v>38.726867791022073</v>
      </c>
      <c r="FN82" s="72">
        <f t="shared" si="329"/>
        <v>0.1344495005219413</v>
      </c>
      <c r="FO82" s="92"/>
      <c r="FP82" s="92">
        <f t="shared" si="160"/>
        <v>39.26811465326513</v>
      </c>
      <c r="FQ82" s="1">
        <f t="shared" si="366"/>
        <v>0</v>
      </c>
      <c r="FS82">
        <f t="shared" si="296"/>
        <v>2019</v>
      </c>
      <c r="FT82" s="5">
        <f t="shared" si="241"/>
        <v>1194.8585045955601</v>
      </c>
      <c r="FU82" s="214">
        <f t="shared" si="297"/>
        <v>6247.5853266664017</v>
      </c>
      <c r="FV82" s="213">
        <f t="shared" si="331"/>
        <v>3600.4663819351358</v>
      </c>
      <c r="FW82" s="5">
        <f t="shared" si="332"/>
        <v>2647.1189447312659</v>
      </c>
      <c r="FX82" s="1">
        <f t="shared" si="333"/>
        <v>0.42370272774549211</v>
      </c>
      <c r="FY82">
        <f t="shared" si="298"/>
        <v>59954.093743432561</v>
      </c>
      <c r="FZ82" s="26">
        <f t="shared" si="334"/>
        <v>4.4152430292072165E-2</v>
      </c>
      <c r="GA82" s="106">
        <f t="shared" si="299"/>
        <v>1.4717476764024055E-3</v>
      </c>
      <c r="GB82" s="61">
        <f t="shared" si="335"/>
        <v>1153.8117141580801</v>
      </c>
      <c r="GC82" s="61">
        <f t="shared" si="207"/>
        <v>2606.9437473615662</v>
      </c>
      <c r="GD82" s="61">
        <f t="shared" si="247"/>
        <v>2551.010790878428</v>
      </c>
      <c r="GE82" s="61">
        <f t="shared" si="210"/>
        <v>1569.4112947311569</v>
      </c>
      <c r="GF82" s="61">
        <f t="shared" si="336"/>
        <v>1037.5324526304094</v>
      </c>
      <c r="GG82" s="61">
        <f t="shared" si="245"/>
        <v>1015.2718044742865</v>
      </c>
      <c r="GH82" s="6">
        <f t="shared" si="337"/>
        <v>0.39798804775917179</v>
      </c>
      <c r="GI82">
        <f t="shared" si="300"/>
        <v>9248.6922093424037</v>
      </c>
      <c r="GJ82" s="26">
        <f t="shared" si="367"/>
        <v>0.11218153109067293</v>
      </c>
      <c r="GK82">
        <f t="shared" si="301"/>
        <v>3.7393843696890976E-3</v>
      </c>
      <c r="GL82" s="232">
        <f t="shared" si="338"/>
        <v>1.2341408827186904</v>
      </c>
      <c r="GZ82" s="26">
        <f t="shared" si="267"/>
        <v>0.7959846428153432</v>
      </c>
      <c r="HA82" s="26">
        <f t="shared" si="268"/>
        <v>0.11617906224428368</v>
      </c>
      <c r="HB82" s="26">
        <f t="shared" si="269"/>
        <v>2.1800422333136753</v>
      </c>
    </row>
    <row r="83" spans="1:210" x14ac:dyDescent="0.35">
      <c r="A83" s="56">
        <v>2020</v>
      </c>
      <c r="B83" s="6">
        <f>(AP83-D83)/D83</f>
        <v>0.60989578721763238</v>
      </c>
      <c r="C83" s="169">
        <f>LN(D83/AP83)^2</f>
        <v>0.22673734365159823</v>
      </c>
      <c r="D83" s="115">
        <v>597731</v>
      </c>
      <c r="E83" s="82"/>
      <c r="F83" s="82"/>
      <c r="G83" s="80">
        <v>689792.89</v>
      </c>
      <c r="H83" s="82"/>
      <c r="I83" s="80">
        <v>92061.890000000014</v>
      </c>
      <c r="J83" s="149">
        <f t="shared" si="304"/>
        <v>0.13346308918898833</v>
      </c>
      <c r="K83" s="82"/>
      <c r="L83" s="82"/>
      <c r="M83" s="82"/>
      <c r="N83" s="82"/>
      <c r="O83" s="88">
        <f t="shared" si="352"/>
        <v>2020</v>
      </c>
      <c r="P83" s="81">
        <f>'Orig data'!CN74</f>
        <v>0.13646877409406322</v>
      </c>
      <c r="Q83" s="81">
        <f>'Orig data'!CO74</f>
        <v>0.84656900539707014</v>
      </c>
      <c r="R83" s="81">
        <f>'Orig data'!CP74</f>
        <v>1.6962220508866616E-2</v>
      </c>
      <c r="S83" s="85">
        <f>'Orig data'!CQ74</f>
        <v>0</v>
      </c>
      <c r="T83" s="80">
        <f t="shared" si="353"/>
        <v>94135.190077100997</v>
      </c>
      <c r="U83" s="80">
        <f t="shared" si="339"/>
        <v>583957.28081727063</v>
      </c>
      <c r="V83" s="80">
        <f t="shared" si="340"/>
        <v>11700.419105628374</v>
      </c>
      <c r="W83" s="80">
        <f t="shared" si="341"/>
        <v>0</v>
      </c>
      <c r="X83" s="79">
        <f t="shared" si="306"/>
        <v>2020</v>
      </c>
      <c r="Y83" s="79">
        <f t="shared" ref="Y83:Y88" si="381">$M80*P83*EXP($N80)</f>
        <v>0</v>
      </c>
      <c r="Z83" s="79">
        <f t="shared" ref="Z83:Z88" si="382">$M79*Q83*EXP($N79)</f>
        <v>609784.67688787635</v>
      </c>
      <c r="AA83" s="79">
        <f t="shared" ref="AA83:AA88" si="383">$M78*R83*EXP($N78)</f>
        <v>6617.421288948537</v>
      </c>
      <c r="AB83" s="79">
        <f t="shared" ref="AB83:AB88" si="384">$M77*S83*EXP($N77)</f>
        <v>0</v>
      </c>
      <c r="AC83" s="80">
        <f t="shared" ref="AC83:AC88" si="385">SUM(Y83:AB83)</f>
        <v>616402.09817682486</v>
      </c>
      <c r="AD83" s="84">
        <f t="shared" ref="AD83:AD88" si="386">G83-AC83</f>
        <v>73390.791823175154</v>
      </c>
      <c r="AE83" s="80">
        <f t="shared" si="308"/>
        <v>92061.890000000014</v>
      </c>
      <c r="AH83" s="61">
        <f t="shared" si="285"/>
        <v>2020</v>
      </c>
      <c r="AI83" s="74" cm="1">
        <f t="array" ref="AI83">IF(Uhistoric=1,J83,Uapply)</f>
        <v>0.2</v>
      </c>
      <c r="AJ83" s="75">
        <f>AW80*P83</f>
        <v>349110.5825541137</v>
      </c>
      <c r="AK83" s="75">
        <f t="shared" si="344"/>
        <v>836916.4759976872</v>
      </c>
      <c r="AL83" s="75">
        <f t="shared" si="345"/>
        <v>16828.714934927433</v>
      </c>
      <c r="AM83" s="75">
        <f t="shared" si="346"/>
        <v>0</v>
      </c>
      <c r="AN83" s="79">
        <f t="shared" si="347"/>
        <v>1202855.7734867283</v>
      </c>
      <c r="AO83" s="80">
        <f t="shared" si="354"/>
        <v>240571.15469734569</v>
      </c>
      <c r="AP83" s="115">
        <f t="shared" si="348"/>
        <v>962284.61878938263</v>
      </c>
      <c r="AQ83" s="81">
        <f t="shared" si="355"/>
        <v>-0.19962127429742188</v>
      </c>
      <c r="AR83" s="81">
        <f t="shared" si="356"/>
        <v>0.27293199985684191</v>
      </c>
      <c r="AS83" s="81">
        <f t="shared" si="357"/>
        <v>-0.36569454050217348</v>
      </c>
      <c r="AT83" s="121">
        <f t="shared" si="349"/>
        <v>2.6378516138507848</v>
      </c>
      <c r="AU83" s="122">
        <f t="shared" si="358"/>
        <v>0.7959846428153432</v>
      </c>
      <c r="AV83" s="122"/>
      <c r="AW83" s="115">
        <f t="shared" si="287"/>
        <v>2057936.9663088373</v>
      </c>
      <c r="AX83" s="115"/>
      <c r="AY83" s="141">
        <f t="shared" si="315"/>
        <v>6.3429461405095893</v>
      </c>
      <c r="AZ83" s="141"/>
      <c r="BA83" s="139">
        <v>257</v>
      </c>
      <c r="BB83" s="101">
        <v>2020</v>
      </c>
      <c r="BC83" s="72">
        <v>3.5750695088044487E-2</v>
      </c>
      <c r="BD83" s="72">
        <v>0.8358758109360519</v>
      </c>
      <c r="BE83" s="72">
        <v>0.11956904541241889</v>
      </c>
      <c r="BF83" s="72">
        <v>8.3410565338276187E-3</v>
      </c>
      <c r="BG83" s="72">
        <v>4.6339202965708991E-4</v>
      </c>
      <c r="BJ83" s="72"/>
      <c r="BL83" s="120">
        <f t="shared" si="369"/>
        <v>2.5024884869999999</v>
      </c>
      <c r="BM83" s="125">
        <f t="shared" ref="BM83:BM103" si="387">AVERAGE($BM$72:$BM$81)</f>
        <v>0.97934707710000013</v>
      </c>
      <c r="BN83" s="72">
        <f t="shared" ref="BN83:BN103" si="388">AVERAGE(BN$72:BN$81)</f>
        <v>-0.57392922950000003</v>
      </c>
      <c r="BO83" s="98">
        <f t="shared" si="370"/>
        <v>0.70534238386420578</v>
      </c>
      <c r="BP83" s="94"/>
      <c r="BR83" s="199"/>
      <c r="CA83" s="78">
        <v>2020</v>
      </c>
      <c r="CB83" s="91">
        <f t="shared" ref="CB83:CB113" si="389">byrate*AI83</f>
        <v>0.13799999999999998</v>
      </c>
      <c r="CC83" s="97">
        <f t="shared" si="252"/>
        <v>138.30637507199023</v>
      </c>
      <c r="CD83" s="97">
        <f t="shared" si="271"/>
        <v>1904.2251628434153</v>
      </c>
      <c r="CE83" s="97">
        <f t="shared" si="272"/>
        <v>159.65214794872836</v>
      </c>
      <c r="CF83" s="97">
        <f t="shared" si="273"/>
        <v>13.644830978598344</v>
      </c>
      <c r="CG83" s="97">
        <f t="shared" si="274"/>
        <v>0.53697084386167038</v>
      </c>
      <c r="CH83" s="92">
        <f t="shared" si="371"/>
        <v>2216.365487686594</v>
      </c>
      <c r="CI83" s="210">
        <f t="shared" ref="CI83:CI88" si="390">($CI$81)/($CH$81-$CK$81)*(CH83-CK83)</f>
        <v>23.369892274879476</v>
      </c>
      <c r="CJ83" s="92">
        <f t="shared" si="372"/>
        <v>0</v>
      </c>
      <c r="CK83" s="92">
        <f t="shared" si="373"/>
        <v>305.85843730074993</v>
      </c>
      <c r="CL83" s="92">
        <f t="shared" si="374"/>
        <v>329.2283295756294</v>
      </c>
      <c r="CM83" s="72">
        <f t="shared" si="229"/>
        <v>1.2232298368205297E-2</v>
      </c>
      <c r="CN83" s="128">
        <f t="shared" si="375"/>
        <v>0.14854424119339296</v>
      </c>
      <c r="CO83" s="111">
        <f t="shared" si="279"/>
        <v>1887.1371581109645</v>
      </c>
      <c r="CP83" s="72">
        <f t="shared" si="232"/>
        <v>0.70534238386420578</v>
      </c>
      <c r="CQ83" s="96">
        <f t="shared" si="281"/>
        <v>3.6583669008565565</v>
      </c>
      <c r="CR83" s="92">
        <f t="shared" si="234"/>
        <v>3658.3669008565566</v>
      </c>
      <c r="CS83" s="120">
        <f t="shared" si="376"/>
        <v>-0.90461819600000004</v>
      </c>
      <c r="CT83" s="72">
        <f t="shared" ref="CT83:CT102" si="391">AVERAGE($CT$72:$CT$81)</f>
        <v>0.97934707710000013</v>
      </c>
      <c r="CU83" s="72">
        <f t="shared" ref="CU83:CU103" si="392">AVERAGE(CU$72:CU$81)</f>
        <v>-0.57392922950000003</v>
      </c>
      <c r="CV83" s="104">
        <f t="shared" si="377"/>
        <v>2.1800422333136753</v>
      </c>
      <c r="CW83" s="105">
        <f t="shared" si="318"/>
        <v>-0.19962127429742188</v>
      </c>
      <c r="CX83" s="105">
        <f t="shared" si="319"/>
        <v>0.27293199985684191</v>
      </c>
      <c r="CY83" s="105">
        <f t="shared" si="320"/>
        <v>-0.36569454050217348</v>
      </c>
      <c r="CZ83" s="123">
        <f t="shared" si="350"/>
        <v>-0.68849257550252763</v>
      </c>
      <c r="DA83" s="81">
        <f t="shared" si="351"/>
        <v>1.2366113750272465</v>
      </c>
      <c r="DB83" s="9">
        <f t="shared" si="321"/>
        <v>2057936.9663088373</v>
      </c>
      <c r="DD83" s="1">
        <f t="shared" si="322"/>
        <v>21.613575605283646</v>
      </c>
      <c r="DE83" s="168">
        <v>38</v>
      </c>
      <c r="DF83" s="61">
        <v>2020</v>
      </c>
      <c r="DG83" s="26">
        <v>7.6142131979695434E-3</v>
      </c>
      <c r="DH83" s="26">
        <v>0.29512169725367693</v>
      </c>
      <c r="DI83" s="26">
        <v>0.6060236886632826</v>
      </c>
      <c r="DJ83" s="26">
        <v>8.8702329819081091E-2</v>
      </c>
      <c r="DK83" s="26">
        <v>2.5380710659898475E-3</v>
      </c>
      <c r="DO83" s="76" t="e">
        <f>NA()</f>
        <v>#N/A</v>
      </c>
      <c r="DP83" s="119">
        <f t="shared" si="359"/>
        <v>2.5024884869999999</v>
      </c>
      <c r="DQ83" s="109">
        <f t="shared" si="378"/>
        <v>1.1144526043</v>
      </c>
      <c r="DR83" s="109">
        <f t="shared" si="360"/>
        <v>-0.57392922950000003</v>
      </c>
      <c r="DS83" s="109">
        <f t="shared" si="360"/>
        <v>-0.15482546589999999</v>
      </c>
      <c r="DT83" s="113" cm="1">
        <f t="array" ref="DT83">IF(alphaV=1,$DN$11+SUMPRODUCT(DP$11:$DS$11*DP83:DS83),0)+IF(alphaV=2,$DY$104,0)+IF(alphaV=3,$DY$105,0)+IF(alphaV=4,$DY$106,0)+IF(alphaV=5,DY111,0)</f>
        <v>0.11617906224428368</v>
      </c>
      <c r="DU83" s="76" t="e">
        <f>NA()</f>
        <v>#N/A</v>
      </c>
      <c r="DV83" s="76" t="e">
        <f>NA()</f>
        <v>#N/A</v>
      </c>
      <c r="DW83" s="199"/>
      <c r="EE83" s="72">
        <f t="shared" si="189"/>
        <v>1.8766336221867335E-2</v>
      </c>
      <c r="EF83">
        <v>2020</v>
      </c>
      <c r="EG83" s="72">
        <f t="shared" si="361"/>
        <v>0.13799999999999998</v>
      </c>
      <c r="EH83" s="97">
        <f t="shared" si="220"/>
        <v>7.5969498971924176</v>
      </c>
      <c r="EI83" s="97">
        <f t="shared" si="238"/>
        <v>249.98685583200208</v>
      </c>
      <c r="EJ83" s="97">
        <f t="shared" si="243"/>
        <v>618.65977477371234</v>
      </c>
      <c r="EK83" s="97">
        <f t="shared" si="246"/>
        <v>136.2236260880415</v>
      </c>
      <c r="EL83" s="97">
        <f t="shared" si="248"/>
        <v>3.4846511302677836</v>
      </c>
      <c r="EM83" s="111">
        <f t="shared" si="196"/>
        <v>1015.9518577212161</v>
      </c>
      <c r="EN83" s="210">
        <f t="shared" si="379"/>
        <v>16.434628354909734</v>
      </c>
      <c r="EO83" s="4">
        <v>0</v>
      </c>
      <c r="EP83" s="92">
        <f t="shared" si="278"/>
        <v>140.2013563655278</v>
      </c>
      <c r="EQ83" s="92">
        <f t="shared" si="239"/>
        <v>156.63598472043753</v>
      </c>
      <c r="ER83" s="128">
        <f t="shared" si="362"/>
        <v>0.15417658182324961</v>
      </c>
      <c r="ES83" s="111">
        <f t="shared" si="363"/>
        <v>859.31587300077854</v>
      </c>
      <c r="ET83" s="72">
        <f t="shared" si="364"/>
        <v>0.11617906224428368</v>
      </c>
      <c r="EU83" s="96">
        <f>IF(SSLcontrol=0,$ES83/1000*EXP($ET83+$DO$11*$ES83/1000),$ES83/1000*EXP($FA83+$DO$11*$ES83/1000))</f>
        <v>1.8106817273558808</v>
      </c>
      <c r="EV83" s="92">
        <f t="shared" si="205"/>
        <v>1810.6817273558809</v>
      </c>
      <c r="EW83" s="120">
        <f t="shared" si="365"/>
        <v>-0.87704872899999997</v>
      </c>
      <c r="EX83" s="127">
        <f t="shared" si="380"/>
        <v>1.1144526043</v>
      </c>
      <c r="EY83" s="9">
        <f t="shared" si="185"/>
        <v>-0.57392922950000003</v>
      </c>
      <c r="EZ83" s="9">
        <f t="shared" si="186"/>
        <v>-0.15482546589999999</v>
      </c>
      <c r="FA83" s="113" cm="1">
        <f t="array" ref="FA83">IF(alphaV=1,$DN$11+SUMPRODUCT($DP$11:$DS$11*EW83:EZ83),0)+IF(alphaV=2,$ES$115,0)+IF(alphaV=3,$ES$116,0)+IF(alphaV=4,$ES$117,0)+IF(alphaV=5,ES122,0)</f>
        <v>1.6239447871927648</v>
      </c>
      <c r="FB83" s="56">
        <v>2020</v>
      </c>
      <c r="FC83" s="116">
        <f t="shared" si="325"/>
        <v>962284.61878938263</v>
      </c>
      <c r="FD83" s="116">
        <f t="shared" si="290"/>
        <v>2385602.1600115802</v>
      </c>
      <c r="FE83" s="116">
        <f t="shared" si="159"/>
        <v>1401300.4428739464</v>
      </c>
      <c r="FF83" s="116">
        <f t="shared" si="291"/>
        <v>2064859.1411539589</v>
      </c>
      <c r="FG83" s="5">
        <f t="shared" si="292"/>
        <v>320743.01885762135</v>
      </c>
      <c r="FH83" s="5">
        <f t="shared" ref="FH83:FH103" si="393">FG79</f>
        <v>188404.14462557714</v>
      </c>
      <c r="FI83" s="117">
        <f t="shared" si="293"/>
        <v>0.13444950052194135</v>
      </c>
      <c r="FJ83" s="117">
        <f t="shared" si="326"/>
        <v>13.444950052194136</v>
      </c>
      <c r="FK83" s="61">
        <f t="shared" si="294"/>
        <v>7775.0525071201791</v>
      </c>
      <c r="FL83" s="61">
        <f t="shared" si="327"/>
        <v>306.82778770007167</v>
      </c>
      <c r="FM83" s="92">
        <f t="shared" si="328"/>
        <v>41.252842802526892</v>
      </c>
      <c r="FN83" s="72">
        <f t="shared" si="329"/>
        <v>0.13444950052194135</v>
      </c>
      <c r="FO83" s="92"/>
      <c r="FP83" s="92">
        <f t="shared" si="160"/>
        <v>40.629918126801165</v>
      </c>
      <c r="FQ83" s="1">
        <f t="shared" si="366"/>
        <v>0</v>
      </c>
      <c r="FS83">
        <f t="shared" si="296"/>
        <v>2020</v>
      </c>
      <c r="FT83" s="5">
        <f t="shared" si="241"/>
        <v>1887.1371581109645</v>
      </c>
      <c r="FU83" s="214">
        <f t="shared" si="297"/>
        <v>5653.8256066054682</v>
      </c>
      <c r="FV83" s="213">
        <f t="shared" si="331"/>
        <v>3258.28427488942</v>
      </c>
      <c r="FW83" s="5">
        <f t="shared" si="332"/>
        <v>2395.5413317160483</v>
      </c>
      <c r="FX83" s="1">
        <f t="shared" si="333"/>
        <v>0.42370272774549206</v>
      </c>
      <c r="FY83">
        <f t="shared" si="298"/>
        <v>59954.093743432561</v>
      </c>
      <c r="FZ83" s="26">
        <f t="shared" si="334"/>
        <v>3.9956259566986757E-2</v>
      </c>
      <c r="GA83" s="106">
        <f t="shared" si="299"/>
        <v>1.3318753188995586E-3</v>
      </c>
      <c r="GB83" s="61">
        <f t="shared" si="335"/>
        <v>859.31587300077854</v>
      </c>
      <c r="GC83" s="61">
        <f t="shared" si="207"/>
        <v>2623.7414251494179</v>
      </c>
      <c r="GD83" s="61">
        <f t="shared" si="247"/>
        <v>2182.6118557918608</v>
      </c>
      <c r="GE83" s="61">
        <f t="shared" si="210"/>
        <v>1579.523697529334</v>
      </c>
      <c r="GF83" s="61">
        <f t="shared" si="336"/>
        <v>1044.2177276200839</v>
      </c>
      <c r="GG83" s="61">
        <f t="shared" si="245"/>
        <v>674.88098912581916</v>
      </c>
      <c r="GH83" s="6">
        <f t="shared" si="337"/>
        <v>0.39798804775917174</v>
      </c>
      <c r="GI83">
        <f t="shared" si="300"/>
        <v>9248.6922093424037</v>
      </c>
      <c r="GJ83" s="26">
        <f t="shared" si="367"/>
        <v>0.11290436571835376</v>
      </c>
      <c r="GK83">
        <f t="shared" si="301"/>
        <v>3.7634788572784585E-3</v>
      </c>
      <c r="GL83" s="232">
        <f t="shared" si="338"/>
        <v>1.2341408827186904</v>
      </c>
    </row>
    <row r="84" spans="1:210" x14ac:dyDescent="0.35">
      <c r="A84" s="56">
        <v>2021</v>
      </c>
      <c r="B84" s="6">
        <f t="shared" ref="B84:B87" si="394">(AP84-D84)/D84</f>
        <v>2.3695456875115992</v>
      </c>
      <c r="C84" s="169">
        <f t="shared" ref="C84:C87" si="395">LN(D84/AP84)^2</f>
        <v>1.4756854057287547</v>
      </c>
      <c r="D84" s="115">
        <v>532609</v>
      </c>
      <c r="E84" s="82"/>
      <c r="F84" s="82"/>
      <c r="G84" s="80">
        <v>560264</v>
      </c>
      <c r="H84" s="82"/>
      <c r="I84" s="80">
        <v>27655</v>
      </c>
      <c r="J84" s="149">
        <f t="shared" si="304"/>
        <v>4.9360658546685136E-2</v>
      </c>
      <c r="K84" s="82"/>
      <c r="L84" s="82"/>
      <c r="M84" s="82"/>
      <c r="N84" s="82"/>
      <c r="O84" s="88">
        <f t="shared" si="352"/>
        <v>2021</v>
      </c>
      <c r="P84" s="81">
        <f>'Orig data'!CN75</f>
        <v>0.33263743910925542</v>
      </c>
      <c r="Q84" s="81">
        <f>'Orig data'!CO75</f>
        <v>0.48851774530271397</v>
      </c>
      <c r="R84" s="81">
        <f>'Orig data'!CP75</f>
        <v>0.17884481558803061</v>
      </c>
      <c r="S84" s="85">
        <f>'Orig data'!CQ75</f>
        <v>0</v>
      </c>
      <c r="T84" s="80">
        <f t="shared" si="353"/>
        <v>186364.78218510788</v>
      </c>
      <c r="U84" s="80">
        <f t="shared" si="339"/>
        <v>273698.90605427977</v>
      </c>
      <c r="V84" s="80">
        <f t="shared" si="340"/>
        <v>100200.31176061239</v>
      </c>
      <c r="W84" s="80">
        <f t="shared" si="341"/>
        <v>0</v>
      </c>
      <c r="X84" s="79">
        <f t="shared" si="306"/>
        <v>2021</v>
      </c>
      <c r="Y84" s="79">
        <f t="shared" si="381"/>
        <v>0</v>
      </c>
      <c r="Z84" s="79">
        <f t="shared" si="382"/>
        <v>0</v>
      </c>
      <c r="AA84" s="79">
        <f t="shared" si="383"/>
        <v>128822.13663760071</v>
      </c>
      <c r="AB84" s="79">
        <f t="shared" si="384"/>
        <v>0</v>
      </c>
      <c r="AC84" s="80">
        <f t="shared" si="385"/>
        <v>128822.13663760071</v>
      </c>
      <c r="AD84" s="84">
        <f t="shared" si="386"/>
        <v>431441.86336239928</v>
      </c>
      <c r="AE84" s="80">
        <f t="shared" si="308"/>
        <v>27655</v>
      </c>
      <c r="AH84" s="61">
        <f t="shared" si="285"/>
        <v>2021</v>
      </c>
      <c r="AI84" s="74" cm="1">
        <f t="array" ref="AI84">IF(Uhistoric=1,J84,Uapply)</f>
        <v>0.2</v>
      </c>
      <c r="AJ84" s="75">
        <f t="shared" si="343"/>
        <v>816794.94452429865</v>
      </c>
      <c r="AK84" s="75">
        <f t="shared" si="344"/>
        <v>1249712.3666773811</v>
      </c>
      <c r="AL84" s="75">
        <f>AW79*R84</f>
        <v>176805.63764815198</v>
      </c>
      <c r="AM84" s="75">
        <f t="shared" si="346"/>
        <v>0</v>
      </c>
      <c r="AN84" s="79">
        <f t="shared" si="347"/>
        <v>2243312.9488498317</v>
      </c>
      <c r="AO84" s="80">
        <f t="shared" si="354"/>
        <v>448662.58976996638</v>
      </c>
      <c r="AP84" s="115">
        <f t="shared" si="348"/>
        <v>1794650.3590798653</v>
      </c>
      <c r="AQ84" s="81">
        <f t="shared" si="355"/>
        <v>-0.19962127429742188</v>
      </c>
      <c r="AR84" s="81">
        <f t="shared" si="356"/>
        <v>0.27293199985684191</v>
      </c>
      <c r="AS84" s="81">
        <f t="shared" si="357"/>
        <v>-0.36569454050217348</v>
      </c>
      <c r="AT84" s="121">
        <f t="shared" si="349"/>
        <v>2.6378516138507848</v>
      </c>
      <c r="AU84" s="122">
        <f t="shared" si="358"/>
        <v>0.7959846428153432</v>
      </c>
      <c r="AV84" s="122"/>
      <c r="AW84" s="115">
        <f t="shared" si="287"/>
        <v>2541677.9530914985</v>
      </c>
      <c r="AX84" s="115"/>
      <c r="AY84" s="141">
        <f t="shared" si="315"/>
        <v>14.184293583994327</v>
      </c>
      <c r="AZ84" s="141"/>
      <c r="BA84" s="139">
        <v>203</v>
      </c>
      <c r="BB84" s="101">
        <v>2021</v>
      </c>
      <c r="BC84" s="72">
        <v>3.5750695088044487E-2</v>
      </c>
      <c r="BD84" s="72">
        <v>0.8358758109360519</v>
      </c>
      <c r="BE84" s="72">
        <v>0.11956904541241889</v>
      </c>
      <c r="BF84" s="72">
        <v>8.3410565338276187E-3</v>
      </c>
      <c r="BG84" s="72">
        <v>4.6339202965708991E-4</v>
      </c>
      <c r="BJ84" s="72"/>
      <c r="BL84" s="120">
        <f t="shared" si="369"/>
        <v>2.5024884869999999</v>
      </c>
      <c r="BM84" s="125">
        <f t="shared" si="387"/>
        <v>0.97934707710000013</v>
      </c>
      <c r="BN84" s="72">
        <f t="shared" si="388"/>
        <v>-0.57392922950000003</v>
      </c>
      <c r="BO84" s="98">
        <f t="shared" si="370"/>
        <v>0.70534238386420578</v>
      </c>
      <c r="BP84" s="94"/>
      <c r="BR84" s="199"/>
      <c r="CA84" s="78">
        <v>2021</v>
      </c>
      <c r="CB84" s="91">
        <f t="shared" si="389"/>
        <v>0.13799999999999998</v>
      </c>
      <c r="CC84" s="97">
        <f t="shared" si="252"/>
        <v>102.18054582873694</v>
      </c>
      <c r="CD84" s="97">
        <f t="shared" si="271"/>
        <v>3233.6980619877822</v>
      </c>
      <c r="CE84" s="97">
        <f t="shared" si="272"/>
        <v>272.39259946584826</v>
      </c>
      <c r="CF84" s="97">
        <f t="shared" si="273"/>
        <v>11.137226923524826</v>
      </c>
      <c r="CG84" s="97">
        <f t="shared" si="274"/>
        <v>0.75804616547768577</v>
      </c>
      <c r="CH84" s="92">
        <f t="shared" si="371"/>
        <v>3620.1664803713697</v>
      </c>
      <c r="CI84" s="210">
        <f t="shared" si="390"/>
        <v>38.17190852927223</v>
      </c>
      <c r="CJ84" s="92">
        <f t="shared" si="372"/>
        <v>0</v>
      </c>
      <c r="CK84" s="92">
        <f t="shared" si="373"/>
        <v>499.58297429124895</v>
      </c>
      <c r="CL84" s="92">
        <f t="shared" si="374"/>
        <v>537.75488282052117</v>
      </c>
      <c r="CM84" s="72">
        <f t="shared" si="229"/>
        <v>1.2232298368205297E-2</v>
      </c>
      <c r="CN84" s="128">
        <f t="shared" si="375"/>
        <v>0.14854424119339293</v>
      </c>
      <c r="CO84" s="111">
        <f t="shared" si="279"/>
        <v>3082.4115975508485</v>
      </c>
      <c r="CP84" s="72">
        <f t="shared" si="232"/>
        <v>0.70534238386420578</v>
      </c>
      <c r="CQ84" s="96">
        <f t="shared" si="281"/>
        <v>2.2844905518571759</v>
      </c>
      <c r="CR84" s="92">
        <f t="shared" si="234"/>
        <v>2284.4905518571759</v>
      </c>
      <c r="CS84" s="120">
        <f t="shared" si="376"/>
        <v>-0.90461819600000004</v>
      </c>
      <c r="CT84" s="72">
        <f t="shared" si="391"/>
        <v>0.97934707710000013</v>
      </c>
      <c r="CU84" s="72">
        <f t="shared" si="392"/>
        <v>-0.57392922950000003</v>
      </c>
      <c r="CV84" s="104">
        <f t="shared" si="377"/>
        <v>2.1800422333136753</v>
      </c>
      <c r="CW84" s="105">
        <f t="shared" si="318"/>
        <v>-0.19962127429742188</v>
      </c>
      <c r="CX84" s="105">
        <f t="shared" si="319"/>
        <v>0.27293199985684191</v>
      </c>
      <c r="CY84" s="105">
        <f t="shared" si="320"/>
        <v>-0.36569454050217348</v>
      </c>
      <c r="CZ84" s="123">
        <f t="shared" si="350"/>
        <v>-0.68849257550252763</v>
      </c>
      <c r="DA84" s="81">
        <f t="shared" si="351"/>
        <v>1.2366113750272465</v>
      </c>
      <c r="DB84" s="9">
        <f t="shared" si="321"/>
        <v>2541677.9530914985</v>
      </c>
      <c r="DD84" s="1">
        <f t="shared" si="322"/>
        <v>39.532726512367439</v>
      </c>
      <c r="DE84" s="168">
        <v>19</v>
      </c>
      <c r="DF84" s="61">
        <v>2021</v>
      </c>
      <c r="DG84" s="26">
        <v>7.6142131979695434E-3</v>
      </c>
      <c r="DH84" s="26">
        <v>0.29512169725367693</v>
      </c>
      <c r="DI84" s="26">
        <v>0.6060236886632826</v>
      </c>
      <c r="DJ84" s="26">
        <v>8.8702329819081091E-2</v>
      </c>
      <c r="DK84" s="26">
        <v>2.5380710659898475E-3</v>
      </c>
      <c r="DO84" s="76" t="e">
        <f>NA()</f>
        <v>#N/A</v>
      </c>
      <c r="DP84" s="119">
        <f t="shared" si="359"/>
        <v>2.5024884869999999</v>
      </c>
      <c r="DQ84" s="109">
        <f t="shared" si="378"/>
        <v>1.1144526043</v>
      </c>
      <c r="DR84" s="109">
        <f t="shared" si="360"/>
        <v>-0.57392922950000003</v>
      </c>
      <c r="DS84" s="109">
        <f t="shared" si="360"/>
        <v>-0.15482546589999999</v>
      </c>
      <c r="DT84" s="113" cm="1">
        <f t="array" ref="DT84">IF(alphaV=1,$DN$11+SUMPRODUCT(DP$11:$DS$11*DP84:DS84),0)+IF(alphaV=2,$DY$104,0)+IF(alphaV=3,$DY$105,0)+IF(alphaV=4,$DY$106,0)+IF(alphaV=5,DY112,0)</f>
        <v>0.11617906224428368</v>
      </c>
      <c r="DU84" s="76" t="e">
        <f>NA()</f>
        <v>#N/A</v>
      </c>
      <c r="DV84" s="76" t="e">
        <f>NA()</f>
        <v>#N/A</v>
      </c>
      <c r="DW84" s="199"/>
      <c r="EE84" s="72">
        <f t="shared" si="189"/>
        <v>1.8766336221867335E-2</v>
      </c>
      <c r="EF84">
        <v>2021</v>
      </c>
      <c r="EG84" s="72">
        <f t="shared" si="361"/>
        <v>0.13799999999999998</v>
      </c>
      <c r="EH84" s="97">
        <f t="shared" si="220"/>
        <v>8.2566366578334325</v>
      </c>
      <c r="EI84" s="97">
        <f t="shared" si="238"/>
        <v>294.45258351952185</v>
      </c>
      <c r="EJ84" s="97">
        <f t="shared" si="243"/>
        <v>513.3406248962558</v>
      </c>
      <c r="EK84" s="97">
        <f t="shared" si="246"/>
        <v>90.551845438283905</v>
      </c>
      <c r="EL84" s="97">
        <f t="shared" si="248"/>
        <v>3.8978146863049288</v>
      </c>
      <c r="EM84" s="111">
        <f t="shared" si="196"/>
        <v>910.49950519819993</v>
      </c>
      <c r="EN84" s="210">
        <f t="shared" si="379"/>
        <v>14.728769745866995</v>
      </c>
      <c r="EO84" s="4">
        <v>0</v>
      </c>
      <c r="EP84" s="92">
        <f t="shared" si="278"/>
        <v>125.64893171735157</v>
      </c>
      <c r="EQ84" s="92">
        <f t="shared" si="239"/>
        <v>140.37770146321856</v>
      </c>
      <c r="ER84" s="128">
        <f t="shared" si="362"/>
        <v>0.15417658182324961</v>
      </c>
      <c r="ES84" s="111">
        <f t="shared" si="363"/>
        <v>770.12180373498131</v>
      </c>
      <c r="ET84" s="72">
        <f t="shared" si="364"/>
        <v>0.11617906224428368</v>
      </c>
      <c r="EU84" s="96">
        <f t="shared" si="280"/>
        <v>1.7776878884362737</v>
      </c>
      <c r="EV84" s="92">
        <f t="shared" si="205"/>
        <v>1777.6878884362736</v>
      </c>
      <c r="EW84" s="120">
        <f t="shared" si="365"/>
        <v>-0.87704872899999997</v>
      </c>
      <c r="EX84" s="127">
        <f t="shared" si="380"/>
        <v>1.1144526043</v>
      </c>
      <c r="EY84" s="9">
        <f t="shared" si="185"/>
        <v>-0.57392922950000003</v>
      </c>
      <c r="EZ84" s="9">
        <f t="shared" si="186"/>
        <v>-0.15482546589999999</v>
      </c>
      <c r="FA84" s="113" cm="1">
        <f t="array" ref="FA84">IF(alphaV=1,$DN$11+SUMPRODUCT($DP$11:$DS$11*EW84:EZ84),0)+IF(alphaV=2,$ES$115,0)+IF(alphaV=3,$ES$116,0)+IF(alphaV=4,$ES$117,0)+IF(alphaV=5,ES123,0)</f>
        <v>1.6239447871927648</v>
      </c>
      <c r="FB84" s="56">
        <v>2021</v>
      </c>
      <c r="FC84" s="116">
        <f t="shared" si="325"/>
        <v>1794650.3590798653</v>
      </c>
      <c r="FD84" s="116">
        <f t="shared" si="290"/>
        <v>2946364.4971713587</v>
      </c>
      <c r="FE84" s="116">
        <f t="shared" ref="FE84:FE103" si="396">MAX(AN84,H84,FD80)</f>
        <v>2965484.6093096253</v>
      </c>
      <c r="FF84" s="116">
        <f t="shared" si="291"/>
        <v>2550227.2621710892</v>
      </c>
      <c r="FG84" s="5">
        <f t="shared" si="292"/>
        <v>396137.23500026949</v>
      </c>
      <c r="FH84" s="5">
        <f t="shared" si="393"/>
        <v>398707.92452718318</v>
      </c>
      <c r="FI84" s="117">
        <f t="shared" si="293"/>
        <v>0.13444950052194116</v>
      </c>
      <c r="FJ84" s="117">
        <f t="shared" si="326"/>
        <v>13.444950052194116</v>
      </c>
      <c r="FK84" s="61">
        <f t="shared" si="294"/>
        <v>7775.0525071201791</v>
      </c>
      <c r="FL84" s="61">
        <f t="shared" si="327"/>
        <v>378.9510738960488</v>
      </c>
      <c r="FM84" s="92">
        <f t="shared" si="328"/>
        <v>50.949782607576978</v>
      </c>
      <c r="FN84" s="72">
        <f t="shared" si="329"/>
        <v>0.13444950052194116</v>
      </c>
      <c r="FO84" s="92"/>
      <c r="FP84" s="92">
        <f t="shared" ref="FP84:FP103" si="397">AVERAGE(FM79:FM84)</f>
        <v>42.610716031017972</v>
      </c>
      <c r="FQ84" s="1">
        <f t="shared" si="366"/>
        <v>0</v>
      </c>
      <c r="FS84">
        <f t="shared" si="296"/>
        <v>2021</v>
      </c>
      <c r="FT84" s="5">
        <f t="shared" si="241"/>
        <v>3082.4115975508485</v>
      </c>
      <c r="FU84" s="214">
        <f t="shared" si="297"/>
        <v>3530.5674718176097</v>
      </c>
      <c r="FV84" s="213">
        <f t="shared" si="331"/>
        <v>2034.6564035189831</v>
      </c>
      <c r="FW84" s="5">
        <f t="shared" si="332"/>
        <v>1495.9110682986266</v>
      </c>
      <c r="FX84" s="1">
        <f t="shared" si="333"/>
        <v>0.42370272774549195</v>
      </c>
      <c r="FY84">
        <f t="shared" si="298"/>
        <v>59954.093743432561</v>
      </c>
      <c r="FZ84" s="26">
        <f t="shared" si="334"/>
        <v>2.4950941210123628E-2</v>
      </c>
      <c r="GA84" s="106">
        <f t="shared" si="299"/>
        <v>8.3169804033745426E-4</v>
      </c>
      <c r="GB84" s="61">
        <f t="shared" si="335"/>
        <v>770.12180373498131</v>
      </c>
      <c r="GC84" s="61">
        <f t="shared" si="207"/>
        <v>2575.9321936095962</v>
      </c>
      <c r="GD84" s="61">
        <f t="shared" si="247"/>
        <v>1979.7109845490588</v>
      </c>
      <c r="GE84" s="61">
        <f t="shared" si="210"/>
        <v>1550.741968714912</v>
      </c>
      <c r="GF84" s="61">
        <f t="shared" si="336"/>
        <v>1025.1902248946842</v>
      </c>
      <c r="GG84" s="61">
        <f t="shared" si="245"/>
        <v>559.99087513839106</v>
      </c>
      <c r="GH84" s="6">
        <f t="shared" si="337"/>
        <v>0.39798804775917185</v>
      </c>
      <c r="GI84">
        <f t="shared" si="300"/>
        <v>9248.6922093424037</v>
      </c>
      <c r="GJ84" s="26">
        <f t="shared" si="367"/>
        <v>0.1108470475273365</v>
      </c>
      <c r="GK84">
        <f t="shared" si="301"/>
        <v>3.6949015842445499E-3</v>
      </c>
      <c r="GL84" s="232">
        <f t="shared" si="338"/>
        <v>1.2341408827186904</v>
      </c>
    </row>
    <row r="85" spans="1:210" x14ac:dyDescent="0.35">
      <c r="A85" s="56">
        <v>2022</v>
      </c>
      <c r="B85" s="6">
        <f t="shared" si="394"/>
        <v>0.6998725614069371</v>
      </c>
      <c r="C85" s="169">
        <f t="shared" si="395"/>
        <v>0.28148678756000256</v>
      </c>
      <c r="D85" s="115">
        <v>1134524</v>
      </c>
      <c r="E85" s="82"/>
      <c r="F85" s="82"/>
      <c r="G85" s="80">
        <v>1240224</v>
      </c>
      <c r="H85" s="82"/>
      <c r="I85" s="80">
        <v>105700</v>
      </c>
      <c r="J85" s="149">
        <f t="shared" si="304"/>
        <v>8.5226539721856703E-2</v>
      </c>
      <c r="K85" s="82"/>
      <c r="L85" s="82"/>
      <c r="M85" s="82"/>
      <c r="N85" s="82"/>
      <c r="O85" s="88">
        <f t="shared" si="352"/>
        <v>2022</v>
      </c>
      <c r="P85" s="81">
        <f>'Orig data'!CN76</f>
        <v>0.10741516534518507</v>
      </c>
      <c r="Q85" s="81">
        <f>'Orig data'!CO76</f>
        <v>0.75930233821489568</v>
      </c>
      <c r="R85" s="81">
        <f>'Orig data'!CP76</f>
        <v>0.13183604264117066</v>
      </c>
      <c r="S85" s="85">
        <f>'Orig data'!CQ76</f>
        <v>1.4464537987485602E-3</v>
      </c>
      <c r="T85" s="80">
        <f t="shared" si="353"/>
        <v>133218.86602506682</v>
      </c>
      <c r="U85" s="80">
        <f t="shared" si="339"/>
        <v>941704.98311023077</v>
      </c>
      <c r="V85" s="80">
        <f t="shared" si="340"/>
        <v>163506.22414860324</v>
      </c>
      <c r="W85" s="80">
        <f t="shared" si="341"/>
        <v>1793.9267160991344</v>
      </c>
      <c r="X85" s="79">
        <f t="shared" si="306"/>
        <v>2022</v>
      </c>
      <c r="Y85" s="79">
        <f t="shared" si="381"/>
        <v>0</v>
      </c>
      <c r="Z85" s="79">
        <f t="shared" si="382"/>
        <v>0</v>
      </c>
      <c r="AA85" s="79">
        <f t="shared" si="383"/>
        <v>0</v>
      </c>
      <c r="AB85" s="79">
        <f t="shared" si="384"/>
        <v>1041.8824179482353</v>
      </c>
      <c r="AC85" s="80">
        <f t="shared" si="385"/>
        <v>1041.8824179482353</v>
      </c>
      <c r="AD85" s="84">
        <f t="shared" si="386"/>
        <v>1239182.1175820518</v>
      </c>
      <c r="AE85" s="80">
        <f t="shared" si="308"/>
        <v>105700</v>
      </c>
      <c r="AH85" s="61">
        <f t="shared" si="285"/>
        <v>2022</v>
      </c>
      <c r="AI85" s="74" cm="1">
        <f t="array" ref="AI85">IF(Uhistoric=1,J85,Uapply)</f>
        <v>0.2</v>
      </c>
      <c r="AJ85" s="75">
        <f t="shared" si="343"/>
        <v>207518.18517947072</v>
      </c>
      <c r="AK85" s="75">
        <f t="shared" si="344"/>
        <v>1864475.3665738208</v>
      </c>
      <c r="AL85" s="75">
        <f t="shared" si="345"/>
        <v>337259.25915011426</v>
      </c>
      <c r="AM85" s="75">
        <f t="shared" si="346"/>
        <v>1429.96141864929</v>
      </c>
      <c r="AN85" s="79">
        <f t="shared" si="347"/>
        <v>2410682.772322055</v>
      </c>
      <c r="AO85" s="80">
        <f t="shared" si="354"/>
        <v>482136.55446441099</v>
      </c>
      <c r="AP85" s="115">
        <f t="shared" si="348"/>
        <v>1928546.217857644</v>
      </c>
      <c r="AQ85" s="81">
        <f t="shared" si="355"/>
        <v>-0.19962127429742188</v>
      </c>
      <c r="AR85" s="81">
        <f t="shared" si="356"/>
        <v>0.27293199985684191</v>
      </c>
      <c r="AS85" s="81">
        <f t="shared" si="357"/>
        <v>-0.36569454050217348</v>
      </c>
      <c r="AT85" s="121">
        <f t="shared" si="349"/>
        <v>2.6378516138507848</v>
      </c>
      <c r="AU85" s="122">
        <f t="shared" si="358"/>
        <v>0.7959846428153432</v>
      </c>
      <c r="AV85" s="122"/>
      <c r="AW85" s="115">
        <f t="shared" si="287"/>
        <v>2556103.3710869965</v>
      </c>
      <c r="AX85" s="115"/>
      <c r="AY85" s="141">
        <f t="shared" si="315"/>
        <v>23.491552079949813</v>
      </c>
      <c r="AZ85" s="141"/>
      <c r="BA85" s="139">
        <v>104</v>
      </c>
      <c r="BB85" s="101">
        <v>2022</v>
      </c>
      <c r="BC85" s="72">
        <v>3.5750695088044487E-2</v>
      </c>
      <c r="BD85" s="72">
        <v>0.8358758109360519</v>
      </c>
      <c r="BE85" s="72">
        <v>0.11956904541241889</v>
      </c>
      <c r="BF85" s="72">
        <v>8.3410565338276187E-3</v>
      </c>
      <c r="BG85" s="72">
        <v>4.6339202965708991E-4</v>
      </c>
      <c r="BJ85" s="72"/>
      <c r="BL85" s="120">
        <f t="shared" si="369"/>
        <v>2.5024884869999999</v>
      </c>
      <c r="BM85" s="125">
        <f t="shared" si="387"/>
        <v>0.97934707710000013</v>
      </c>
      <c r="BN85" s="72">
        <f t="shared" si="388"/>
        <v>-0.57392922950000003</v>
      </c>
      <c r="BO85" s="98">
        <f t="shared" si="370"/>
        <v>0.70534238386420578</v>
      </c>
      <c r="BP85" s="94"/>
      <c r="BR85" s="199"/>
      <c r="CA85" s="78">
        <v>2022</v>
      </c>
      <c r="CB85" s="91">
        <f t="shared" si="389"/>
        <v>0.13799999999999998</v>
      </c>
      <c r="CC85" s="97">
        <f t="shared" si="252"/>
        <v>120.24907331677012</v>
      </c>
      <c r="CD85" s="97">
        <f t="shared" si="271"/>
        <v>2389.0513567957519</v>
      </c>
      <c r="CE85" s="97">
        <f t="shared" si="272"/>
        <v>462.56894309560113</v>
      </c>
      <c r="CF85" s="97">
        <f t="shared" si="273"/>
        <v>19.001925320254504</v>
      </c>
      <c r="CG85" s="97">
        <f t="shared" si="274"/>
        <v>0.61873482908471256</v>
      </c>
      <c r="CH85" s="92">
        <f t="shared" si="371"/>
        <v>2991.4900333574624</v>
      </c>
      <c r="CI85" s="210">
        <f t="shared" si="390"/>
        <v>31.542992439352254</v>
      </c>
      <c r="CJ85" s="92">
        <f t="shared" si="372"/>
        <v>0</v>
      </c>
      <c r="CK85" s="92">
        <f t="shared" si="373"/>
        <v>412.82562460332974</v>
      </c>
      <c r="CL85" s="92">
        <f t="shared" si="374"/>
        <v>444.36861704268199</v>
      </c>
      <c r="CM85" s="72">
        <f t="shared" si="229"/>
        <v>1.2232298368205297E-2</v>
      </c>
      <c r="CN85" s="128">
        <f t="shared" si="375"/>
        <v>0.14854424119339293</v>
      </c>
      <c r="CO85" s="111">
        <f t="shared" si="279"/>
        <v>2547.1214163147806</v>
      </c>
      <c r="CP85" s="72">
        <f t="shared" si="232"/>
        <v>0.70534238386420578</v>
      </c>
      <c r="CQ85" s="96">
        <f t="shared" si="281"/>
        <v>2.9037494674540869</v>
      </c>
      <c r="CR85" s="92">
        <f t="shared" si="234"/>
        <v>2903.7494674540867</v>
      </c>
      <c r="CS85" s="120">
        <f t="shared" si="376"/>
        <v>-0.90461819600000004</v>
      </c>
      <c r="CT85" s="72">
        <f t="shared" si="391"/>
        <v>0.97934707710000013</v>
      </c>
      <c r="CU85" s="72">
        <f t="shared" si="392"/>
        <v>-0.57392922950000003</v>
      </c>
      <c r="CV85" s="104">
        <f t="shared" si="377"/>
        <v>2.1800422333136753</v>
      </c>
      <c r="CW85" s="105">
        <f t="shared" si="318"/>
        <v>-0.19962127429742188</v>
      </c>
      <c r="CX85" s="105">
        <f t="shared" si="319"/>
        <v>0.27293199985684191</v>
      </c>
      <c r="CY85" s="105">
        <f t="shared" si="320"/>
        <v>-0.36569454050217348</v>
      </c>
      <c r="CZ85" s="123">
        <f t="shared" si="350"/>
        <v>-0.68849257550252763</v>
      </c>
      <c r="DA85" s="81">
        <f t="shared" si="351"/>
        <v>1.2366113750272465</v>
      </c>
      <c r="DB85" s="9">
        <f t="shared" si="321"/>
        <v>2556103.3710869965</v>
      </c>
      <c r="DD85" s="1">
        <f t="shared" si="322"/>
        <v>44.227119189537547</v>
      </c>
      <c r="DE85" s="168">
        <v>19</v>
      </c>
      <c r="DF85" s="61">
        <v>2022</v>
      </c>
      <c r="DG85" s="26">
        <v>7.6142131979695434E-3</v>
      </c>
      <c r="DH85" s="26">
        <v>0.29512169725367693</v>
      </c>
      <c r="DI85" s="26">
        <v>0.6060236886632826</v>
      </c>
      <c r="DJ85" s="26">
        <v>8.8702329819081091E-2</v>
      </c>
      <c r="DK85" s="26">
        <v>2.5380710659898475E-3</v>
      </c>
      <c r="DO85" s="76" t="e">
        <f>NA()</f>
        <v>#N/A</v>
      </c>
      <c r="DP85" s="119">
        <f t="shared" si="359"/>
        <v>2.5024884869999999</v>
      </c>
      <c r="DQ85" s="109">
        <f t="shared" si="378"/>
        <v>1.1144526043</v>
      </c>
      <c r="DR85" s="109">
        <f t="shared" si="360"/>
        <v>-0.57392922950000003</v>
      </c>
      <c r="DS85" s="109">
        <f t="shared" si="360"/>
        <v>-0.15482546589999999</v>
      </c>
      <c r="DT85" s="113" cm="1">
        <f t="array" ref="DT85">IF(alphaV=1,$DN$11+SUMPRODUCT(DP$11:$DS$11*DP85:DS85),0)+IF(alphaV=2,$DY$104,0)+IF(alphaV=3,$DY$105,0)+IF(alphaV=4,$DY$106,0)+IF(alphaV=5,DY113,0)</f>
        <v>0.11617906224428368</v>
      </c>
      <c r="DU85" s="76" t="e">
        <f>NA()</f>
        <v>#N/A</v>
      </c>
      <c r="DV85" s="76" t="e">
        <f>NA()</f>
        <v>#N/A</v>
      </c>
      <c r="DW85" s="199"/>
      <c r="EE85" s="72">
        <f t="shared" si="189"/>
        <v>1.8766336221867339E-2</v>
      </c>
      <c r="EF85">
        <v>2022</v>
      </c>
      <c r="EG85" s="72">
        <f t="shared" si="361"/>
        <v>0.13799999999999998</v>
      </c>
      <c r="EH85" s="97">
        <f t="shared" si="220"/>
        <v>13.552354461300432</v>
      </c>
      <c r="EI85" s="97">
        <f t="shared" si="238"/>
        <v>320.02159129409711</v>
      </c>
      <c r="EJ85" s="97">
        <f t="shared" si="243"/>
        <v>604.64968337298581</v>
      </c>
      <c r="EK85" s="97">
        <f t="shared" si="246"/>
        <v>75.136517385182032</v>
      </c>
      <c r="EL85" s="97">
        <f t="shared" si="248"/>
        <v>2.5909919090924962</v>
      </c>
      <c r="EM85" s="111">
        <f t="shared" si="196"/>
        <v>1015.9511384226579</v>
      </c>
      <c r="EN85" s="210">
        <f t="shared" si="379"/>
        <v>16.434616719117752</v>
      </c>
      <c r="EO85" s="4">
        <v>0</v>
      </c>
      <c r="EP85" s="92">
        <f t="shared" si="278"/>
        <v>140.20125710232676</v>
      </c>
      <c r="EQ85" s="92">
        <f t="shared" si="239"/>
        <v>156.63587382144451</v>
      </c>
      <c r="ER85" s="128">
        <f t="shared" si="362"/>
        <v>0.15417658182324961</v>
      </c>
      <c r="ES85" s="111">
        <f t="shared" si="363"/>
        <v>859.31526460121336</v>
      </c>
      <c r="ET85" s="72">
        <f t="shared" si="364"/>
        <v>0.11617906224428368</v>
      </c>
      <c r="EU85" s="96">
        <f t="shared" si="280"/>
        <v>1.8106815717532181</v>
      </c>
      <c r="EV85" s="92">
        <f t="shared" si="205"/>
        <v>1810.6815717532181</v>
      </c>
      <c r="EW85" s="120">
        <f t="shared" si="365"/>
        <v>-0.87704872899999997</v>
      </c>
      <c r="EX85" s="127">
        <f t="shared" si="380"/>
        <v>1.1144526043</v>
      </c>
      <c r="EY85" s="9">
        <f t="shared" si="185"/>
        <v>-0.57392922950000003</v>
      </c>
      <c r="EZ85" s="9">
        <f t="shared" si="186"/>
        <v>-0.15482546589999999</v>
      </c>
      <c r="FA85" s="113" cm="1">
        <f t="array" ref="FA85">IF(alphaV=1,$DN$11+SUMPRODUCT($DP$11:$DS$11*EW85:EZ85),0)+IF(alphaV=2,$ES$115,0)+IF(alphaV=3,$ES$116,0)+IF(alphaV=4,$ES$117,0)+IF(alphaV=5,ES124,0)</f>
        <v>1.6239447871927648</v>
      </c>
      <c r="FB85" s="56">
        <v>2022</v>
      </c>
      <c r="FC85" s="116">
        <f t="shared" si="325"/>
        <v>1928546.217857644</v>
      </c>
      <c r="FD85" s="116">
        <f t="shared" si="290"/>
        <v>2963086.7335141245</v>
      </c>
      <c r="FE85" s="116">
        <f t="shared" si="396"/>
        <v>2846478.209551319</v>
      </c>
      <c r="FF85" s="116">
        <f t="shared" si="291"/>
        <v>2564701.2021899601</v>
      </c>
      <c r="FG85" s="5">
        <f t="shared" si="292"/>
        <v>398385.53132416448</v>
      </c>
      <c r="FH85" s="5">
        <f t="shared" si="393"/>
        <v>382707.57352076471</v>
      </c>
      <c r="FI85" s="117">
        <f t="shared" si="293"/>
        <v>0.13444950052194124</v>
      </c>
      <c r="FJ85" s="117">
        <f t="shared" si="326"/>
        <v>13.444950052194123</v>
      </c>
      <c r="FK85" s="61">
        <f t="shared" si="294"/>
        <v>7775.0525071201791</v>
      </c>
      <c r="FL85" s="61">
        <f t="shared" si="327"/>
        <v>381.10182931891603</v>
      </c>
      <c r="FM85" s="92">
        <f t="shared" si="328"/>
        <v>51.238950599926362</v>
      </c>
      <c r="FN85" s="72">
        <f t="shared" si="329"/>
        <v>0.13444950052194124</v>
      </c>
      <c r="FO85" s="92"/>
      <c r="FP85" s="92">
        <f t="shared" si="397"/>
        <v>47.111894351170626</v>
      </c>
      <c r="FQ85" s="1">
        <f t="shared" si="366"/>
        <v>0</v>
      </c>
      <c r="FS85">
        <f t="shared" si="296"/>
        <v>2022</v>
      </c>
      <c r="FT85" s="5">
        <f t="shared" si="241"/>
        <v>2547.1214163147806</v>
      </c>
      <c r="FU85" s="214">
        <f t="shared" si="297"/>
        <v>4487.6015826665771</v>
      </c>
      <c r="FV85" s="213">
        <f t="shared" si="331"/>
        <v>2586.1925510557617</v>
      </c>
      <c r="FW85" s="5">
        <f t="shared" si="332"/>
        <v>1901.4090316108154</v>
      </c>
      <c r="FX85" s="1">
        <f t="shared" si="333"/>
        <v>0.42370272774549195</v>
      </c>
      <c r="FY85">
        <f t="shared" si="298"/>
        <v>59954.093743432561</v>
      </c>
      <c r="FZ85" s="26">
        <f t="shared" si="334"/>
        <v>3.1714415361654896E-2</v>
      </c>
      <c r="GA85" s="106">
        <f t="shared" si="299"/>
        <v>1.0571471787218299E-3</v>
      </c>
      <c r="GB85" s="61">
        <f t="shared" si="335"/>
        <v>859.31526460121336</v>
      </c>
      <c r="GC85" s="61">
        <f t="shared" si="207"/>
        <v>2623.7411996756937</v>
      </c>
      <c r="GD85" s="61">
        <f t="shared" si="247"/>
        <v>1913.3984994838197</v>
      </c>
      <c r="GE85" s="61">
        <f t="shared" si="210"/>
        <v>1579.523561791457</v>
      </c>
      <c r="GF85" s="61">
        <f t="shared" si="336"/>
        <v>1044.2176378842366</v>
      </c>
      <c r="GG85" s="61">
        <f t="shared" si="245"/>
        <v>659.59771918035722</v>
      </c>
      <c r="GH85" s="6">
        <f t="shared" si="337"/>
        <v>0.39798804775917179</v>
      </c>
      <c r="GI85">
        <f t="shared" si="300"/>
        <v>9248.6922093424037</v>
      </c>
      <c r="GJ85" s="26">
        <f t="shared" si="367"/>
        <v>0.1129043560158093</v>
      </c>
      <c r="GK85">
        <f t="shared" si="301"/>
        <v>3.7634785338603099E-3</v>
      </c>
      <c r="GL85" s="232">
        <f t="shared" si="338"/>
        <v>1.2341408827186904</v>
      </c>
    </row>
    <row r="86" spans="1:210" x14ac:dyDescent="0.35">
      <c r="A86" s="56">
        <v>2023</v>
      </c>
      <c r="B86" s="6">
        <f t="shared" si="394"/>
        <v>1.5989083678038309</v>
      </c>
      <c r="C86" s="169">
        <f t="shared" si="395"/>
        <v>0.91219977017302567</v>
      </c>
      <c r="D86" s="115">
        <v>620382</v>
      </c>
      <c r="E86" s="82"/>
      <c r="F86" s="82"/>
      <c r="G86" s="80">
        <v>665441</v>
      </c>
      <c r="H86" s="82"/>
      <c r="I86" s="80">
        <v>45059</v>
      </c>
      <c r="J86" s="149">
        <f t="shared" si="304"/>
        <v>6.7712990332726722E-2</v>
      </c>
      <c r="K86" s="82"/>
      <c r="L86" s="82"/>
      <c r="M86" s="82"/>
      <c r="N86" s="82"/>
      <c r="O86" s="88">
        <f t="shared" si="352"/>
        <v>2023</v>
      </c>
      <c r="P86" s="81">
        <f>'Orig data'!CN77</f>
        <v>0.10741516534518507</v>
      </c>
      <c r="Q86" s="81">
        <f>'Orig data'!CO77</f>
        <v>0.75930233821489568</v>
      </c>
      <c r="R86" s="81">
        <f>'Orig data'!CP77</f>
        <v>0.13183604264117066</v>
      </c>
      <c r="S86" s="85">
        <f>'Orig data'!CQ77</f>
        <v>1.4464537987485602E-3</v>
      </c>
      <c r="T86" s="80">
        <f t="shared" si="353"/>
        <v>71478.455042465299</v>
      </c>
      <c r="U86" s="80">
        <f t="shared" si="339"/>
        <v>505270.90724405838</v>
      </c>
      <c r="V86" s="80">
        <f t="shared" si="340"/>
        <v>87729.108051183241</v>
      </c>
      <c r="W86" s="80">
        <f>$G86*S86</f>
        <v>962.5296622930407</v>
      </c>
      <c r="X86" s="79">
        <f t="shared" si="306"/>
        <v>2023</v>
      </c>
      <c r="Y86" s="79">
        <f t="shared" si="381"/>
        <v>0</v>
      </c>
      <c r="Z86" s="79">
        <f t="shared" si="382"/>
        <v>0</v>
      </c>
      <c r="AA86" s="79">
        <f t="shared" si="383"/>
        <v>0</v>
      </c>
      <c r="AB86" s="79">
        <f t="shared" si="384"/>
        <v>0</v>
      </c>
      <c r="AC86" s="80">
        <f t="shared" si="385"/>
        <v>0</v>
      </c>
      <c r="AD86" s="84">
        <f t="shared" si="386"/>
        <v>665441</v>
      </c>
      <c r="AE86" s="80">
        <f t="shared" si="308"/>
        <v>45059</v>
      </c>
      <c r="AH86" s="61">
        <f t="shared" si="285"/>
        <v>2023</v>
      </c>
      <c r="AI86" s="74" cm="1">
        <f t="array" ref="AI86">IF(Uhistoric=1,J86,Uapply)</f>
        <v>0.2</v>
      </c>
      <c r="AJ86" s="75">
        <f t="shared" si="343"/>
        <v>221053.63950603231</v>
      </c>
      <c r="AK86" s="75">
        <f t="shared" si="344"/>
        <v>1466916.1726142326</v>
      </c>
      <c r="AL86" s="75">
        <f t="shared" si="345"/>
        <v>323724.87421666738</v>
      </c>
      <c r="AM86" s="75">
        <f t="shared" si="346"/>
        <v>3700.2774566631674</v>
      </c>
      <c r="AN86" s="79">
        <f t="shared" si="347"/>
        <v>2015394.9637935953</v>
      </c>
      <c r="AO86" s="80">
        <f t="shared" si="354"/>
        <v>403078.99275871908</v>
      </c>
      <c r="AP86" s="115">
        <f t="shared" si="348"/>
        <v>1612315.9710348763</v>
      </c>
      <c r="AQ86" s="81">
        <f t="shared" si="355"/>
        <v>-0.19962127429742188</v>
      </c>
      <c r="AR86" s="81">
        <f t="shared" si="356"/>
        <v>0.27293199985684191</v>
      </c>
      <c r="AS86" s="81">
        <f t="shared" si="357"/>
        <v>-0.36569454050217348</v>
      </c>
      <c r="AT86" s="121">
        <f t="shared" si="349"/>
        <v>2.6378516138507848</v>
      </c>
      <c r="AU86" s="122">
        <f t="shared" si="358"/>
        <v>0.7959846428153432</v>
      </c>
      <c r="AV86" s="122"/>
      <c r="AW86" s="115">
        <f t="shared" si="287"/>
        <v>2499189.1198663125</v>
      </c>
      <c r="AX86" s="115"/>
      <c r="AY86" s="141">
        <f t="shared" si="315"/>
        <v>6.6449708186243557</v>
      </c>
      <c r="AZ86" s="122">
        <f>LN(BA86/CO86)^2</f>
        <v>4.137351357104011</v>
      </c>
      <c r="BA86" s="229">
        <v>371</v>
      </c>
      <c r="BB86" s="101">
        <v>2023</v>
      </c>
      <c r="BC86" s="72">
        <v>3.5750695088044487E-2</v>
      </c>
      <c r="BD86" s="72">
        <v>0.8358758109360519</v>
      </c>
      <c r="BE86" s="72">
        <v>0.11956904541241889</v>
      </c>
      <c r="BF86" s="72">
        <v>8.3410565338276187E-3</v>
      </c>
      <c r="BG86" s="72">
        <v>4.6339202965708991E-4</v>
      </c>
      <c r="BJ86" s="72"/>
      <c r="BL86" s="120">
        <f t="shared" si="369"/>
        <v>2.5024884869999999</v>
      </c>
      <c r="BM86" s="125">
        <f t="shared" si="387"/>
        <v>0.97934707710000013</v>
      </c>
      <c r="BN86" s="72">
        <f t="shared" si="388"/>
        <v>-0.57392922950000003</v>
      </c>
      <c r="BO86" s="98">
        <f t="shared" si="370"/>
        <v>0.70534238386420578</v>
      </c>
      <c r="BP86" s="94"/>
      <c r="BR86" s="199"/>
      <c r="CA86" s="56">
        <v>2023</v>
      </c>
      <c r="CB86" s="91">
        <f t="shared" si="389"/>
        <v>0.13799999999999998</v>
      </c>
      <c r="CC86" s="97">
        <f t="shared" si="252"/>
        <v>144.52452042451347</v>
      </c>
      <c r="CD86" s="97">
        <f t="shared" si="271"/>
        <v>2811.5059420642419</v>
      </c>
      <c r="CE86" s="97">
        <f t="shared" si="272"/>
        <v>341.74525262720658</v>
      </c>
      <c r="CF86" s="97">
        <f t="shared" si="273"/>
        <v>32.268499692752094</v>
      </c>
      <c r="CG86" s="97">
        <f t="shared" si="274"/>
        <v>1.0556625177919168</v>
      </c>
      <c r="CH86" s="92">
        <f t="shared" si="371"/>
        <v>3331.099877326506</v>
      </c>
      <c r="CI86" s="210">
        <f t="shared" si="390"/>
        <v>35.123920545812403</v>
      </c>
      <c r="CJ86" s="92">
        <f t="shared" si="372"/>
        <v>0</v>
      </c>
      <c r="CK86" s="92">
        <f t="shared" si="373"/>
        <v>459.69178307105778</v>
      </c>
      <c r="CL86" s="92">
        <f t="shared" si="374"/>
        <v>494.81570361687017</v>
      </c>
      <c r="CM86" s="72">
        <f t="shared" si="229"/>
        <v>1.2232298368205297E-2</v>
      </c>
      <c r="CN86" s="128">
        <f t="shared" si="375"/>
        <v>0.14854424119339296</v>
      </c>
      <c r="CO86" s="114">
        <f t="shared" si="279"/>
        <v>2836.284173709636</v>
      </c>
      <c r="CP86" s="72">
        <f t="shared" si="232"/>
        <v>0.70534238386420578</v>
      </c>
      <c r="CQ86" s="96">
        <f t="shared" si="281"/>
        <v>2.5623377439720616</v>
      </c>
      <c r="CR86" s="92">
        <f t="shared" si="234"/>
        <v>2562.3377439720616</v>
      </c>
      <c r="CS86" s="120">
        <f t="shared" si="376"/>
        <v>-0.90461819600000004</v>
      </c>
      <c r="CT86" s="72">
        <f t="shared" si="391"/>
        <v>0.97934707710000013</v>
      </c>
      <c r="CU86" s="72">
        <f t="shared" si="392"/>
        <v>-0.57392922950000003</v>
      </c>
      <c r="CV86" s="104">
        <f t="shared" si="377"/>
        <v>2.1800422333136753</v>
      </c>
      <c r="CW86" s="105">
        <f t="shared" si="318"/>
        <v>-0.19962127429742188</v>
      </c>
      <c r="CX86" s="105">
        <f t="shared" si="319"/>
        <v>0.27293199985684191</v>
      </c>
      <c r="CY86" s="105">
        <f t="shared" si="320"/>
        <v>-0.36569454050217348</v>
      </c>
      <c r="CZ86" s="123">
        <f t="shared" si="350"/>
        <v>-0.68849257550252763</v>
      </c>
      <c r="DA86" s="81">
        <f t="shared" si="351"/>
        <v>1.2366113750272465</v>
      </c>
      <c r="DB86" s="9">
        <f t="shared" si="321"/>
        <v>2499189.1198663125</v>
      </c>
      <c r="DC86" s="72">
        <f>(LN($DE86)-LN($ES86))^2</f>
        <v>4.3874220702426303</v>
      </c>
      <c r="DD86" s="1">
        <f>($ES86-$DE86)/$DE86</f>
        <v>7.1223328057615811</v>
      </c>
      <c r="DE86" s="168">
        <v>134</v>
      </c>
      <c r="DF86" s="61">
        <v>2023</v>
      </c>
      <c r="DG86" s="26">
        <v>7.6142131979695434E-3</v>
      </c>
      <c r="DH86" s="26">
        <v>0.29512169725367693</v>
      </c>
      <c r="DI86" s="26">
        <v>0.6060236886632826</v>
      </c>
      <c r="DJ86" s="26">
        <v>8.8702329819081091E-2</v>
      </c>
      <c r="DK86" s="26">
        <v>2.5380710659898475E-3</v>
      </c>
      <c r="DO86" s="76" t="e">
        <f>NA()</f>
        <v>#N/A</v>
      </c>
      <c r="DP86" s="119">
        <f t="shared" si="359"/>
        <v>2.5024884869999999</v>
      </c>
      <c r="DQ86" s="109">
        <f t="shared" si="378"/>
        <v>1.1144526043</v>
      </c>
      <c r="DR86" s="109">
        <f t="shared" si="360"/>
        <v>-0.57392922950000003</v>
      </c>
      <c r="DS86" s="109">
        <f t="shared" si="360"/>
        <v>-0.15482546589999999</v>
      </c>
      <c r="DT86" s="113" cm="1">
        <f t="array" ref="DT86">IF(alphaV=1,$DN$11+SUMPRODUCT(DP$11:$DS$11*DP86:DS86),0)+IF(alphaV=2,$DY$104,0)+IF(alphaV=3,$DY$105,0)+IF(alphaV=4,$DY$106,0)+IF(alphaV=5,DY114,0)</f>
        <v>0.11617906224428368</v>
      </c>
      <c r="DU86" s="76" t="e">
        <f>NA()</f>
        <v>#N/A</v>
      </c>
      <c r="DV86" s="76" t="e">
        <f>NA()</f>
        <v>#N/A</v>
      </c>
      <c r="DW86" s="199"/>
      <c r="EE86" s="72">
        <f t="shared" si="189"/>
        <v>1.8766336221867335E-2</v>
      </c>
      <c r="EF86">
        <v>2023</v>
      </c>
      <c r="EG86" s="72">
        <f t="shared" si="361"/>
        <v>0.13799999999999998</v>
      </c>
      <c r="EH86" s="97">
        <f t="shared" si="220"/>
        <v>13.698650315519201</v>
      </c>
      <c r="EI86" s="97">
        <f t="shared" si="238"/>
        <v>525.27999235285165</v>
      </c>
      <c r="EJ86" s="97">
        <f t="shared" si="243"/>
        <v>657.15488563769384</v>
      </c>
      <c r="EK86" s="97">
        <f t="shared" si="246"/>
        <v>88.501219742506535</v>
      </c>
      <c r="EL86" s="97">
        <f t="shared" si="248"/>
        <v>2.1499076874703587</v>
      </c>
      <c r="EM86" s="111">
        <f t="shared" si="196"/>
        <v>1286.7846557360417</v>
      </c>
      <c r="EN86" s="210">
        <f t="shared" si="379"/>
        <v>20.815777272416202</v>
      </c>
      <c r="EO86" s="4">
        <v>0</v>
      </c>
      <c r="EP86" s="92">
        <f t="shared" si="278"/>
        <v>177.57628249157375</v>
      </c>
      <c r="EQ86" s="92">
        <f t="shared" si="239"/>
        <v>198.39205976398995</v>
      </c>
      <c r="ER86" s="128">
        <f t="shared" si="362"/>
        <v>0.15417658182324964</v>
      </c>
      <c r="ES86" s="111">
        <f t="shared" si="363"/>
        <v>1088.3925959720518</v>
      </c>
      <c r="ET86" s="72">
        <f t="shared" si="364"/>
        <v>0.11617906224428368</v>
      </c>
      <c r="EU86" s="96">
        <f t="shared" si="280"/>
        <v>1.8144828810190647</v>
      </c>
      <c r="EV86" s="92">
        <f t="shared" si="205"/>
        <v>1814.4828810190647</v>
      </c>
      <c r="EW86" s="120">
        <f t="shared" si="365"/>
        <v>-0.87704872899999997</v>
      </c>
      <c r="EX86" s="127">
        <f t="shared" si="380"/>
        <v>1.1144526043</v>
      </c>
      <c r="EY86" s="9">
        <f t="shared" si="185"/>
        <v>-0.57392922950000003</v>
      </c>
      <c r="EZ86" s="9">
        <f t="shared" si="186"/>
        <v>-0.15482546589999999</v>
      </c>
      <c r="FA86" s="113" cm="1">
        <f t="array" ref="FA86">IF(alphaV=1,$DN$11+SUMPRODUCT($DP$11:$DS$11*EW86:EZ86),0)+IF(alphaV=2,$ES$115,0)+IF(alphaV=3,$ES$116,0)+IF(alphaV=4,$ES$117,0)+IF(alphaV=5,ES125,0)</f>
        <v>1.6239447871927648</v>
      </c>
      <c r="FB86" s="56">
        <v>2023</v>
      </c>
      <c r="FC86" s="116">
        <f t="shared" si="325"/>
        <v>1612315.9710348763</v>
      </c>
      <c r="FD86" s="116">
        <f t="shared" si="290"/>
        <v>2897110.5822177925</v>
      </c>
      <c r="FE86" s="116">
        <f t="shared" si="396"/>
        <v>2239528.0707075573</v>
      </c>
      <c r="FF86" s="116">
        <f t="shared" si="291"/>
        <v>2507595.5114817801</v>
      </c>
      <c r="FG86" s="5">
        <f t="shared" si="292"/>
        <v>389515.07073601242</v>
      </c>
      <c r="FH86" s="5">
        <f t="shared" si="393"/>
        <v>301103.43051149789</v>
      </c>
      <c r="FI86" s="117">
        <f t="shared" si="293"/>
        <v>0.13444950052194118</v>
      </c>
      <c r="FJ86" s="117">
        <f t="shared" si="326"/>
        <v>13.444950052194118</v>
      </c>
      <c r="FK86" s="61">
        <f t="shared" si="294"/>
        <v>7775.0525071201791</v>
      </c>
      <c r="FL86" s="61">
        <f t="shared" si="327"/>
        <v>372.61620800177212</v>
      </c>
      <c r="FM86" s="92">
        <f t="shared" si="328"/>
        <v>50.098063052218009</v>
      </c>
      <c r="FN86" s="72">
        <f t="shared" si="329"/>
        <v>0.13444950052194118</v>
      </c>
      <c r="FO86" s="92"/>
      <c r="FP86" s="92">
        <f t="shared" si="397"/>
        <v>46.914835579268392</v>
      </c>
      <c r="FQ86" s="1">
        <f t="shared" si="366"/>
        <v>0</v>
      </c>
      <c r="FS86">
        <f t="shared" si="296"/>
        <v>2023</v>
      </c>
      <c r="FT86" s="5">
        <f t="shared" si="241"/>
        <v>2836.284173709636</v>
      </c>
      <c r="FU86" s="214">
        <f t="shared" si="297"/>
        <v>3959.966603199091</v>
      </c>
      <c r="FV86" s="213">
        <f t="shared" si="331"/>
        <v>2282.1179516425864</v>
      </c>
      <c r="FW86" s="5">
        <f t="shared" si="332"/>
        <v>1677.8486515565046</v>
      </c>
      <c r="FX86" s="1">
        <f t="shared" si="333"/>
        <v>0.42370272774549184</v>
      </c>
      <c r="FY86">
        <f t="shared" si="298"/>
        <v>59954.093743432561</v>
      </c>
      <c r="FZ86" s="26">
        <f t="shared" si="334"/>
        <v>2.7985556061220558E-2</v>
      </c>
      <c r="GA86" s="106">
        <f t="shared" si="299"/>
        <v>9.3285186870735199E-4</v>
      </c>
      <c r="GB86" s="61">
        <f t="shared" si="335"/>
        <v>1088.3925959720518</v>
      </c>
      <c r="GC86" s="61">
        <f t="shared" si="207"/>
        <v>2629.2494303271242</v>
      </c>
      <c r="GD86" s="61">
        <f t="shared" si="247"/>
        <v>1801.2459891521664</v>
      </c>
      <c r="GE86" s="61">
        <f t="shared" si="210"/>
        <v>1582.8395824793174</v>
      </c>
      <c r="GF86" s="61">
        <f t="shared" si="336"/>
        <v>1046.4098478478068</v>
      </c>
      <c r="GG86" s="61">
        <f t="shared" si="245"/>
        <v>716.8743747567089</v>
      </c>
      <c r="GH86" s="6">
        <f t="shared" si="337"/>
        <v>0.39798804775917179</v>
      </c>
      <c r="GI86">
        <f t="shared" si="300"/>
        <v>9248.6922093424037</v>
      </c>
      <c r="GJ86" s="26">
        <f t="shared" si="367"/>
        <v>0.11314138519939006</v>
      </c>
      <c r="GK86">
        <f t="shared" si="301"/>
        <v>3.7713795066463352E-3</v>
      </c>
      <c r="GL86" s="232">
        <f t="shared" si="338"/>
        <v>1.2341408827186904</v>
      </c>
    </row>
    <row r="87" spans="1:210" x14ac:dyDescent="0.35">
      <c r="A87" s="56">
        <v>2024</v>
      </c>
      <c r="B87" s="6">
        <f t="shared" si="394"/>
        <v>-0.10558155501890674</v>
      </c>
      <c r="C87" s="169">
        <f t="shared" si="395"/>
        <v>1.2450443204486015E-2</v>
      </c>
      <c r="D87" s="115">
        <v>1872824</v>
      </c>
      <c r="E87" s="82"/>
      <c r="F87" s="82"/>
      <c r="G87" s="5">
        <f>D87/(1-J87)</f>
        <v>2008246.9095177879</v>
      </c>
      <c r="H87" s="82"/>
      <c r="I87" s="5">
        <f>G87-D87</f>
        <v>135422.90951778786</v>
      </c>
      <c r="J87" s="151">
        <f>AVERAGE(J84:J86)</f>
        <v>6.7433396200422865E-2</v>
      </c>
      <c r="K87" s="82"/>
      <c r="L87" s="82"/>
      <c r="M87" s="82"/>
      <c r="N87" s="82"/>
      <c r="O87" s="88">
        <f t="shared" si="352"/>
        <v>2024</v>
      </c>
      <c r="P87" s="81">
        <f>'Orig data'!CN78</f>
        <v>0.10741516534518507</v>
      </c>
      <c r="Q87" s="81">
        <f>'Orig data'!CO78</f>
        <v>0.75930233821489568</v>
      </c>
      <c r="R87" s="81">
        <f>'Orig data'!CP78</f>
        <v>0.13183604264117066</v>
      </c>
      <c r="S87" s="85">
        <f>'Orig data'!CQ78</f>
        <v>1.4464537987485602E-3</v>
      </c>
      <c r="T87" s="80">
        <f t="shared" ref="T87" si="398">$G87*P87</f>
        <v>215716.1738398101</v>
      </c>
      <c r="U87" s="80">
        <f t="shared" ref="U87" si="399">$G87*Q87</f>
        <v>1524866.5741096945</v>
      </c>
      <c r="V87" s="80">
        <f t="shared" ref="V87" si="400">$G87*R87</f>
        <v>264759.32519718626</v>
      </c>
      <c r="W87" s="80">
        <f>$G87*S87</f>
        <v>2904.8363710970602</v>
      </c>
      <c r="X87" s="79">
        <f t="shared" si="306"/>
        <v>2024</v>
      </c>
      <c r="Y87" s="79">
        <f t="shared" si="381"/>
        <v>0</v>
      </c>
      <c r="Z87" s="79">
        <f t="shared" si="382"/>
        <v>0</v>
      </c>
      <c r="AA87" s="79">
        <f t="shared" si="383"/>
        <v>0</v>
      </c>
      <c r="AB87" s="79">
        <f t="shared" si="384"/>
        <v>0</v>
      </c>
      <c r="AC87" s="80">
        <f t="shared" si="385"/>
        <v>0</v>
      </c>
      <c r="AD87" s="84">
        <f t="shared" si="386"/>
        <v>2008246.9095177879</v>
      </c>
      <c r="AE87" s="80">
        <f t="shared" si="308"/>
        <v>135422.90951778786</v>
      </c>
      <c r="AH87" s="61">
        <f t="shared" si="285"/>
        <v>2024</v>
      </c>
      <c r="AI87" s="74">
        <f t="shared" ref="AI87:AI113" si="401">Uapply</f>
        <v>0.2</v>
      </c>
      <c r="AJ87" s="75">
        <f t="shared" si="343"/>
        <v>273014.75758553483</v>
      </c>
      <c r="AK87" s="75">
        <f t="shared" si="344"/>
        <v>1562596.350417169</v>
      </c>
      <c r="AL87" s="75">
        <f t="shared" si="345"/>
        <v>254697.52080370841</v>
      </c>
      <c r="AM87" s="75">
        <f t="shared" si="346"/>
        <v>3551.7834476766152</v>
      </c>
      <c r="AN87" s="79">
        <f t="shared" si="347"/>
        <v>2093860.4122540888</v>
      </c>
      <c r="AO87" s="80">
        <f t="shared" si="354"/>
        <v>418772.0824508178</v>
      </c>
      <c r="AP87" s="115">
        <f t="shared" si="348"/>
        <v>1675088.329803271</v>
      </c>
      <c r="AQ87" s="81">
        <f t="shared" si="355"/>
        <v>-0.19962127429742188</v>
      </c>
      <c r="AR87" s="81">
        <f t="shared" si="356"/>
        <v>0.27293199985684191</v>
      </c>
      <c r="AS87" s="81">
        <f t="shared" si="357"/>
        <v>-0.36569454050217348</v>
      </c>
      <c r="AT87" s="121">
        <f t="shared" si="349"/>
        <v>2.6378516138507848</v>
      </c>
      <c r="AU87" s="122">
        <f t="shared" si="358"/>
        <v>0.7959846428153432</v>
      </c>
      <c r="AV87" s="122"/>
      <c r="AW87" s="115">
        <f t="shared" si="287"/>
        <v>2517030.1506988299</v>
      </c>
      <c r="AX87" s="115"/>
      <c r="AY87" s="141">
        <f t="shared" si="315"/>
        <v>10.722938798787906</v>
      </c>
      <c r="AZ87" s="122">
        <f t="shared" ref="AZ87" si="402">LN(BA87/CO87)^2</f>
        <v>6.0592161118195635</v>
      </c>
      <c r="BA87" s="229">
        <v>286</v>
      </c>
      <c r="BB87" s="101">
        <v>2024</v>
      </c>
      <c r="BC87" s="72">
        <v>3.5750695088044487E-2</v>
      </c>
      <c r="BD87" s="72">
        <v>0.8358758109360519</v>
      </c>
      <c r="BE87" s="72">
        <v>0.11956904541241889</v>
      </c>
      <c r="BF87" s="72">
        <v>8.3410565338276187E-3</v>
      </c>
      <c r="BG87" s="72">
        <v>4.6339202965708991E-4</v>
      </c>
      <c r="BJ87" s="72"/>
      <c r="BL87" s="120">
        <f t="shared" si="369"/>
        <v>2.5024884869999999</v>
      </c>
      <c r="BM87" s="125">
        <f t="shared" si="387"/>
        <v>0.97934707710000013</v>
      </c>
      <c r="BN87" s="72">
        <f t="shared" si="388"/>
        <v>-0.57392922950000003</v>
      </c>
      <c r="BO87" s="98">
        <f t="shared" si="370"/>
        <v>0.70534238386420578</v>
      </c>
      <c r="BP87" s="94"/>
      <c r="BR87" s="199"/>
      <c r="CA87" s="56">
        <v>2024</v>
      </c>
      <c r="CB87" s="91">
        <f t="shared" si="389"/>
        <v>0.13799999999999998</v>
      </c>
      <c r="CC87" s="97">
        <f t="shared" si="252"/>
        <v>130.78915959271703</v>
      </c>
      <c r="CD87" s="97">
        <f t="shared" si="271"/>
        <v>3379.0825720304069</v>
      </c>
      <c r="CE87" s="97">
        <f t="shared" si="272"/>
        <v>402.17587022587412</v>
      </c>
      <c r="CF87" s="97">
        <f t="shared" si="273"/>
        <v>23.83991996004232</v>
      </c>
      <c r="CG87" s="97">
        <f t="shared" si="274"/>
        <v>1.7926944273751162</v>
      </c>
      <c r="CH87" s="92">
        <f t="shared" si="371"/>
        <v>3937.6802162364152</v>
      </c>
      <c r="CI87" s="210">
        <f t="shared" si="390"/>
        <v>41.519849942448531</v>
      </c>
      <c r="CJ87" s="92">
        <f t="shared" si="372"/>
        <v>0</v>
      </c>
      <c r="CK87" s="92">
        <f t="shared" si="373"/>
        <v>543.39986984062523</v>
      </c>
      <c r="CL87" s="92">
        <f t="shared" si="374"/>
        <v>584.91971978307379</v>
      </c>
      <c r="CM87" s="72">
        <f t="shared" si="229"/>
        <v>1.2232298368205297E-2</v>
      </c>
      <c r="CN87" s="128">
        <f t="shared" si="375"/>
        <v>0.14854424119339296</v>
      </c>
      <c r="CO87" s="168">
        <f t="shared" si="279"/>
        <v>3352.7604964533411</v>
      </c>
      <c r="CP87" s="72">
        <f t="shared" si="232"/>
        <v>0.70534238386420578</v>
      </c>
      <c r="CQ87" s="96">
        <f t="shared" si="281"/>
        <v>1.9991771340198385</v>
      </c>
      <c r="CR87" s="92">
        <f t="shared" si="234"/>
        <v>1999.1771340198386</v>
      </c>
      <c r="CS87" s="120">
        <f t="shared" si="376"/>
        <v>-0.90461819600000004</v>
      </c>
      <c r="CT87" s="72">
        <f t="shared" si="391"/>
        <v>0.97934707710000013</v>
      </c>
      <c r="CU87" s="72">
        <f t="shared" si="392"/>
        <v>-0.57392922950000003</v>
      </c>
      <c r="CV87" s="104">
        <f t="shared" si="377"/>
        <v>2.1800422333136753</v>
      </c>
      <c r="CW87" s="105">
        <f t="shared" si="318"/>
        <v>-0.19962127429742188</v>
      </c>
      <c r="CX87" s="105">
        <f t="shared" si="319"/>
        <v>0.27293199985684191</v>
      </c>
      <c r="CY87" s="105">
        <f t="shared" si="320"/>
        <v>-0.36569454050217348</v>
      </c>
      <c r="CZ87" s="123">
        <f t="shared" si="350"/>
        <v>-0.68849257550252763</v>
      </c>
      <c r="DA87" s="81">
        <f t="shared" si="351"/>
        <v>1.2366113750272465</v>
      </c>
      <c r="DB87" s="9">
        <f t="shared" si="321"/>
        <v>2517030.1506988299</v>
      </c>
      <c r="DC87" s="72">
        <f t="shared" ref="DC87:DC89" si="403">(LN($DE87)-LN($ES87))^2</f>
        <v>7.3957265794275502</v>
      </c>
      <c r="DD87" s="1">
        <f t="shared" si="322"/>
        <v>14.172863222822841</v>
      </c>
      <c r="DE87" s="168">
        <v>96</v>
      </c>
      <c r="DF87" s="61">
        <v>2024</v>
      </c>
      <c r="DG87" s="26">
        <v>7.6142131979695434E-3</v>
      </c>
      <c r="DH87" s="26">
        <v>0.29512169725367693</v>
      </c>
      <c r="DI87" s="26">
        <v>0.6060236886632826</v>
      </c>
      <c r="DJ87" s="26">
        <v>8.8702329819081091E-2</v>
      </c>
      <c r="DK87" s="26">
        <v>2.5380710659898475E-3</v>
      </c>
      <c r="DO87" s="76" t="e">
        <f>NA()</f>
        <v>#N/A</v>
      </c>
      <c r="DP87" s="119">
        <f t="shared" si="359"/>
        <v>2.5024884869999999</v>
      </c>
      <c r="DQ87" s="109">
        <f t="shared" si="378"/>
        <v>1.1144526043</v>
      </c>
      <c r="DR87" s="109">
        <f t="shared" si="360"/>
        <v>-0.57392922950000003</v>
      </c>
      <c r="DS87" s="109">
        <f t="shared" si="360"/>
        <v>-0.15482546589999999</v>
      </c>
      <c r="DT87" s="113" cm="1">
        <f t="array" ref="DT87">IF(alphaV=1,$DN$11+SUMPRODUCT(DP$11:$DS$11*DP87:DS87),0)+IF(alphaV=2,$DY$104,0)+IF(alphaV=3,$DY$105,0)+IF(alphaV=4,$DY$106,0)+IF(alphaV=5,DY115,0)</f>
        <v>0.11617906224428368</v>
      </c>
      <c r="DU87" s="76" t="e">
        <f>NA()</f>
        <v>#N/A</v>
      </c>
      <c r="DV87" s="76" t="e">
        <f>NA()</f>
        <v>#N/A</v>
      </c>
      <c r="DW87" s="199"/>
      <c r="EE87" s="72">
        <f t="shared" si="189"/>
        <v>1.8766336221867335E-2</v>
      </c>
      <c r="EF87">
        <v>2024</v>
      </c>
      <c r="EG87">
        <f t="shared" si="361"/>
        <v>0.13799999999999998</v>
      </c>
      <c r="EH87" s="97">
        <f t="shared" si="220"/>
        <v>13.786916705755438</v>
      </c>
      <c r="EI87" s="97">
        <f t="shared" si="238"/>
        <v>530.95031963101781</v>
      </c>
      <c r="EJ87" s="97">
        <f t="shared" si="243"/>
        <v>1078.646949746525</v>
      </c>
      <c r="EK87" s="97">
        <f t="shared" si="246"/>
        <v>96.186288586555293</v>
      </c>
      <c r="EL87" s="97">
        <f t="shared" si="248"/>
        <v>2.532316632397472</v>
      </c>
      <c r="EM87" s="111">
        <f t="shared" si="196"/>
        <v>1722.1027913022508</v>
      </c>
      <c r="EN87" s="210">
        <f t="shared" si="379"/>
        <v>27.857736711547464</v>
      </c>
      <c r="EO87" s="4">
        <v>0</v>
      </c>
      <c r="EP87" s="92">
        <f t="shared" si="278"/>
        <v>237.65018519971059</v>
      </c>
      <c r="EQ87" s="92">
        <f t="shared" si="239"/>
        <v>265.50792191125805</v>
      </c>
      <c r="ER87" s="128">
        <f t="shared" si="362"/>
        <v>0.15417658182324964</v>
      </c>
      <c r="ES87" s="135">
        <f t="shared" si="363"/>
        <v>1456.5948693909927</v>
      </c>
      <c r="ET87" s="72">
        <f t="shared" si="364"/>
        <v>0.11617906224428368</v>
      </c>
      <c r="EU87" s="96">
        <f t="shared" si="280"/>
        <v>1.6664991555547954</v>
      </c>
      <c r="EV87" s="92">
        <f t="shared" si="205"/>
        <v>1666.4991555547954</v>
      </c>
      <c r="EW87" s="120">
        <f t="shared" si="365"/>
        <v>-0.87704872899999997</v>
      </c>
      <c r="EX87" s="127">
        <f t="shared" si="380"/>
        <v>1.1144526043</v>
      </c>
      <c r="EY87" s="9">
        <f t="shared" si="185"/>
        <v>-0.57392922950000003</v>
      </c>
      <c r="EZ87" s="9">
        <f t="shared" si="186"/>
        <v>-0.15482546589999999</v>
      </c>
      <c r="FA87" s="113" cm="1">
        <f t="array" ref="FA87">IF(alphaV=1,$DN$11+SUMPRODUCT($DP$11:$DS$11*EW87:EZ87),0)+IF(alphaV=2,$ES$115,0)+IF(alphaV=3,$ES$116,0)+IF(alphaV=4,$ES$117,0)+IF(alphaV=5,ES126,0)</f>
        <v>1.6239447871927648</v>
      </c>
      <c r="FB87" s="56">
        <v>2024</v>
      </c>
      <c r="FC87" s="116">
        <f t="shared" si="325"/>
        <v>1675088.329803271</v>
      </c>
      <c r="FD87" s="116">
        <f t="shared" si="290"/>
        <v>2917792.2660534382</v>
      </c>
      <c r="FE87" s="116">
        <f t="shared" si="396"/>
        <v>2385602.1600115802</v>
      </c>
      <c r="FF87" s="116">
        <f t="shared" si="291"/>
        <v>2525496.5532557708</v>
      </c>
      <c r="FG87" s="5">
        <f t="shared" si="292"/>
        <v>392295.71279766737</v>
      </c>
      <c r="FH87" s="5">
        <f t="shared" si="393"/>
        <v>320743.01885762135</v>
      </c>
      <c r="FI87" s="117">
        <f t="shared" si="293"/>
        <v>0.13444950052194107</v>
      </c>
      <c r="FJ87" s="117">
        <f t="shared" si="326"/>
        <v>13.444950052194107</v>
      </c>
      <c r="FK87" s="61">
        <f t="shared" si="294"/>
        <v>7775.0525071201791</v>
      </c>
      <c r="FL87" s="61">
        <f t="shared" si="327"/>
        <v>375.27621368233906</v>
      </c>
      <c r="FM87" s="92">
        <f t="shared" si="328"/>
        <v>50.455699487355709</v>
      </c>
      <c r="FN87" s="72">
        <f t="shared" si="329"/>
        <v>0.13444950052194107</v>
      </c>
      <c r="FO87" s="92"/>
      <c r="FP87" s="92">
        <f t="shared" si="397"/>
        <v>47.120367723437674</v>
      </c>
      <c r="FQ87" s="1">
        <f t="shared" si="366"/>
        <v>0</v>
      </c>
      <c r="FS87">
        <f t="shared" si="296"/>
        <v>2024</v>
      </c>
      <c r="FT87" s="5">
        <f t="shared" si="241"/>
        <v>3352.7604964533411</v>
      </c>
      <c r="FU87" s="214">
        <f t="shared" si="297"/>
        <v>3089.6296568326838</v>
      </c>
      <c r="FV87" s="213">
        <f t="shared" si="331"/>
        <v>1780.5451435093075</v>
      </c>
      <c r="FW87" s="5">
        <f t="shared" si="332"/>
        <v>1309.0845133233763</v>
      </c>
      <c r="FX87" s="1">
        <f t="shared" si="333"/>
        <v>0.42370272774549195</v>
      </c>
      <c r="FY87">
        <f t="shared" si="298"/>
        <v>59954.093743432561</v>
      </c>
      <c r="FZ87" s="26">
        <f t="shared" si="334"/>
        <v>2.1834781106449049E-2</v>
      </c>
      <c r="GA87" s="106">
        <f t="shared" si="299"/>
        <v>7.27826036881635E-4</v>
      </c>
      <c r="GB87" s="61">
        <f t="shared" si="335"/>
        <v>1456.5948693909927</v>
      </c>
      <c r="GC87" s="61">
        <f t="shared" si="207"/>
        <v>2414.8158140363521</v>
      </c>
      <c r="GD87" s="61">
        <f t="shared" si="247"/>
        <v>2579.1026788156773</v>
      </c>
      <c r="GE87" s="61">
        <f t="shared" si="210"/>
        <v>1453.7479825100493</v>
      </c>
      <c r="GF87" s="61">
        <f t="shared" si="336"/>
        <v>961.06783152630283</v>
      </c>
      <c r="GG87" s="61">
        <f t="shared" si="245"/>
        <v>1026.4520401123016</v>
      </c>
      <c r="GH87" s="6">
        <f t="shared" si="337"/>
        <v>0.39798804775917174</v>
      </c>
      <c r="GI87">
        <f t="shared" si="300"/>
        <v>9248.6922093424037</v>
      </c>
      <c r="GJ87" s="26">
        <f t="shared" si="367"/>
        <v>0.10391391666764487</v>
      </c>
      <c r="GK87">
        <f t="shared" si="301"/>
        <v>3.4637972222548289E-3</v>
      </c>
      <c r="GL87" s="232">
        <f t="shared" si="338"/>
        <v>1.2341408827186904</v>
      </c>
    </row>
    <row r="88" spans="1:210" x14ac:dyDescent="0.35">
      <c r="A88">
        <v>2025</v>
      </c>
      <c r="D88" s="82" t="e">
        <f>NA()</f>
        <v>#N/A</v>
      </c>
      <c r="E88" s="82"/>
      <c r="F88" s="82"/>
      <c r="G88" s="82"/>
      <c r="H88" s="82"/>
      <c r="I88" s="82"/>
      <c r="J88" s="151">
        <f>$J$87</f>
        <v>6.7433396200422865E-2</v>
      </c>
      <c r="K88" s="82"/>
      <c r="L88" s="82"/>
      <c r="M88" s="82"/>
      <c r="N88" s="82"/>
      <c r="O88" s="88">
        <f t="shared" si="352"/>
        <v>2025</v>
      </c>
      <c r="P88" s="81">
        <f>'Orig data'!CN79</f>
        <v>0.10741516534518507</v>
      </c>
      <c r="Q88" s="81">
        <f>'Orig data'!CO79</f>
        <v>0.75930233821489568</v>
      </c>
      <c r="R88" s="81">
        <f>'Orig data'!CP79</f>
        <v>0.13183604264117066</v>
      </c>
      <c r="S88" s="85">
        <f>'Orig data'!CQ79</f>
        <v>1.4464537987485602E-3</v>
      </c>
      <c r="T88" s="79">
        <f t="shared" si="353"/>
        <v>0</v>
      </c>
      <c r="U88" s="79">
        <f t="shared" si="339"/>
        <v>0</v>
      </c>
      <c r="V88" s="79">
        <f t="shared" si="340"/>
        <v>0</v>
      </c>
      <c r="W88" s="79">
        <f t="shared" si="341"/>
        <v>0</v>
      </c>
      <c r="X88" s="79">
        <f t="shared" si="306"/>
        <v>2025</v>
      </c>
      <c r="Y88" s="79">
        <f t="shared" si="381"/>
        <v>0</v>
      </c>
      <c r="Z88" s="79">
        <f t="shared" si="382"/>
        <v>0</v>
      </c>
      <c r="AA88" s="79">
        <f t="shared" si="383"/>
        <v>0</v>
      </c>
      <c r="AB88" s="79">
        <f t="shared" si="384"/>
        <v>0</v>
      </c>
      <c r="AC88" s="80">
        <f t="shared" si="385"/>
        <v>0</v>
      </c>
      <c r="AD88" s="84">
        <f t="shared" si="386"/>
        <v>0</v>
      </c>
      <c r="AE88" s="80">
        <f t="shared" si="308"/>
        <v>0</v>
      </c>
      <c r="AH88" s="61">
        <f t="shared" si="285"/>
        <v>2025</v>
      </c>
      <c r="AI88" s="74">
        <f t="shared" si="401"/>
        <v>0.2</v>
      </c>
      <c r="AJ88" s="75">
        <f t="shared" si="343"/>
        <v>274564.26624469465</v>
      </c>
      <c r="AK88" s="75">
        <f t="shared" si="344"/>
        <v>1929902.0127716246</v>
      </c>
      <c r="AL88" s="75">
        <f t="shared" si="345"/>
        <v>271310.26564313326</v>
      </c>
      <c r="AM88" s="75">
        <f t="shared" si="346"/>
        <v>2794.4421655699443</v>
      </c>
      <c r="AN88" s="79">
        <f t="shared" si="347"/>
        <v>2478570.9868250224</v>
      </c>
      <c r="AO88" s="80">
        <f t="shared" si="354"/>
        <v>495714.19736500451</v>
      </c>
      <c r="AP88" s="80">
        <f t="shared" si="348"/>
        <v>1982856.7894600178</v>
      </c>
      <c r="AQ88" s="81">
        <f t="shared" si="355"/>
        <v>-0.19962127429742188</v>
      </c>
      <c r="AR88" s="81">
        <f t="shared" si="356"/>
        <v>0.27293199985684191</v>
      </c>
      <c r="AS88" s="81">
        <f t="shared" si="357"/>
        <v>-0.36569454050217348</v>
      </c>
      <c r="AT88" s="121">
        <f t="shared" si="349"/>
        <v>2.6378516138507848</v>
      </c>
      <c r="AU88" s="122">
        <f t="shared" si="358"/>
        <v>0.7959846428153432</v>
      </c>
      <c r="AV88" s="122"/>
      <c r="AW88" s="115">
        <f t="shared" si="287"/>
        <v>2558356.31784605</v>
      </c>
      <c r="AX88" s="115"/>
      <c r="AY88" s="141">
        <f t="shared" si="315"/>
        <v>7.0984932033487986</v>
      </c>
      <c r="AZ88" s="122">
        <f>LN(BA88/CO88)^2</f>
        <v>4.3751169397519067</v>
      </c>
      <c r="BA88" s="229">
        <v>384</v>
      </c>
      <c r="BB88" s="101">
        <v>2025</v>
      </c>
      <c r="BC88" s="72">
        <v>3.5750695088044487E-2</v>
      </c>
      <c r="BD88" s="72">
        <v>0.8358758109360519</v>
      </c>
      <c r="BE88" s="72">
        <v>0.11956904541241889</v>
      </c>
      <c r="BF88" s="72">
        <v>8.3410565338276187E-3</v>
      </c>
      <c r="BG88" s="72">
        <v>4.6339202965708991E-4</v>
      </c>
      <c r="BJ88" s="72"/>
      <c r="BL88" s="120">
        <f t="shared" si="369"/>
        <v>2.5024884869999999</v>
      </c>
      <c r="BM88" s="125">
        <f t="shared" si="387"/>
        <v>0.97934707710000013</v>
      </c>
      <c r="BN88" s="72">
        <f t="shared" si="388"/>
        <v>-0.57392922950000003</v>
      </c>
      <c r="BO88" s="98">
        <f t="shared" si="370"/>
        <v>0.70534238386420578</v>
      </c>
      <c r="BP88" s="94"/>
      <c r="BR88" s="199"/>
      <c r="CA88" s="56">
        <v>2025</v>
      </c>
      <c r="CB88" s="91">
        <f t="shared" si="389"/>
        <v>0.13799999999999998</v>
      </c>
      <c r="CC88" s="97">
        <f t="shared" si="252"/>
        <v>81.672125150964376</v>
      </c>
      <c r="CD88" s="97">
        <f t="shared" si="271"/>
        <v>3057.9403999550855</v>
      </c>
      <c r="CE88" s="97">
        <f t="shared" si="272"/>
        <v>483.36567731869354</v>
      </c>
      <c r="CF88" s="97">
        <f t="shared" si="273"/>
        <v>28.055519373970991</v>
      </c>
      <c r="CG88" s="97">
        <f t="shared" si="274"/>
        <v>1.3244399977801287</v>
      </c>
      <c r="CH88" s="92">
        <f t="shared" si="371"/>
        <v>3652.3581617964946</v>
      </c>
      <c r="CI88" s="210">
        <f t="shared" si="390"/>
        <v>38.511345382639611</v>
      </c>
      <c r="CJ88" s="92">
        <f t="shared" si="372"/>
        <v>0</v>
      </c>
      <c r="CK88" s="92">
        <f t="shared" si="373"/>
        <v>504.02542632791619</v>
      </c>
      <c r="CL88" s="92">
        <f t="shared" si="374"/>
        <v>542.53677171055585</v>
      </c>
      <c r="CM88" s="72">
        <f t="shared" si="229"/>
        <v>1.2232298368205297E-2</v>
      </c>
      <c r="CN88" s="128">
        <f t="shared" si="375"/>
        <v>0.14854424119339296</v>
      </c>
      <c r="CO88" s="114">
        <f t="shared" si="279"/>
        <v>3109.8213900859387</v>
      </c>
      <c r="CP88" s="72">
        <f t="shared" si="232"/>
        <v>0.70534238386420578</v>
      </c>
      <c r="CQ88" s="96">
        <f t="shared" si="281"/>
        <v>2.2545413565509214</v>
      </c>
      <c r="CR88" s="92">
        <f t="shared" si="234"/>
        <v>2254.5413565509211</v>
      </c>
      <c r="CS88" s="120">
        <f t="shared" si="376"/>
        <v>-0.90461819600000004</v>
      </c>
      <c r="CT88" s="72">
        <f t="shared" si="391"/>
        <v>0.97934707710000013</v>
      </c>
      <c r="CU88" s="72">
        <f t="shared" si="392"/>
        <v>-0.57392922950000003</v>
      </c>
      <c r="CV88" s="104">
        <f t="shared" si="377"/>
        <v>2.1800422333136753</v>
      </c>
      <c r="CW88" s="105">
        <f t="shared" si="318"/>
        <v>-0.19962127429742188</v>
      </c>
      <c r="CX88" s="105">
        <f t="shared" si="319"/>
        <v>0.27293199985684191</v>
      </c>
      <c r="CY88" s="105">
        <f t="shared" si="320"/>
        <v>-0.36569454050217348</v>
      </c>
      <c r="CZ88" s="123">
        <f t="shared" si="350"/>
        <v>-0.68849257550252763</v>
      </c>
      <c r="DA88" s="81">
        <f t="shared" si="351"/>
        <v>1.2366113750272465</v>
      </c>
      <c r="DB88" s="9">
        <f t="shared" si="321"/>
        <v>2558356.31784605</v>
      </c>
      <c r="DC88" s="72">
        <f t="shared" si="403"/>
        <v>5.2463631260686121</v>
      </c>
      <c r="DD88" s="1">
        <f t="shared" si="322"/>
        <v>8.8798178863020443</v>
      </c>
      <c r="DE88" s="168">
        <v>154</v>
      </c>
      <c r="DF88" s="61">
        <v>2025</v>
      </c>
      <c r="DG88" s="26">
        <v>7.6142131979695434E-3</v>
      </c>
      <c r="DH88" s="26">
        <v>0.29512169725367693</v>
      </c>
      <c r="DI88" s="26">
        <v>0.6060236886632826</v>
      </c>
      <c r="DJ88" s="26">
        <v>8.8702329819081091E-2</v>
      </c>
      <c r="DK88" s="26">
        <v>2.5380710659898475E-3</v>
      </c>
      <c r="DO88" s="76" t="e">
        <f>NA()</f>
        <v>#N/A</v>
      </c>
      <c r="DP88" s="119">
        <f t="shared" si="359"/>
        <v>2.5024884869999999</v>
      </c>
      <c r="DQ88" s="109">
        <f t="shared" si="378"/>
        <v>1.1144526043</v>
      </c>
      <c r="DR88" s="109">
        <f t="shared" si="360"/>
        <v>-0.57392922950000003</v>
      </c>
      <c r="DS88" s="109">
        <f t="shared" si="360"/>
        <v>-0.15482546589999999</v>
      </c>
      <c r="DT88" s="113" cm="1">
        <f t="array" ref="DT88">IF(alphaV=1,$DN$11+SUMPRODUCT(DP$11:$DS$11*DP88:DS88),0)+IF(alphaV=2,$DY$104,0)+IF(alphaV=3,$DY$105,0)+IF(alphaV=4,$DY$106,0)+IF(alphaV=5,DY116,0)</f>
        <v>0.11617906224428368</v>
      </c>
      <c r="DU88" s="76" t="e">
        <f>NA()</f>
        <v>#N/A</v>
      </c>
      <c r="DV88" s="76" t="e">
        <f>NA()</f>
        <v>#N/A</v>
      </c>
      <c r="DW88" s="199"/>
      <c r="EE88" s="72">
        <f t="shared" si="189"/>
        <v>1.8766336221867335E-2</v>
      </c>
      <c r="EF88">
        <v>2025</v>
      </c>
      <c r="EG88">
        <f t="shared" si="361"/>
        <v>0.13799999999999998</v>
      </c>
      <c r="EH88" s="97">
        <f t="shared" si="220"/>
        <v>13.535694582002083</v>
      </c>
      <c r="EI88" s="97">
        <f t="shared" si="238"/>
        <v>534.37146456348705</v>
      </c>
      <c r="EJ88" s="97">
        <f t="shared" si="243"/>
        <v>1090.290799334746</v>
      </c>
      <c r="EK88" s="97">
        <f t="shared" si="246"/>
        <v>157.87913786967937</v>
      </c>
      <c r="EL88" s="97">
        <f t="shared" si="248"/>
        <v>2.7522122192778107</v>
      </c>
      <c r="EM88" s="111">
        <f t="shared" si="196"/>
        <v>1798.8293085691926</v>
      </c>
      <c r="EN88" s="210">
        <f t="shared" si="379"/>
        <v>29.098909496129124</v>
      </c>
      <c r="EO88" s="4">
        <v>0</v>
      </c>
      <c r="EP88" s="92">
        <f t="shared" si="278"/>
        <v>248.23844458254854</v>
      </c>
      <c r="EQ88" s="92">
        <f>SUM(EN88:EP88)</f>
        <v>277.33735407867766</v>
      </c>
      <c r="ER88" s="128">
        <f t="shared" si="362"/>
        <v>0.15417658182324961</v>
      </c>
      <c r="ES88" s="111">
        <f t="shared" si="363"/>
        <v>1521.4919544905149</v>
      </c>
      <c r="ET88" s="72">
        <f t="shared" si="364"/>
        <v>0.11617906224428368</v>
      </c>
      <c r="EU88" s="96">
        <f t="shared" si="280"/>
        <v>1.6289895508825625</v>
      </c>
      <c r="EV88" s="92">
        <f t="shared" si="205"/>
        <v>1628.9895508825625</v>
      </c>
      <c r="EW88" s="120">
        <f t="shared" si="365"/>
        <v>-0.87704872899999997</v>
      </c>
      <c r="EX88" s="127">
        <f t="shared" si="380"/>
        <v>1.1144526043</v>
      </c>
      <c r="EY88" s="9">
        <f t="shared" si="185"/>
        <v>-0.57392922950000003</v>
      </c>
      <c r="EZ88" s="9">
        <f t="shared" si="186"/>
        <v>-0.15482546589999999</v>
      </c>
      <c r="FA88" s="113" cm="1">
        <f t="array" ref="FA88">IF(alphaV=1,$DN$11+SUMPRODUCT($DP$11:$DS$11*EW88:EZ88),0)+IF(alphaV=2,$ES$115,0)+IF(alphaV=3,$ES$116,0)+IF(alphaV=4,$ES$117,0)+IF(alphaV=5,ES127,0)</f>
        <v>1.6239447871927648</v>
      </c>
      <c r="FB88" s="56">
        <v>2025</v>
      </c>
      <c r="FC88" s="116">
        <f t="shared" si="325"/>
        <v>1982856.7894600178</v>
      </c>
      <c r="FD88" s="116">
        <f t="shared" si="290"/>
        <v>2965698.3949706117</v>
      </c>
      <c r="FE88" s="116">
        <f t="shared" si="396"/>
        <v>2946364.4971713587</v>
      </c>
      <c r="FF88" s="116">
        <f t="shared" si="291"/>
        <v>2566961.7270680903</v>
      </c>
      <c r="FG88" s="5">
        <f t="shared" si="292"/>
        <v>398736.66790252132</v>
      </c>
      <c r="FH88" s="5">
        <f t="shared" si="393"/>
        <v>396137.23500026949</v>
      </c>
      <c r="FI88" s="117">
        <f t="shared" si="293"/>
        <v>0.13444950052194116</v>
      </c>
      <c r="FJ88" s="117">
        <f t="shared" si="326"/>
        <v>13.444950052194116</v>
      </c>
      <c r="FK88" s="61">
        <f t="shared" si="294"/>
        <v>7775.0525071201791</v>
      </c>
      <c r="FL88" s="61">
        <f t="shared" si="327"/>
        <v>381.4377320609355</v>
      </c>
      <c r="FM88" s="92">
        <f t="shared" si="328"/>
        <v>51.284112555814801</v>
      </c>
      <c r="FN88" s="72">
        <f t="shared" si="329"/>
        <v>0.13444950052194116</v>
      </c>
      <c r="FO88" s="92"/>
      <c r="FP88" s="92">
        <f t="shared" si="397"/>
        <v>49.213241850903124</v>
      </c>
      <c r="FQ88" s="1">
        <f t="shared" si="366"/>
        <v>0</v>
      </c>
      <c r="FS88">
        <f t="shared" si="296"/>
        <v>2025</v>
      </c>
      <c r="FT88" s="5">
        <f t="shared" si="241"/>
        <v>3109.8213900859387</v>
      </c>
      <c r="FU88" s="214">
        <f t="shared" si="297"/>
        <v>3484.2824676317014</v>
      </c>
      <c r="FV88" s="213">
        <f t="shared" si="331"/>
        <v>2007.9824818603558</v>
      </c>
      <c r="FW88" s="5">
        <f t="shared" si="332"/>
        <v>1476.2999857713455</v>
      </c>
      <c r="FX88" s="1">
        <f t="shared" si="333"/>
        <v>0.42370272774549189</v>
      </c>
      <c r="FY88">
        <f t="shared" si="298"/>
        <v>59954.093743432561</v>
      </c>
      <c r="FZ88" s="26">
        <f t="shared" si="334"/>
        <v>2.4623839567803677E-2</v>
      </c>
      <c r="GA88" s="106">
        <f t="shared" si="299"/>
        <v>8.2079465226012256E-4</v>
      </c>
      <c r="GB88" s="61">
        <f t="shared" si="335"/>
        <v>1521.4919544905149</v>
      </c>
      <c r="GC88" s="61">
        <f t="shared" si="207"/>
        <v>2360.4630792996786</v>
      </c>
      <c r="GD88" s="61">
        <f t="shared" si="247"/>
        <v>2606.9437473615662</v>
      </c>
      <c r="GE88" s="61">
        <f t="shared" si="210"/>
        <v>1421.0269865615967</v>
      </c>
      <c r="GF88" s="61">
        <f t="shared" si="336"/>
        <v>939.43609273808192</v>
      </c>
      <c r="GG88" s="61">
        <f t="shared" si="245"/>
        <v>1037.5324526304094</v>
      </c>
      <c r="GH88" s="6">
        <f t="shared" si="337"/>
        <v>0.39798804775917168</v>
      </c>
      <c r="GI88">
        <f t="shared" si="300"/>
        <v>9248.6922093424037</v>
      </c>
      <c r="GJ88" s="26">
        <f t="shared" si="367"/>
        <v>0.10157501963241107</v>
      </c>
      <c r="GK88">
        <f t="shared" si="301"/>
        <v>3.3858339877470356E-3</v>
      </c>
      <c r="GL88" s="232">
        <f t="shared" si="338"/>
        <v>1.2341408827186904</v>
      </c>
    </row>
    <row r="89" spans="1:210" x14ac:dyDescent="0.35">
      <c r="A89">
        <v>2026</v>
      </c>
      <c r="D89" s="82" t="e">
        <f>NA()</f>
        <v>#N/A</v>
      </c>
      <c r="E89" s="82"/>
      <c r="F89" s="82"/>
      <c r="G89" s="82"/>
      <c r="H89" s="82"/>
      <c r="I89" s="82"/>
      <c r="J89" s="151">
        <f t="shared" ref="J89:J103" si="404">$J$87</f>
        <v>6.7433396200422865E-2</v>
      </c>
      <c r="K89" s="82"/>
      <c r="L89" s="82"/>
      <c r="M89" s="82"/>
      <c r="N89" s="82"/>
      <c r="O89" s="88">
        <v>2026</v>
      </c>
      <c r="P89" s="81">
        <f>'Orig data'!CN80</f>
        <v>0.10741516534518507</v>
      </c>
      <c r="Q89" s="81">
        <f>'Orig data'!CO80</f>
        <v>0.75930233821489568</v>
      </c>
      <c r="R89" s="81">
        <f>'Orig data'!CP80</f>
        <v>0.13183604264117066</v>
      </c>
      <c r="S89" s="85">
        <f>'Orig data'!CQ80</f>
        <v>1.4464537987485602E-3</v>
      </c>
      <c r="T89" s="79">
        <f t="shared" si="353"/>
        <v>0</v>
      </c>
      <c r="U89" s="79">
        <f t="shared" si="339"/>
        <v>0</v>
      </c>
      <c r="V89" s="79">
        <f t="shared" si="340"/>
        <v>0</v>
      </c>
      <c r="W89" s="79">
        <f t="shared" si="341"/>
        <v>0</v>
      </c>
      <c r="X89" s="79" t="s">
        <v>12</v>
      </c>
      <c r="Y89" s="79"/>
      <c r="Z89" s="79"/>
      <c r="AA89" s="79"/>
      <c r="AB89" s="79"/>
      <c r="AC89" s="82"/>
      <c r="AD89" s="82"/>
      <c r="AE89" s="80">
        <f t="shared" si="308"/>
        <v>0</v>
      </c>
      <c r="AH89" s="61">
        <v>2026</v>
      </c>
      <c r="AI89" s="74">
        <f t="shared" si="401"/>
        <v>0.2</v>
      </c>
      <c r="AJ89" s="75">
        <f t="shared" si="343"/>
        <v>268450.81253932748</v>
      </c>
      <c r="AK89" s="75">
        <f t="shared" si="344"/>
        <v>1940855.2663853336</v>
      </c>
      <c r="AL89" s="75">
        <f t="shared" si="345"/>
        <v>335084.76300389413</v>
      </c>
      <c r="AM89" s="75">
        <f t="shared" si="346"/>
        <v>2976.7107425025056</v>
      </c>
      <c r="AN89" s="79">
        <f t="shared" si="347"/>
        <v>2547367.5526710576</v>
      </c>
      <c r="AO89" s="80">
        <f t="shared" si="354"/>
        <v>509473.51053421153</v>
      </c>
      <c r="AP89" s="80">
        <f t="shared" si="348"/>
        <v>2037894.0421368461</v>
      </c>
      <c r="AQ89" s="81">
        <f t="shared" si="355"/>
        <v>-0.19962127429742188</v>
      </c>
      <c r="AR89" s="81">
        <f t="shared" si="356"/>
        <v>0.27293199985684191</v>
      </c>
      <c r="AS89" s="81">
        <f t="shared" si="357"/>
        <v>-0.36569454050217348</v>
      </c>
      <c r="AT89" s="121">
        <f t="shared" si="349"/>
        <v>2.6378516138507848</v>
      </c>
      <c r="AU89" s="122">
        <f t="shared" si="358"/>
        <v>0.7959846428153432</v>
      </c>
      <c r="AV89" s="122"/>
      <c r="AW89" s="115">
        <f t="shared" si="287"/>
        <v>2558682.1584268152</v>
      </c>
      <c r="AX89" s="115"/>
      <c r="AY89" s="141">
        <f t="shared" si="315"/>
        <v>110.40925749025973</v>
      </c>
      <c r="AZ89" s="122">
        <f>LN(BA89/CO89)^2</f>
        <v>22.214352513998275</v>
      </c>
      <c r="BA89" s="230">
        <v>19</v>
      </c>
      <c r="BB89" s="101">
        <v>2026</v>
      </c>
      <c r="BC89" s="72">
        <v>3.5750695088044487E-2</v>
      </c>
      <c r="BD89" s="72">
        <v>0.8358758109360519</v>
      </c>
      <c r="BE89" s="72">
        <v>0.11956904541241889</v>
      </c>
      <c r="BF89" s="72">
        <v>8.3410565338276187E-3</v>
      </c>
      <c r="BG89" s="72">
        <v>4.6339202965708991E-4</v>
      </c>
      <c r="BJ89" s="72"/>
      <c r="BL89" s="120">
        <f t="shared" si="369"/>
        <v>2.5024884869999999</v>
      </c>
      <c r="BM89" s="125">
        <f t="shared" si="387"/>
        <v>0.97934707710000013</v>
      </c>
      <c r="BN89" s="72">
        <f t="shared" si="388"/>
        <v>-0.57392922950000003</v>
      </c>
      <c r="BO89" s="98">
        <f t="shared" si="370"/>
        <v>0.70534238386420578</v>
      </c>
      <c r="BP89" s="94"/>
      <c r="BR89" s="199"/>
      <c r="CA89" s="19">
        <v>2026</v>
      </c>
      <c r="CB89" s="91">
        <f t="shared" si="389"/>
        <v>0.13799999999999998</v>
      </c>
      <c r="CC89" s="97">
        <f t="shared" si="252"/>
        <v>103.81106182302261</v>
      </c>
      <c r="CD89" s="97">
        <f t="shared" si="271"/>
        <v>1909.5503926093656</v>
      </c>
      <c r="CE89" s="97">
        <f t="shared" si="272"/>
        <v>437.42743810380779</v>
      </c>
      <c r="CF89" s="97">
        <f t="shared" si="273"/>
        <v>33.719265944798998</v>
      </c>
      <c r="CG89" s="97">
        <f t="shared" si="274"/>
        <v>1.5586399652206107</v>
      </c>
      <c r="CH89" s="92">
        <f t="shared" ref="CH89:CH103" si="405">SUM(CC89:CG89)</f>
        <v>2486.0667984462157</v>
      </c>
      <c r="CI89" s="209">
        <f t="shared" ref="CI89:CI103" si="406">IF(Fnbycatch=1,($CI$81)/($CH$81-$CK$81)*(CH89-CK89),0)</f>
        <v>26.213687945703157</v>
      </c>
      <c r="CJ89" s="92">
        <f t="shared" si="372"/>
        <v>0</v>
      </c>
      <c r="CK89" s="92">
        <f t="shared" ref="CK89:CK103" si="407">CH89*CB89</f>
        <v>343.07721818557775</v>
      </c>
      <c r="CL89" s="92">
        <f t="shared" ref="CL89:CL103" si="408">SUM(CI89:CK89)</f>
        <v>369.29090613128091</v>
      </c>
      <c r="CM89" s="72">
        <f t="shared" si="229"/>
        <v>1.2232298368205297E-2</v>
      </c>
      <c r="CN89" s="128">
        <f>CL89/CH89</f>
        <v>0.14854424119339296</v>
      </c>
      <c r="CO89" s="111">
        <f t="shared" ref="CO89:CO103" si="409">CH89-CL89</f>
        <v>2116.7758923149349</v>
      </c>
      <c r="CP89" s="72">
        <f t="shared" si="232"/>
        <v>0.70534238386420578</v>
      </c>
      <c r="CQ89" s="96">
        <f t="shared" si="281"/>
        <v>3.4113896007134534</v>
      </c>
      <c r="CR89" s="92">
        <f t="shared" si="234"/>
        <v>3411.3896007134535</v>
      </c>
      <c r="CS89" s="120">
        <f t="shared" si="376"/>
        <v>-0.90461819600000004</v>
      </c>
      <c r="CT89" s="72">
        <f t="shared" si="391"/>
        <v>0.97934707710000013</v>
      </c>
      <c r="CU89" s="72">
        <f t="shared" si="392"/>
        <v>-0.57392922950000003</v>
      </c>
      <c r="CV89" s="104">
        <f t="shared" si="377"/>
        <v>2.1800422333136753</v>
      </c>
      <c r="CW89" s="105">
        <f t="shared" si="318"/>
        <v>-0.19962127429742188</v>
      </c>
      <c r="CX89" s="105">
        <f t="shared" si="319"/>
        <v>0.27293199985684191</v>
      </c>
      <c r="CY89" s="105">
        <f t="shared" si="320"/>
        <v>-0.36569454050217348</v>
      </c>
      <c r="CZ89" s="123">
        <f t="shared" si="350"/>
        <v>-0.68849257550252763</v>
      </c>
      <c r="DA89" s="81">
        <f t="shared" si="351"/>
        <v>1.2366113750272465</v>
      </c>
      <c r="DB89" s="9">
        <f t="shared" si="321"/>
        <v>2558682.1584268152</v>
      </c>
      <c r="DC89" s="72">
        <f t="shared" si="403"/>
        <v>26.324931500533356</v>
      </c>
      <c r="DD89" s="1">
        <f t="shared" si="322"/>
        <v>168.14946588958964</v>
      </c>
      <c r="DE89" s="168">
        <v>9</v>
      </c>
      <c r="DF89" s="61">
        <v>2026</v>
      </c>
      <c r="DG89" s="26">
        <v>7.6142131979695434E-3</v>
      </c>
      <c r="DH89" s="26">
        <v>0.29512169725367693</v>
      </c>
      <c r="DI89" s="26">
        <v>0.6060236886632826</v>
      </c>
      <c r="DJ89" s="26">
        <v>8.8702329819081091E-2</v>
      </c>
      <c r="DK89" s="26">
        <v>2.5380710659898475E-3</v>
      </c>
      <c r="DO89" s="76" t="e">
        <f>NA()</f>
        <v>#N/A</v>
      </c>
      <c r="DP89" s="119">
        <f t="shared" si="359"/>
        <v>2.5024884869999999</v>
      </c>
      <c r="DQ89" s="109">
        <f t="shared" si="378"/>
        <v>1.1144526043</v>
      </c>
      <c r="DR89" s="109">
        <f t="shared" si="360"/>
        <v>-0.57392922950000003</v>
      </c>
      <c r="DS89" s="109">
        <f t="shared" si="360"/>
        <v>-0.15482546589999999</v>
      </c>
      <c r="DT89" s="113" cm="1">
        <f t="array" ref="DT89">IF(alphaV=1,$DN$11+SUMPRODUCT(DP$11:$DS$11*DP89:DS89),0)+IF(alphaV=2,$DY$104,0)+IF(alphaV=3,$DY$105,0)+IF(alphaV=4,$DY$106,0)+IF(alphaV=5,DY117,0)</f>
        <v>0.11617906224428368</v>
      </c>
      <c r="DU89" s="76" t="e">
        <f>NA()</f>
        <v>#N/A</v>
      </c>
      <c r="DV89" s="76" t="e">
        <f>NA()</f>
        <v>#N/A</v>
      </c>
      <c r="DW89" s="199"/>
      <c r="EE89" s="72">
        <f t="shared" si="189"/>
        <v>1.8766336221867335E-2</v>
      </c>
      <c r="EF89" s="19">
        <v>2026</v>
      </c>
      <c r="EG89">
        <f t="shared" si="361"/>
        <v>0.13799999999999998</v>
      </c>
      <c r="EH89" s="97">
        <f t="shared" si="220"/>
        <v>13.786915520963591</v>
      </c>
      <c r="EI89" s="97">
        <f t="shared" si="238"/>
        <v>524.6342668226182</v>
      </c>
      <c r="EJ89" s="97">
        <f t="shared" si="243"/>
        <v>1097.3160194074151</v>
      </c>
      <c r="EK89" s="97">
        <f t="shared" si="246"/>
        <v>159.58342205173224</v>
      </c>
      <c r="EL89" s="97">
        <f t="shared" si="248"/>
        <v>4.5174514871001437</v>
      </c>
      <c r="EM89" s="111">
        <f t="shared" si="196"/>
        <v>1799.8380752898292</v>
      </c>
      <c r="EN89" s="209">
        <f t="shared" ref="EN89:EN113" si="410">IF(Fnbycatch=1,MAX($EN$80/($EM$80-$EP$80)*(EM89-EP89),0),0)</f>
        <v>29.115227893526075</v>
      </c>
      <c r="EO89" s="4">
        <v>0</v>
      </c>
      <c r="EP89" s="92">
        <f t="shared" si="278"/>
        <v>248.37765438999639</v>
      </c>
      <c r="EQ89" s="92">
        <f t="shared" si="239"/>
        <v>277.49288228352248</v>
      </c>
      <c r="ER89" s="128">
        <f t="shared" si="362"/>
        <v>0.15417658182324961</v>
      </c>
      <c r="ES89" s="111">
        <f t="shared" si="363"/>
        <v>1522.3451930063068</v>
      </c>
      <c r="ET89" s="72">
        <f t="shared" si="364"/>
        <v>0.11617906224428368</v>
      </c>
      <c r="EU89" s="96">
        <f>IF(SSLcontrol=0,$ES89/1000*EXP($ET89+$DO$11*$ES89/1000),$ES89/1000*EXP($FA89+$DO$11*$ES89/1000))</f>
        <v>1.6284817514005301</v>
      </c>
      <c r="EV89" s="92">
        <f t="shared" si="205"/>
        <v>1628.4817514005301</v>
      </c>
      <c r="EW89" s="120">
        <f t="shared" si="365"/>
        <v>-0.87704872899999997</v>
      </c>
      <c r="EX89" s="127">
        <f t="shared" si="380"/>
        <v>1.1144526043</v>
      </c>
      <c r="EY89" s="9">
        <f t="shared" si="185"/>
        <v>-0.57392922950000003</v>
      </c>
      <c r="EZ89" s="9">
        <f t="shared" si="186"/>
        <v>-0.15482546589999999</v>
      </c>
      <c r="FA89" s="113" cm="1">
        <f t="array" ref="FA89">IF(alphaV=1,$DN$11+SUMPRODUCT($DP$11:$DS$11*EW89:EZ89),0)+IF(alphaV=2,$ES$115,0)+IF(alphaV=3,$ES$116,0)+IF(alphaV=4,$ES$117,0)+IF(alphaV=5,ES128,0)</f>
        <v>1.6239447871927648</v>
      </c>
      <c r="FB89" s="56">
        <v>2026</v>
      </c>
      <c r="FC89" s="116">
        <f t="shared" si="325"/>
        <v>2037894.0421368461</v>
      </c>
      <c r="FD89" s="116">
        <f t="shared" si="290"/>
        <v>2966076.1159630516</v>
      </c>
      <c r="FE89" s="116">
        <f t="shared" si="396"/>
        <v>2963086.7335141245</v>
      </c>
      <c r="FF89" s="116">
        <f t="shared" si="291"/>
        <v>2567288.6636617598</v>
      </c>
      <c r="FG89" s="5">
        <f t="shared" si="292"/>
        <v>398787.45230129175</v>
      </c>
      <c r="FH89" s="5">
        <f t="shared" si="393"/>
        <v>398385.53132416448</v>
      </c>
      <c r="FI89" s="117">
        <f t="shared" si="293"/>
        <v>0.13444950052194124</v>
      </c>
      <c r="FJ89" s="117">
        <f t="shared" si="326"/>
        <v>13.444950052194123</v>
      </c>
      <c r="FK89" s="61">
        <f t="shared" si="294"/>
        <v>7775.0525071201791</v>
      </c>
      <c r="FL89" s="61">
        <f t="shared" si="327"/>
        <v>381.48631321097838</v>
      </c>
      <c r="FM89" s="92">
        <f t="shared" si="328"/>
        <v>51.29064426717288</v>
      </c>
      <c r="FN89" s="72">
        <f t="shared" si="329"/>
        <v>0.13444950052194124</v>
      </c>
      <c r="FO89" s="92"/>
      <c r="FP89" s="92">
        <f t="shared" si="397"/>
        <v>50.886208761677459</v>
      </c>
      <c r="FQ89" s="1">
        <f t="shared" si="366"/>
        <v>0</v>
      </c>
      <c r="FS89">
        <f t="shared" si="296"/>
        <v>2026</v>
      </c>
      <c r="FT89" s="5">
        <f t="shared" si="241"/>
        <v>2116.7758923149349</v>
      </c>
      <c r="FU89" s="214">
        <f t="shared" si="297"/>
        <v>5272.1343706956904</v>
      </c>
      <c r="FV89" s="213">
        <f t="shared" si="331"/>
        <v>3038.3166567911635</v>
      </c>
      <c r="FW89" s="5">
        <f t="shared" si="332"/>
        <v>2233.817713904527</v>
      </c>
      <c r="FX89" s="1">
        <f t="shared" si="333"/>
        <v>0.423702727745492</v>
      </c>
      <c r="FY89">
        <f t="shared" si="298"/>
        <v>59954.093743432561</v>
      </c>
      <c r="FZ89" s="26">
        <f t="shared" si="334"/>
        <v>3.7258802100552504E-2</v>
      </c>
      <c r="GA89" s="106">
        <f t="shared" si="299"/>
        <v>1.2419600700184169E-3</v>
      </c>
      <c r="GB89" s="61">
        <f t="shared" si="335"/>
        <v>1522.3451930063068</v>
      </c>
      <c r="GC89" s="61">
        <f t="shared" si="207"/>
        <v>2359.7272600131919</v>
      </c>
      <c r="GD89" s="61">
        <f t="shared" si="247"/>
        <v>2623.7414251494179</v>
      </c>
      <c r="GE89" s="61">
        <f t="shared" si="210"/>
        <v>1420.5840145564423</v>
      </c>
      <c r="GF89" s="61">
        <f t="shared" si="336"/>
        <v>939.14324545674958</v>
      </c>
      <c r="GG89" s="61">
        <f t="shared" si="245"/>
        <v>1044.2177276200839</v>
      </c>
      <c r="GH89" s="6">
        <f t="shared" si="337"/>
        <v>0.39798804775917168</v>
      </c>
      <c r="GI89">
        <f t="shared" si="300"/>
        <v>9248.6922093424037</v>
      </c>
      <c r="GJ89" s="26">
        <f t="shared" si="367"/>
        <v>0.10154335599016806</v>
      </c>
      <c r="GK89">
        <f t="shared" si="301"/>
        <v>3.3847785330056021E-3</v>
      </c>
    </row>
    <row r="90" spans="1:210" x14ac:dyDescent="0.35">
      <c r="A90">
        <v>2027</v>
      </c>
      <c r="D90" s="82" t="e">
        <f>NA()</f>
        <v>#N/A</v>
      </c>
      <c r="E90" s="82"/>
      <c r="F90" s="82"/>
      <c r="G90" s="82"/>
      <c r="H90" s="82"/>
      <c r="I90" s="82"/>
      <c r="J90" s="151">
        <f t="shared" si="404"/>
        <v>6.7433396200422865E-2</v>
      </c>
      <c r="K90" s="82"/>
      <c r="L90" s="82"/>
      <c r="M90" s="82"/>
      <c r="N90" s="82"/>
      <c r="O90" s="88">
        <v>2027</v>
      </c>
      <c r="P90" s="81">
        <f>'Orig data'!CN81</f>
        <v>0.10741516534518507</v>
      </c>
      <c r="Q90" s="81">
        <f>'Orig data'!CO81</f>
        <v>0.75930233821489568</v>
      </c>
      <c r="R90" s="81">
        <f>'Orig data'!CP81</f>
        <v>0.13183604264117066</v>
      </c>
      <c r="S90" s="85">
        <f>'Orig data'!CQ81</f>
        <v>1.4464537987485602E-3</v>
      </c>
      <c r="T90" s="79">
        <f t="shared" si="353"/>
        <v>0</v>
      </c>
      <c r="U90" s="79">
        <f t="shared" si="339"/>
        <v>0</v>
      </c>
      <c r="V90" s="79">
        <f t="shared" si="340"/>
        <v>0</v>
      </c>
      <c r="W90" s="79">
        <f t="shared" si="341"/>
        <v>0</v>
      </c>
      <c r="X90" s="79" t="s">
        <v>12</v>
      </c>
      <c r="Y90" s="79"/>
      <c r="Z90" s="79"/>
      <c r="AA90" s="79"/>
      <c r="AB90" s="79"/>
      <c r="AC90" s="82"/>
      <c r="AD90" s="82"/>
      <c r="AE90" s="80">
        <f t="shared" si="308"/>
        <v>0</v>
      </c>
      <c r="AH90" s="61">
        <v>2027</v>
      </c>
      <c r="AI90" s="74">
        <f t="shared" si="401"/>
        <v>0.2</v>
      </c>
      <c r="AJ90" s="75">
        <f t="shared" si="343"/>
        <v>270367.20981613093</v>
      </c>
      <c r="AK90" s="75">
        <f t="shared" si="344"/>
        <v>1897640.1423557182</v>
      </c>
      <c r="AL90" s="75">
        <f t="shared" si="345"/>
        <v>336986.55302586535</v>
      </c>
      <c r="AM90" s="75">
        <f t="shared" si="346"/>
        <v>3676.4197304446629</v>
      </c>
      <c r="AN90" s="79">
        <f t="shared" si="347"/>
        <v>2508670.3249281589</v>
      </c>
      <c r="AO90" s="80">
        <f t="shared" si="354"/>
        <v>501734.06498563179</v>
      </c>
      <c r="AP90" s="80">
        <f t="shared" si="348"/>
        <v>2006936.2599425272</v>
      </c>
      <c r="AQ90" s="81">
        <f t="shared" si="355"/>
        <v>-0.19962127429742188</v>
      </c>
      <c r="AR90" s="81">
        <f t="shared" si="356"/>
        <v>0.27293199985684191</v>
      </c>
      <c r="AS90" s="81">
        <f t="shared" si="357"/>
        <v>-0.36569454050217348</v>
      </c>
      <c r="AT90" s="121">
        <f t="shared" si="349"/>
        <v>2.6378516138507848</v>
      </c>
      <c r="AU90" s="122">
        <f t="shared" si="358"/>
        <v>0.7959846428153432</v>
      </c>
      <c r="AV90" s="122"/>
      <c r="AW90" s="115">
        <f t="shared" si="287"/>
        <v>2558735.1232059724</v>
      </c>
      <c r="AX90" s="115"/>
      <c r="AY90" s="141" t="e">
        <f t="shared" si="315"/>
        <v>#N/A</v>
      </c>
      <c r="AZ90" s="141"/>
      <c r="BA90" s="140" t="e">
        <v>#N/A</v>
      </c>
      <c r="BB90" s="101">
        <v>2027</v>
      </c>
      <c r="BC90" s="72">
        <v>3.5750695088044487E-2</v>
      </c>
      <c r="BD90" s="72">
        <v>0.8358758109360519</v>
      </c>
      <c r="BE90" s="72">
        <v>0.11956904541241889</v>
      </c>
      <c r="BF90" s="72">
        <v>8.3410565338276187E-3</v>
      </c>
      <c r="BG90" s="72">
        <v>4.6339202965708991E-4</v>
      </c>
      <c r="BJ90" s="72"/>
      <c r="BL90" s="120">
        <f t="shared" si="369"/>
        <v>2.5024884869999999</v>
      </c>
      <c r="BM90" s="125">
        <f t="shared" si="387"/>
        <v>0.97934707710000013</v>
      </c>
      <c r="BN90" s="72">
        <f t="shared" si="388"/>
        <v>-0.57392922950000003</v>
      </c>
      <c r="BO90" s="98">
        <f t="shared" si="370"/>
        <v>0.70534238386420578</v>
      </c>
      <c r="BP90" s="94"/>
      <c r="BR90" s="199"/>
      <c r="CA90" s="19">
        <v>2027</v>
      </c>
      <c r="CB90" s="91">
        <f t="shared" si="389"/>
        <v>0.13799999999999998</v>
      </c>
      <c r="CC90" s="97">
        <f t="shared" si="252"/>
        <v>91.605355397332971</v>
      </c>
      <c r="CD90" s="97">
        <f t="shared" si="271"/>
        <v>2427.1739408633134</v>
      </c>
      <c r="CE90" s="97">
        <f t="shared" si="272"/>
        <v>273.15435453925255</v>
      </c>
      <c r="CF90" s="97">
        <f t="shared" si="273"/>
        <v>30.514645141528277</v>
      </c>
      <c r="CG90" s="97">
        <f t="shared" si="274"/>
        <v>1.8732925524888331</v>
      </c>
      <c r="CH90" s="92">
        <f t="shared" si="405"/>
        <v>2824.3215884939159</v>
      </c>
      <c r="CI90" s="209">
        <f t="shared" si="406"/>
        <v>29.780328036786603</v>
      </c>
      <c r="CJ90" s="92">
        <f t="shared" si="372"/>
        <v>0</v>
      </c>
      <c r="CK90" s="92">
        <f t="shared" si="407"/>
        <v>389.75637921216037</v>
      </c>
      <c r="CL90" s="92">
        <f t="shared" si="408"/>
        <v>419.53670724894698</v>
      </c>
      <c r="CM90" s="72">
        <f t="shared" si="229"/>
        <v>1.2232298368205297E-2</v>
      </c>
      <c r="CN90" s="128">
        <f t="shared" ref="CN90:CN103" si="411">CL90/CH90</f>
        <v>0.14854424119339296</v>
      </c>
      <c r="CO90" s="111">
        <f t="shared" si="409"/>
        <v>2404.7848812449688</v>
      </c>
      <c r="CP90" s="72">
        <f t="shared" si="232"/>
        <v>0.70534238386420578</v>
      </c>
      <c r="CQ90" s="96">
        <f t="shared" si="281"/>
        <v>3.0740639242127847</v>
      </c>
      <c r="CR90" s="92">
        <f t="shared" si="234"/>
        <v>3074.0639242127845</v>
      </c>
      <c r="CS90" s="120">
        <f t="shared" si="376"/>
        <v>-0.90461819600000004</v>
      </c>
      <c r="CT90" s="72">
        <f t="shared" si="391"/>
        <v>0.97934707710000013</v>
      </c>
      <c r="CU90" s="72">
        <f t="shared" si="392"/>
        <v>-0.57392922950000003</v>
      </c>
      <c r="CV90" s="104">
        <f t="shared" si="377"/>
        <v>2.1800422333136753</v>
      </c>
      <c r="CW90" s="105">
        <f t="shared" si="318"/>
        <v>-0.19962127429742188</v>
      </c>
      <c r="CX90" s="105">
        <f t="shared" si="319"/>
        <v>0.27293199985684191</v>
      </c>
      <c r="CY90" s="105">
        <f t="shared" si="320"/>
        <v>-0.36569454050217348</v>
      </c>
      <c r="CZ90" s="123">
        <f t="shared" si="350"/>
        <v>-0.68849257550252763</v>
      </c>
      <c r="DA90" s="81">
        <f t="shared" si="351"/>
        <v>1.2366113750272465</v>
      </c>
      <c r="DB90" s="9">
        <f t="shared" si="321"/>
        <v>2558735.1232059724</v>
      </c>
      <c r="DD90" s="1" t="e">
        <f t="shared" si="322"/>
        <v>#N/A</v>
      </c>
      <c r="DE90" s="126" t="e">
        <v>#N/A</v>
      </c>
      <c r="DF90" s="61">
        <v>2027</v>
      </c>
      <c r="DG90" s="26">
        <v>7.6142131979695434E-3</v>
      </c>
      <c r="DH90" s="26">
        <v>0.29512169725367693</v>
      </c>
      <c r="DI90" s="26">
        <v>0.6060236886632826</v>
      </c>
      <c r="DJ90" s="26">
        <v>8.8702329819081091E-2</v>
      </c>
      <c r="DK90" s="26">
        <v>2.5380710659898475E-3</v>
      </c>
      <c r="DO90" s="76" t="e">
        <f>NA()</f>
        <v>#N/A</v>
      </c>
      <c r="DP90" s="119">
        <f t="shared" si="359"/>
        <v>2.5024884869999999</v>
      </c>
      <c r="DQ90" s="109">
        <f t="shared" si="378"/>
        <v>1.1144526043</v>
      </c>
      <c r="DR90" s="109">
        <f t="shared" si="360"/>
        <v>-0.57392922950000003</v>
      </c>
      <c r="DS90" s="109">
        <f t="shared" si="360"/>
        <v>-0.15482546589999999</v>
      </c>
      <c r="DT90" s="113" cm="1">
        <f t="array" ref="DT90">IF(alphaV=1,$DN$11+SUMPRODUCT(DP$11:$DS$11*DP90:DS90),0)+IF(alphaV=2,$DY$104,0)+IF(alphaV=3,$DY$105,0)+IF(alphaV=4,$DY$106,0)+IF(alphaV=5,DY118,0)</f>
        <v>0.11617906224428368</v>
      </c>
      <c r="DU90" s="76" t="e">
        <f>NA()</f>
        <v>#N/A</v>
      </c>
      <c r="DV90" s="76" t="e">
        <f>NA()</f>
        <v>#N/A</v>
      </c>
      <c r="DW90" s="199"/>
      <c r="EE90" s="72">
        <f t="shared" si="189"/>
        <v>1.8766336221867335E-2</v>
      </c>
      <c r="EF90" s="19">
        <v>2027</v>
      </c>
      <c r="EG90">
        <f t="shared" si="361"/>
        <v>0.13799999999999998</v>
      </c>
      <c r="EH90" s="97">
        <f t="shared" si="220"/>
        <v>13.815859500145164</v>
      </c>
      <c r="EI90" s="97">
        <f t="shared" si="238"/>
        <v>534.3714186417651</v>
      </c>
      <c r="EJ90" s="97">
        <f t="shared" si="243"/>
        <v>1077.3209714421926</v>
      </c>
      <c r="EK90" s="97">
        <f t="shared" si="246"/>
        <v>160.61168777730481</v>
      </c>
      <c r="EL90" s="97">
        <f t="shared" si="248"/>
        <v>4.5662167718397333</v>
      </c>
      <c r="EM90" s="111">
        <f t="shared" si="196"/>
        <v>1790.6861541332473</v>
      </c>
      <c r="EN90" s="209">
        <f t="shared" si="410"/>
        <v>28.967181092096695</v>
      </c>
      <c r="EO90" s="4">
        <v>0</v>
      </c>
      <c r="EP90" s="92">
        <f t="shared" si="278"/>
        <v>247.11468927038811</v>
      </c>
      <c r="EQ90" s="92">
        <f t="shared" si="239"/>
        <v>276.08187036248478</v>
      </c>
      <c r="ER90" s="128">
        <f t="shared" si="362"/>
        <v>0.15417658182324961</v>
      </c>
      <c r="ES90" s="111">
        <f t="shared" si="363"/>
        <v>1514.6042837707625</v>
      </c>
      <c r="ET90" s="72">
        <f t="shared" si="364"/>
        <v>0.11617906224428368</v>
      </c>
      <c r="EU90" s="96">
        <f t="shared" si="280"/>
        <v>1.6330756506242727</v>
      </c>
      <c r="EV90" s="92">
        <f t="shared" si="205"/>
        <v>1633.0756506242728</v>
      </c>
      <c r="EW90" s="120">
        <f t="shared" si="365"/>
        <v>-0.87704872899999997</v>
      </c>
      <c r="EX90" s="127">
        <f t="shared" si="380"/>
        <v>1.1144526043</v>
      </c>
      <c r="EY90" s="9">
        <f t="shared" si="185"/>
        <v>-0.57392922950000003</v>
      </c>
      <c r="EZ90" s="9">
        <f t="shared" si="186"/>
        <v>-0.15482546589999999</v>
      </c>
      <c r="FA90" s="113" cm="1">
        <f t="array" ref="FA90">IF(alphaV=1,$DN$11+SUMPRODUCT($DP$11:$DS$11*EW90:EZ90),0)+IF(alphaV=2,$ES$115,0)+IF(alphaV=3,$ES$116,0)+IF(alphaV=4,$ES$117,0)+IF(alphaV=5,ES129,0)</f>
        <v>1.6239447871927648</v>
      </c>
      <c r="FB90" s="56">
        <v>2027</v>
      </c>
      <c r="FC90" s="116">
        <f t="shared" si="325"/>
        <v>2006936.2599425272</v>
      </c>
      <c r="FD90" s="116">
        <f t="shared" si="290"/>
        <v>2966137.5138064404</v>
      </c>
      <c r="FE90" s="116">
        <f t="shared" si="396"/>
        <v>2897110.5822177925</v>
      </c>
      <c r="FF90" s="116">
        <f t="shared" si="291"/>
        <v>2567341.8065957716</v>
      </c>
      <c r="FG90" s="5">
        <f t="shared" si="292"/>
        <v>398795.70721066883</v>
      </c>
      <c r="FH90" s="5">
        <f t="shared" si="393"/>
        <v>389515.07073601242</v>
      </c>
      <c r="FI90" s="117">
        <f t="shared" si="293"/>
        <v>0.13444950052194135</v>
      </c>
      <c r="FJ90" s="117">
        <f t="shared" si="326"/>
        <v>13.444950052194136</v>
      </c>
      <c r="FK90" s="61">
        <f t="shared" si="294"/>
        <v>7775.0525071201791</v>
      </c>
      <c r="FL90" s="61">
        <f t="shared" si="327"/>
        <v>381.49420998638055</v>
      </c>
      <c r="FM90" s="92">
        <f t="shared" si="328"/>
        <v>51.291705984681478</v>
      </c>
      <c r="FN90" s="72">
        <f t="shared" si="329"/>
        <v>0.13444950052194135</v>
      </c>
      <c r="FO90" s="92"/>
      <c r="FP90" s="92">
        <f t="shared" si="397"/>
        <v>50.94319599119487</v>
      </c>
      <c r="FQ90" s="1">
        <f t="shared" si="366"/>
        <v>0</v>
      </c>
      <c r="FS90">
        <f t="shared" si="296"/>
        <v>2027</v>
      </c>
      <c r="FT90" s="5">
        <f t="shared" si="241"/>
        <v>2404.7848812449688</v>
      </c>
      <c r="FU90" s="214">
        <f t="shared" si="297"/>
        <v>4750.8141753051041</v>
      </c>
      <c r="FV90" s="213">
        <f t="shared" si="331"/>
        <v>2737.881250216381</v>
      </c>
      <c r="FW90" s="5">
        <f t="shared" si="332"/>
        <v>2012.9329250887231</v>
      </c>
      <c r="FX90" s="1">
        <f t="shared" si="333"/>
        <v>0.42370272774549211</v>
      </c>
      <c r="FY90">
        <f t="shared" si="298"/>
        <v>59954.093743432561</v>
      </c>
      <c r="FZ90" s="26">
        <f t="shared" si="334"/>
        <v>3.3574570131989064E-2</v>
      </c>
      <c r="GA90" s="106">
        <f t="shared" si="299"/>
        <v>1.1191523377329688E-3</v>
      </c>
      <c r="GB90" s="61">
        <f t="shared" si="335"/>
        <v>1514.6042837707625</v>
      </c>
      <c r="GC90" s="61">
        <f t="shared" si="207"/>
        <v>2366.3839813542177</v>
      </c>
      <c r="GD90" s="61">
        <f t="shared" si="247"/>
        <v>2575.9321936095962</v>
      </c>
      <c r="GE90" s="61">
        <f t="shared" si="210"/>
        <v>1424.5914403664763</v>
      </c>
      <c r="GF90" s="61">
        <f t="shared" si="336"/>
        <v>941.7925409877414</v>
      </c>
      <c r="GG90" s="61">
        <f t="shared" si="245"/>
        <v>1025.1902248946842</v>
      </c>
      <c r="GH90" s="6">
        <f t="shared" si="337"/>
        <v>0.39798804775917174</v>
      </c>
      <c r="GI90">
        <f t="shared" si="300"/>
        <v>9248.6922093424037</v>
      </c>
      <c r="GJ90" s="26">
        <f t="shared" si="367"/>
        <v>0.10182980681705531</v>
      </c>
      <c r="GK90">
        <f t="shared" si="301"/>
        <v>3.3943268939018436E-3</v>
      </c>
    </row>
    <row r="91" spans="1:210" x14ac:dyDescent="0.35">
      <c r="A91">
        <v>2028</v>
      </c>
      <c r="D91" s="82" t="e">
        <f>NA()</f>
        <v>#N/A</v>
      </c>
      <c r="E91" s="82"/>
      <c r="F91" s="82"/>
      <c r="G91" s="82"/>
      <c r="H91" s="82"/>
      <c r="I91" s="82"/>
      <c r="J91" s="151">
        <f t="shared" si="404"/>
        <v>6.7433396200422865E-2</v>
      </c>
      <c r="K91" s="82"/>
      <c r="L91" s="82"/>
      <c r="M91" s="82"/>
      <c r="N91" s="82"/>
      <c r="O91" s="88">
        <v>2028</v>
      </c>
      <c r="P91" s="81">
        <f>P49</f>
        <v>0.10741516534518507</v>
      </c>
      <c r="Q91" s="81">
        <f>Q49</f>
        <v>0.75930233821489568</v>
      </c>
      <c r="R91" s="81">
        <f>R44</f>
        <v>0.13183604264117066</v>
      </c>
      <c r="S91" s="85">
        <f>S44</f>
        <v>1.4464537987485602E-3</v>
      </c>
      <c r="T91" s="79">
        <f t="shared" si="353"/>
        <v>0</v>
      </c>
      <c r="U91" s="79">
        <f t="shared" si="339"/>
        <v>0</v>
      </c>
      <c r="V91" s="79">
        <f t="shared" si="340"/>
        <v>0</v>
      </c>
      <c r="W91" s="79">
        <f t="shared" si="341"/>
        <v>0</v>
      </c>
      <c r="X91" s="82"/>
      <c r="Y91" s="79"/>
      <c r="Z91" s="79"/>
      <c r="AA91" s="79"/>
      <c r="AB91" s="79"/>
      <c r="AC91" s="82"/>
      <c r="AD91" s="82"/>
      <c r="AE91" s="82"/>
      <c r="AH91" s="61">
        <v>2028</v>
      </c>
      <c r="AI91" s="74">
        <f t="shared" si="401"/>
        <v>0.2</v>
      </c>
      <c r="AJ91" s="75">
        <f t="shared" si="343"/>
        <v>274806.2668933323</v>
      </c>
      <c r="AK91" s="75">
        <f t="shared" si="344"/>
        <v>1911186.8787830127</v>
      </c>
      <c r="AL91" s="75">
        <f t="shared" si="345"/>
        <v>329483.20337504492</v>
      </c>
      <c r="AM91" s="75">
        <f t="shared" si="346"/>
        <v>3697.2854311027868</v>
      </c>
      <c r="AN91" s="79">
        <f t="shared" si="347"/>
        <v>2519173.6344824927</v>
      </c>
      <c r="AO91" s="80">
        <f t="shared" si="354"/>
        <v>503834.72689649859</v>
      </c>
      <c r="AP91" s="80">
        <f t="shared" si="348"/>
        <v>2015338.9075859941</v>
      </c>
      <c r="AQ91" s="81">
        <f t="shared" si="355"/>
        <v>-0.19962127429742188</v>
      </c>
      <c r="AR91" s="81">
        <f t="shared" si="356"/>
        <v>0.27293199985684191</v>
      </c>
      <c r="AS91" s="81">
        <f t="shared" si="357"/>
        <v>-0.36569454050217348</v>
      </c>
      <c r="AT91" s="121">
        <f t="shared" si="349"/>
        <v>2.6378516138507848</v>
      </c>
      <c r="AU91" s="122">
        <f t="shared" si="358"/>
        <v>0.7959846428153432</v>
      </c>
      <c r="AV91" s="122"/>
      <c r="AW91" s="115">
        <f t="shared" si="287"/>
        <v>2558780.1690948769</v>
      </c>
      <c r="AX91" s="115"/>
      <c r="AY91" s="141" t="e">
        <f t="shared" si="315"/>
        <v>#N/A</v>
      </c>
      <c r="AZ91" s="141"/>
      <c r="BA91" s="140" t="e">
        <v>#N/A</v>
      </c>
      <c r="BB91" s="101">
        <v>2028</v>
      </c>
      <c r="BC91" s="72">
        <v>3.5750695088044487E-2</v>
      </c>
      <c r="BD91" s="72">
        <v>0.8358758109360519</v>
      </c>
      <c r="BE91" s="72">
        <v>0.11956904541241889</v>
      </c>
      <c r="BF91" s="72">
        <v>8.3410565338276187E-3</v>
      </c>
      <c r="BG91" s="72">
        <v>4.6339202965708991E-4</v>
      </c>
      <c r="BL91" s="120">
        <f t="shared" si="369"/>
        <v>2.5024884869999999</v>
      </c>
      <c r="BM91" s="125">
        <f t="shared" si="387"/>
        <v>0.97934707710000013</v>
      </c>
      <c r="BN91" s="72">
        <f t="shared" si="388"/>
        <v>-0.57392922950000003</v>
      </c>
      <c r="BO91" s="98">
        <f t="shared" si="370"/>
        <v>0.70534238386420578</v>
      </c>
      <c r="BP91" s="94"/>
      <c r="BR91" s="199"/>
      <c r="CA91" s="19">
        <v>2028</v>
      </c>
      <c r="CB91" s="91">
        <f t="shared" si="389"/>
        <v>0.13799999999999998</v>
      </c>
      <c r="CC91" s="97">
        <f t="shared" si="252"/>
        <v>71.471972145333893</v>
      </c>
      <c r="CD91" s="97">
        <f t="shared" si="271"/>
        <v>2141.7961396347009</v>
      </c>
      <c r="CE91" s="97">
        <f t="shared" si="272"/>
        <v>347.19855194030487</v>
      </c>
      <c r="CF91" s="97">
        <f t="shared" si="273"/>
        <v>19.055064844035758</v>
      </c>
      <c r="CG91" s="97">
        <f t="shared" si="274"/>
        <v>1.6952580634182375</v>
      </c>
      <c r="CH91" s="92">
        <f t="shared" si="405"/>
        <v>2581.2169866277936</v>
      </c>
      <c r="CI91" s="209">
        <f t="shared" si="406"/>
        <v>27.216974479486439</v>
      </c>
      <c r="CJ91" s="92">
        <f t="shared" si="372"/>
        <v>0</v>
      </c>
      <c r="CK91" s="92">
        <f t="shared" si="407"/>
        <v>356.20794415463547</v>
      </c>
      <c r="CL91" s="92">
        <f t="shared" si="408"/>
        <v>383.42491863412192</v>
      </c>
      <c r="CM91" s="72">
        <f t="shared" si="229"/>
        <v>1.2232298368205297E-2</v>
      </c>
      <c r="CN91" s="128">
        <f t="shared" si="411"/>
        <v>0.14854424119339296</v>
      </c>
      <c r="CO91" s="111">
        <f>CH91-CL91</f>
        <v>2197.7920679936715</v>
      </c>
      <c r="CP91" s="72">
        <f t="shared" si="232"/>
        <v>0.70534238386420578</v>
      </c>
      <c r="CQ91" s="96">
        <f t="shared" si="281"/>
        <v>3.3184781413181694</v>
      </c>
      <c r="CR91" s="92">
        <f t="shared" si="234"/>
        <v>3318.4781413181695</v>
      </c>
      <c r="CS91" s="120">
        <f t="shared" si="376"/>
        <v>-0.90461819600000004</v>
      </c>
      <c r="CT91" s="72">
        <f t="shared" si="391"/>
        <v>0.97934707710000013</v>
      </c>
      <c r="CU91" s="72">
        <f t="shared" si="392"/>
        <v>-0.57392922950000003</v>
      </c>
      <c r="CV91" s="104">
        <f t="shared" si="377"/>
        <v>2.1800422333136753</v>
      </c>
      <c r="CW91" s="105">
        <f t="shared" si="318"/>
        <v>-0.19962127429742188</v>
      </c>
      <c r="CX91" s="105">
        <f t="shared" si="319"/>
        <v>0.27293199985684191</v>
      </c>
      <c r="CY91" s="105">
        <f t="shared" si="320"/>
        <v>-0.36569454050217348</v>
      </c>
      <c r="CZ91" s="123">
        <f t="shared" si="350"/>
        <v>-0.68849257550252763</v>
      </c>
      <c r="DA91" s="81">
        <f t="shared" si="351"/>
        <v>1.2366113750272465</v>
      </c>
      <c r="DB91" s="9">
        <f t="shared" si="321"/>
        <v>2558780.1690948769</v>
      </c>
      <c r="DD91" s="1" t="e">
        <f t="shared" si="322"/>
        <v>#N/A</v>
      </c>
      <c r="DE91" s="126" t="e">
        <v>#N/A</v>
      </c>
      <c r="DF91" s="61">
        <v>2028</v>
      </c>
      <c r="DG91" s="26">
        <v>7.6142131979695434E-3</v>
      </c>
      <c r="DH91" s="26">
        <v>0.29512169725367693</v>
      </c>
      <c r="DI91" s="26">
        <v>0.6060236886632826</v>
      </c>
      <c r="DJ91" s="26">
        <v>8.8702329819081091E-2</v>
      </c>
      <c r="DK91" s="26">
        <v>2.5380710659898475E-3</v>
      </c>
      <c r="DO91" s="76" t="e">
        <f>NA()</f>
        <v>#N/A</v>
      </c>
      <c r="DP91" s="119">
        <f t="shared" si="359"/>
        <v>2.5024884869999999</v>
      </c>
      <c r="DQ91" s="109">
        <f t="shared" si="378"/>
        <v>1.1144526043</v>
      </c>
      <c r="DR91" s="109">
        <f t="shared" si="360"/>
        <v>-0.57392922950000003</v>
      </c>
      <c r="DS91" s="109">
        <f t="shared" si="360"/>
        <v>-0.15482546589999999</v>
      </c>
      <c r="DT91" s="113" cm="1">
        <f t="array" ref="DT91">IF(alphaV=1,$DN$11+SUMPRODUCT(DP$11:$DS$11*DP91:DS91),0)+IF(alphaV=2,$DY$104,0)+IF(alphaV=3,$DY$105,0)+IF(alphaV=4,$DY$106,0)+IF(alphaV=5,DY119,0)</f>
        <v>0.11617906224428368</v>
      </c>
      <c r="DU91" s="76" t="e">
        <f>NA()</f>
        <v>#N/A</v>
      </c>
      <c r="DV91" s="76" t="e">
        <f>NA()</f>
        <v>#N/A</v>
      </c>
      <c r="DW91" s="199"/>
      <c r="EE91" s="72">
        <f t="shared" si="189"/>
        <v>1.8766336221867335E-2</v>
      </c>
      <c r="EF91" s="19">
        <v>2028</v>
      </c>
      <c r="EG91">
        <f t="shared" si="361"/>
        <v>0.13799999999999998</v>
      </c>
      <c r="EH91" s="97">
        <f t="shared" si="220"/>
        <v>12.689079864630422</v>
      </c>
      <c r="EI91" s="97">
        <f t="shared" si="238"/>
        <v>535.49326748408794</v>
      </c>
      <c r="EJ91" s="97">
        <f t="shared" si="243"/>
        <v>1097.3159251085156</v>
      </c>
      <c r="EK91" s="97">
        <f t="shared" si="246"/>
        <v>157.68505739546018</v>
      </c>
      <c r="EL91" s="97">
        <f t="shared" si="248"/>
        <v>4.5956389019184787</v>
      </c>
      <c r="EM91" s="111">
        <f t="shared" si="196"/>
        <v>1807.7789687546126</v>
      </c>
      <c r="EN91" s="209">
        <f t="shared" si="410"/>
        <v>29.24368440640885</v>
      </c>
      <c r="EO91" s="4">
        <v>0</v>
      </c>
      <c r="EP91" s="92">
        <f t="shared" si="278"/>
        <v>249.47349768813652</v>
      </c>
      <c r="EQ91" s="92">
        <f t="shared" si="239"/>
        <v>278.71718209454536</v>
      </c>
      <c r="ER91" s="128">
        <f t="shared" si="362"/>
        <v>0.15417658182324964</v>
      </c>
      <c r="ES91" s="111">
        <f t="shared" si="363"/>
        <v>1529.0617866600674</v>
      </c>
      <c r="ET91" s="72">
        <f t="shared" si="364"/>
        <v>0.11617906224428368</v>
      </c>
      <c r="EU91" s="96">
        <f t="shared" si="280"/>
        <v>1.6244721631124877</v>
      </c>
      <c r="EV91" s="92">
        <f t="shared" si="205"/>
        <v>1624.4721631124876</v>
      </c>
      <c r="EW91" s="120">
        <f t="shared" si="365"/>
        <v>-0.87704872899999997</v>
      </c>
      <c r="EX91" s="127">
        <f t="shared" si="380"/>
        <v>1.1144526043</v>
      </c>
      <c r="EY91" s="9">
        <f t="shared" si="185"/>
        <v>-0.57392922950000003</v>
      </c>
      <c r="EZ91" s="9">
        <f t="shared" si="186"/>
        <v>-0.15482546589999999</v>
      </c>
      <c r="FA91" s="113" cm="1">
        <f t="array" ref="FA91">IF(alphaV=1,$DN$11+SUMPRODUCT($DP$11:$DS$11*EW91:EZ91),0)+IF(alphaV=2,$ES$115,0)+IF(alphaV=3,$ES$116,0)+IF(alphaV=4,$ES$117,0)+IF(alphaV=5,ES130,0)</f>
        <v>1.6239447871927648</v>
      </c>
      <c r="FB91" s="56">
        <v>2028</v>
      </c>
      <c r="FC91" s="116">
        <f t="shared" si="325"/>
        <v>2015338.9075859941</v>
      </c>
      <c r="FD91" s="116">
        <f t="shared" si="290"/>
        <v>2966189.731912063</v>
      </c>
      <c r="FE91" s="116">
        <f t="shared" si="396"/>
        <v>2917792.2660534382</v>
      </c>
      <c r="FF91" s="116">
        <f t="shared" si="291"/>
        <v>2567387.0040031755</v>
      </c>
      <c r="FG91" s="5">
        <f t="shared" si="292"/>
        <v>398802.72790888743</v>
      </c>
      <c r="FH91" s="5">
        <f t="shared" si="393"/>
        <v>392295.71279766737</v>
      </c>
      <c r="FI91" s="117">
        <f t="shared" si="293"/>
        <v>0.13444950052194116</v>
      </c>
      <c r="FJ91" s="117">
        <f t="shared" si="326"/>
        <v>13.444950052194116</v>
      </c>
      <c r="FK91" s="61">
        <f t="shared" si="294"/>
        <v>7775.0525071201791</v>
      </c>
      <c r="FL91" s="61">
        <f t="shared" si="327"/>
        <v>381.50092609608851</v>
      </c>
      <c r="FM91" s="92">
        <f t="shared" si="328"/>
        <v>51.292608962277086</v>
      </c>
      <c r="FN91" s="72">
        <f t="shared" si="329"/>
        <v>0.13444950052194116</v>
      </c>
      <c r="FO91" s="92"/>
      <c r="FP91" s="92">
        <f t="shared" si="397"/>
        <v>50.952139051586663</v>
      </c>
      <c r="FQ91" s="1">
        <f t="shared" si="366"/>
        <v>0</v>
      </c>
      <c r="FS91">
        <f t="shared" si="296"/>
        <v>2028</v>
      </c>
      <c r="FT91" s="5">
        <f t="shared" si="241"/>
        <v>2197.7920679936715</v>
      </c>
      <c r="FU91" s="214">
        <f t="shared" si="297"/>
        <v>5128.5442927969571</v>
      </c>
      <c r="FV91" s="213">
        <f t="shared" si="331"/>
        <v>2955.5660865753111</v>
      </c>
      <c r="FW91" s="5">
        <f t="shared" si="332"/>
        <v>2172.9782062216459</v>
      </c>
      <c r="FX91" s="1">
        <f t="shared" si="333"/>
        <v>0.423702727745492</v>
      </c>
      <c r="FY91">
        <f t="shared" si="298"/>
        <v>59954.093743432561</v>
      </c>
      <c r="FZ91" s="26">
        <f t="shared" si="334"/>
        <v>3.6244033902350099E-2</v>
      </c>
      <c r="GA91" s="106">
        <f t="shared" si="299"/>
        <v>1.20813446341167E-3</v>
      </c>
      <c r="GB91" s="61">
        <f t="shared" si="335"/>
        <v>1529.0617866600674</v>
      </c>
      <c r="GC91" s="61">
        <f t="shared" si="207"/>
        <v>2353.9172257425676</v>
      </c>
      <c r="GD91" s="61">
        <f t="shared" si="247"/>
        <v>2623.7411996756937</v>
      </c>
      <c r="GE91" s="61">
        <f t="shared" si="210"/>
        <v>1417.0863044825976</v>
      </c>
      <c r="GF91" s="61">
        <f t="shared" si="336"/>
        <v>936.83092125996995</v>
      </c>
      <c r="GG91" s="61">
        <f t="shared" si="245"/>
        <v>1044.2176378842366</v>
      </c>
      <c r="GH91" s="6">
        <f t="shared" si="337"/>
        <v>0.39798804775917174</v>
      </c>
      <c r="GI91">
        <f t="shared" si="300"/>
        <v>9248.6922093424037</v>
      </c>
      <c r="GJ91" s="26">
        <f t="shared" si="367"/>
        <v>0.10129333964791765</v>
      </c>
      <c r="GK91">
        <f t="shared" si="301"/>
        <v>3.3764446549305882E-3</v>
      </c>
    </row>
    <row r="92" spans="1:210" x14ac:dyDescent="0.35">
      <c r="A92">
        <v>2029</v>
      </c>
      <c r="D92" s="82" t="e">
        <f>NA()</f>
        <v>#N/A</v>
      </c>
      <c r="E92" s="82"/>
      <c r="F92" s="82"/>
      <c r="G92" s="82"/>
      <c r="H92" s="82"/>
      <c r="I92" s="82"/>
      <c r="J92" s="151">
        <f t="shared" si="404"/>
        <v>6.7433396200422865E-2</v>
      </c>
      <c r="K92" s="82"/>
      <c r="L92" s="82"/>
      <c r="M92" s="82"/>
      <c r="N92" s="82"/>
      <c r="O92" s="88">
        <v>2029</v>
      </c>
      <c r="P92" s="81">
        <f t="shared" ref="P92:Q103" si="412">P50</f>
        <v>0.10741516534518507</v>
      </c>
      <c r="Q92" s="81">
        <f t="shared" si="412"/>
        <v>0.75930233821489568</v>
      </c>
      <c r="R92" s="81">
        <f t="shared" ref="R92:S103" si="413">R45</f>
        <v>0.13183604264117066</v>
      </c>
      <c r="S92" s="85">
        <f t="shared" si="413"/>
        <v>1.4464537987485602E-3</v>
      </c>
      <c r="T92" s="79">
        <f t="shared" si="353"/>
        <v>0</v>
      </c>
      <c r="U92" s="79">
        <f t="shared" si="339"/>
        <v>0</v>
      </c>
      <c r="V92" s="79">
        <f t="shared" si="340"/>
        <v>0</v>
      </c>
      <c r="W92" s="79">
        <f t="shared" si="341"/>
        <v>0</v>
      </c>
      <c r="X92" s="82"/>
      <c r="Y92" s="79"/>
      <c r="Z92" s="79"/>
      <c r="AA92" s="79"/>
      <c r="AB92" s="79"/>
      <c r="AC92" s="82"/>
      <c r="AD92" s="82"/>
      <c r="AE92" s="82"/>
      <c r="AH92" s="61">
        <v>2029</v>
      </c>
      <c r="AI92" s="74">
        <f t="shared" si="401"/>
        <v>0.2</v>
      </c>
      <c r="AJ92" s="75">
        <f t="shared" si="343"/>
        <v>274841.26711319137</v>
      </c>
      <c r="AK92" s="75">
        <f t="shared" si="344"/>
        <v>1942565.9341273566</v>
      </c>
      <c r="AL92" s="75">
        <f t="shared" si="345"/>
        <v>331835.29427664314</v>
      </c>
      <c r="AM92" s="75">
        <f t="shared" si="346"/>
        <v>3614.9615962216985</v>
      </c>
      <c r="AN92" s="79">
        <f t="shared" si="347"/>
        <v>2552857.4571134127</v>
      </c>
      <c r="AO92" s="80">
        <f t="shared" si="354"/>
        <v>510571.49142268253</v>
      </c>
      <c r="AP92" s="80">
        <f t="shared" si="348"/>
        <v>2042285.9656907301</v>
      </c>
      <c r="AQ92" s="81">
        <f t="shared" si="355"/>
        <v>-0.19962127429742188</v>
      </c>
      <c r="AR92" s="81">
        <f t="shared" si="356"/>
        <v>0.27293199985684191</v>
      </c>
      <c r="AS92" s="81">
        <f t="shared" si="357"/>
        <v>-0.36569454050217348</v>
      </c>
      <c r="AT92" s="121">
        <f t="shared" si="349"/>
        <v>2.6378516138507848</v>
      </c>
      <c r="AU92" s="122">
        <f t="shared" si="358"/>
        <v>0.7959846428153432</v>
      </c>
      <c r="AV92" s="122"/>
      <c r="AW92" s="115">
        <f t="shared" si="287"/>
        <v>2558626.3985902355</v>
      </c>
      <c r="AX92" s="115"/>
      <c r="AY92" s="141" t="e">
        <f t="shared" si="315"/>
        <v>#N/A</v>
      </c>
      <c r="AZ92" s="141"/>
      <c r="BA92" s="140" t="e">
        <v>#N/A</v>
      </c>
      <c r="BB92" s="101">
        <v>2029</v>
      </c>
      <c r="BC92" s="72">
        <v>3.5750695088044487E-2</v>
      </c>
      <c r="BD92" s="72">
        <v>0.8358758109360519</v>
      </c>
      <c r="BE92" s="72">
        <v>0.11956904541241889</v>
      </c>
      <c r="BF92" s="72">
        <v>8.3410565338276187E-3</v>
      </c>
      <c r="BG92" s="72">
        <v>4.6339202965708991E-4</v>
      </c>
      <c r="BL92" s="120">
        <f t="shared" si="369"/>
        <v>2.5024884869999999</v>
      </c>
      <c r="BM92" s="125">
        <f t="shared" si="387"/>
        <v>0.97934707710000013</v>
      </c>
      <c r="BN92" s="72">
        <f t="shared" si="388"/>
        <v>-0.57392922950000003</v>
      </c>
      <c r="BO92" s="98">
        <f t="shared" si="370"/>
        <v>0.70534238386420578</v>
      </c>
      <c r="BP92" s="94"/>
      <c r="BR92" s="199"/>
      <c r="CA92" s="19">
        <v>2029</v>
      </c>
      <c r="CB92" s="91">
        <f t="shared" si="389"/>
        <v>0.13799999999999998</v>
      </c>
      <c r="CC92" s="97">
        <f t="shared" si="252"/>
        <v>80.601420601438178</v>
      </c>
      <c r="CD92" s="97">
        <f t="shared" si="271"/>
        <v>1671.0638081036448</v>
      </c>
      <c r="CE92" s="97">
        <f t="shared" si="272"/>
        <v>306.37627807095038</v>
      </c>
      <c r="CF92" s="97">
        <f t="shared" si="273"/>
        <v>24.220338468106377</v>
      </c>
      <c r="CG92" s="97">
        <f t="shared" si="274"/>
        <v>1.0586147135575421</v>
      </c>
      <c r="CH92" s="92">
        <f t="shared" si="405"/>
        <v>2083.3204599576975</v>
      </c>
      <c r="CI92" s="209">
        <f t="shared" si="406"/>
        <v>21.967033412924337</v>
      </c>
      <c r="CJ92" s="92">
        <f t="shared" si="372"/>
        <v>0</v>
      </c>
      <c r="CK92" s="92">
        <f t="shared" si="407"/>
        <v>287.49822347416222</v>
      </c>
      <c r="CL92" s="92">
        <f t="shared" si="408"/>
        <v>309.46525688708653</v>
      </c>
      <c r="CM92" s="72">
        <f t="shared" si="229"/>
        <v>1.2232298368205297E-2</v>
      </c>
      <c r="CN92" s="128">
        <f t="shared" si="411"/>
        <v>0.14854424119339293</v>
      </c>
      <c r="CO92" s="111">
        <f t="shared" si="409"/>
        <v>1773.855203070611</v>
      </c>
      <c r="CP92" s="72">
        <f t="shared" si="232"/>
        <v>0.70534238386420578</v>
      </c>
      <c r="CQ92" s="96">
        <f t="shared" si="281"/>
        <v>3.7668516795592057</v>
      </c>
      <c r="CR92" s="92">
        <f t="shared" si="234"/>
        <v>3766.8516795592059</v>
      </c>
      <c r="CS92" s="120">
        <f t="shared" si="376"/>
        <v>-0.90461819600000004</v>
      </c>
      <c r="CT92" s="72">
        <f t="shared" si="391"/>
        <v>0.97934707710000013</v>
      </c>
      <c r="CU92" s="72">
        <f t="shared" si="392"/>
        <v>-0.57392922950000003</v>
      </c>
      <c r="CV92" s="104">
        <f t="shared" si="377"/>
        <v>2.1800422333136753</v>
      </c>
      <c r="CW92" s="105">
        <f t="shared" si="318"/>
        <v>-0.19962127429742188</v>
      </c>
      <c r="CX92" s="105">
        <f t="shared" si="319"/>
        <v>0.27293199985684191</v>
      </c>
      <c r="CY92" s="105">
        <f t="shared" si="320"/>
        <v>-0.36569454050217348</v>
      </c>
      <c r="CZ92" s="123">
        <f t="shared" si="350"/>
        <v>-0.68849257550252763</v>
      </c>
      <c r="DA92" s="81">
        <f t="shared" si="351"/>
        <v>1.2366113750272465</v>
      </c>
      <c r="DB92" s="9">
        <f t="shared" si="321"/>
        <v>2558626.3985902355</v>
      </c>
      <c r="DD92" s="1" t="e">
        <f t="shared" si="322"/>
        <v>#N/A</v>
      </c>
      <c r="DE92" s="126" t="e">
        <v>#N/A</v>
      </c>
      <c r="DF92" s="61">
        <v>2029</v>
      </c>
      <c r="DG92" s="26">
        <v>7.6142131979695434E-3</v>
      </c>
      <c r="DH92" s="26">
        <v>0.29512169725367693</v>
      </c>
      <c r="DI92" s="26">
        <v>0.6060236886632826</v>
      </c>
      <c r="DJ92" s="26">
        <v>8.8702329819081091E-2</v>
      </c>
      <c r="DK92" s="26">
        <v>2.5380710659898475E-3</v>
      </c>
      <c r="DO92" s="76" t="e">
        <f>NA()</f>
        <v>#N/A</v>
      </c>
      <c r="DP92" s="119">
        <f t="shared" si="359"/>
        <v>2.5024884869999999</v>
      </c>
      <c r="DQ92" s="109">
        <f t="shared" si="378"/>
        <v>1.1144526043</v>
      </c>
      <c r="DR92" s="109">
        <f t="shared" si="360"/>
        <v>-0.57392922950000003</v>
      </c>
      <c r="DS92" s="109">
        <f t="shared" si="360"/>
        <v>-0.15482546589999999</v>
      </c>
      <c r="DT92" s="113" cm="1">
        <f t="array" ref="DT92">IF(alphaV=1,$DN$11+SUMPRODUCT(DP$11:$DS$11*DP92:DS92),0)+IF(alphaV=2,$DY$104,0)+IF(alphaV=3,$DY$105,0)+IF(alphaV=4,$DY$106,0)+IF(alphaV=5,DY120,0)</f>
        <v>0.11617906224428368</v>
      </c>
      <c r="DU92" s="76" t="e">
        <f>NA()</f>
        <v>#N/A</v>
      </c>
      <c r="DV92" s="76" t="e">
        <f>NA()</f>
        <v>#N/A</v>
      </c>
      <c r="DW92" s="199"/>
      <c r="EE92" s="72">
        <f t="shared" si="189"/>
        <v>1.8766336221867335E-2</v>
      </c>
      <c r="EF92" s="19">
        <v>2029</v>
      </c>
      <c r="EG92">
        <f t="shared" si="361"/>
        <v>0.13799999999999998</v>
      </c>
      <c r="EH92" s="97">
        <f t="shared" si="220"/>
        <v>12.403473737684486</v>
      </c>
      <c r="EI92" s="97">
        <f t="shared" si="238"/>
        <v>491.82005925915058</v>
      </c>
      <c r="EJ92" s="97">
        <f t="shared" si="243"/>
        <v>1099.6196085715537</v>
      </c>
      <c r="EK92" s="97">
        <f t="shared" si="246"/>
        <v>160.6116739749861</v>
      </c>
      <c r="EL92" s="97">
        <f t="shared" si="248"/>
        <v>4.5118981940006941</v>
      </c>
      <c r="EM92" s="111">
        <f t="shared" si="196"/>
        <v>1768.9667137373756</v>
      </c>
      <c r="EN92" s="209">
        <f t="shared" si="410"/>
        <v>28.615834787377683</v>
      </c>
      <c r="EO92" s="4">
        <v>0</v>
      </c>
      <c r="EP92" s="92">
        <f t="shared" si="278"/>
        <v>244.11740649575779</v>
      </c>
      <c r="EQ92" s="92">
        <f t="shared" si="239"/>
        <v>272.7332412831355</v>
      </c>
      <c r="ER92" s="128">
        <f t="shared" si="362"/>
        <v>0.15417658182324964</v>
      </c>
      <c r="ES92" s="111">
        <f t="shared" si="363"/>
        <v>1496.2334724542402</v>
      </c>
      <c r="ET92" s="72">
        <f t="shared" si="364"/>
        <v>0.11617906224428368</v>
      </c>
      <c r="EU92" s="96">
        <f t="shared" si="280"/>
        <v>1.6438571889830296</v>
      </c>
      <c r="EV92" s="92">
        <f t="shared" si="205"/>
        <v>1643.8571889830296</v>
      </c>
      <c r="EW92" s="120">
        <f t="shared" si="365"/>
        <v>-0.87704872899999997</v>
      </c>
      <c r="EX92" s="127">
        <f t="shared" si="380"/>
        <v>1.1144526043</v>
      </c>
      <c r="EY92" s="9">
        <f t="shared" si="185"/>
        <v>-0.57392922950000003</v>
      </c>
      <c r="EZ92" s="9">
        <f t="shared" si="186"/>
        <v>-0.15482546589999999</v>
      </c>
      <c r="FA92" s="113" cm="1">
        <f t="array" ref="FA92">IF(alphaV=1,$DN$11+SUMPRODUCT($DP$11:$DS$11*EW92:EZ92),0)+IF(alphaV=2,$ES$115,0)+IF(alphaV=3,$ES$116,0)+IF(alphaV=4,$ES$117,0)+IF(alphaV=5,ES131,0)</f>
        <v>1.6239447871927648</v>
      </c>
      <c r="FB92" s="56">
        <v>2029</v>
      </c>
      <c r="FC92" s="116">
        <f t="shared" si="325"/>
        <v>2042285.9656907301</v>
      </c>
      <c r="FD92" s="116">
        <f t="shared" si="290"/>
        <v>2966011.4780325592</v>
      </c>
      <c r="FE92" s="116">
        <f t="shared" si="396"/>
        <v>2965698.3949706117</v>
      </c>
      <c r="FF92" s="116">
        <f t="shared" si="291"/>
        <v>2567232.7162687373</v>
      </c>
      <c r="FG92" s="5">
        <f t="shared" si="292"/>
        <v>398778.76176382182</v>
      </c>
      <c r="FH92" s="5">
        <f t="shared" si="393"/>
        <v>398736.66790252132</v>
      </c>
      <c r="FI92" s="117">
        <f t="shared" si="293"/>
        <v>0.1344495005219411</v>
      </c>
      <c r="FJ92" s="117">
        <f t="shared" si="326"/>
        <v>13.444950052194111</v>
      </c>
      <c r="FK92" s="61">
        <f t="shared" si="294"/>
        <v>7775.0525071201791</v>
      </c>
      <c r="FL92" s="61">
        <f t="shared" si="327"/>
        <v>381.47799970693029</v>
      </c>
      <c r="FM92" s="92">
        <f t="shared" si="328"/>
        <v>51.289526520705962</v>
      </c>
      <c r="FN92" s="72">
        <f t="shared" si="329"/>
        <v>0.1344495005219411</v>
      </c>
      <c r="FO92" s="92"/>
      <c r="FP92" s="92">
        <f t="shared" si="397"/>
        <v>51.15071629633465</v>
      </c>
      <c r="FQ92" s="1">
        <f t="shared" si="366"/>
        <v>0</v>
      </c>
      <c r="FS92">
        <f t="shared" si="296"/>
        <v>2029</v>
      </c>
      <c r="FT92" s="5">
        <f t="shared" si="241"/>
        <v>1773.855203070611</v>
      </c>
      <c r="FU92" s="214">
        <f t="shared" si="297"/>
        <v>5821.483481383515</v>
      </c>
      <c r="FV92" s="213">
        <f t="shared" si="331"/>
        <v>3354.9050507959964</v>
      </c>
      <c r="FW92" s="5">
        <f t="shared" si="332"/>
        <v>2466.5784305875186</v>
      </c>
      <c r="FX92" s="1">
        <f t="shared" si="333"/>
        <v>0.42370272774549206</v>
      </c>
      <c r="FY92">
        <f t="shared" si="298"/>
        <v>59954.093743432561</v>
      </c>
      <c r="FZ92" s="26">
        <f t="shared" si="334"/>
        <v>4.1141117754910778E-2</v>
      </c>
      <c r="GA92" s="106">
        <f t="shared" si="299"/>
        <v>1.3713705918303593E-3</v>
      </c>
      <c r="GB92" s="61">
        <f t="shared" si="335"/>
        <v>1496.2334724542402</v>
      </c>
      <c r="GC92" s="61">
        <f t="shared" si="207"/>
        <v>2382.00680914959</v>
      </c>
      <c r="GD92" s="61">
        <f t="shared" si="247"/>
        <v>2629.2494303271242</v>
      </c>
      <c r="GE92" s="61">
        <f t="shared" si="210"/>
        <v>1433.9965694270909</v>
      </c>
      <c r="GF92" s="61">
        <f t="shared" si="336"/>
        <v>948.01023972249914</v>
      </c>
      <c r="GG92" s="61">
        <f t="shared" si="245"/>
        <v>1046.4098478478068</v>
      </c>
      <c r="GH92" s="6">
        <f t="shared" si="337"/>
        <v>0.39798804775917168</v>
      </c>
      <c r="GI92">
        <f t="shared" si="300"/>
        <v>9248.6922093424037</v>
      </c>
      <c r="GJ92" s="26">
        <f t="shared" si="367"/>
        <v>0.10250208551268289</v>
      </c>
      <c r="GK92">
        <f t="shared" si="301"/>
        <v>3.4167361837560964E-3</v>
      </c>
    </row>
    <row r="93" spans="1:210" x14ac:dyDescent="0.35">
      <c r="A93">
        <v>2030</v>
      </c>
      <c r="D93" s="82" t="e">
        <f>NA()</f>
        <v>#N/A</v>
      </c>
      <c r="E93" s="82"/>
      <c r="F93" s="82"/>
      <c r="G93" s="82"/>
      <c r="H93" s="82"/>
      <c r="I93" s="82"/>
      <c r="J93" s="151">
        <f t="shared" si="404"/>
        <v>6.7433396200422865E-2</v>
      </c>
      <c r="K93" s="82"/>
      <c r="L93" s="82"/>
      <c r="M93" s="82"/>
      <c r="N93" s="82"/>
      <c r="O93" s="88">
        <v>2030</v>
      </c>
      <c r="P93" s="81">
        <f t="shared" si="412"/>
        <v>0.10741516534518507</v>
      </c>
      <c r="Q93" s="81">
        <f t="shared" si="412"/>
        <v>0.75930233821489568</v>
      </c>
      <c r="R93" s="81">
        <f t="shared" si="413"/>
        <v>0.13183604264117066</v>
      </c>
      <c r="S93" s="85">
        <f t="shared" si="413"/>
        <v>1.4464537987485602E-3</v>
      </c>
      <c r="T93" s="79">
        <f t="shared" si="353"/>
        <v>0</v>
      </c>
      <c r="U93" s="79">
        <f t="shared" si="339"/>
        <v>0</v>
      </c>
      <c r="V93" s="79">
        <f t="shared" si="340"/>
        <v>0</v>
      </c>
      <c r="W93" s="79">
        <f t="shared" si="341"/>
        <v>0</v>
      </c>
      <c r="X93" s="82"/>
      <c r="Y93" s="79"/>
      <c r="Z93" s="79"/>
      <c r="AA93" s="79"/>
      <c r="AB93" s="79"/>
      <c r="AC93" s="82"/>
      <c r="AD93" s="82"/>
      <c r="AE93" s="82"/>
      <c r="AH93" s="61">
        <v>2030</v>
      </c>
      <c r="AI93" s="74">
        <f t="shared" si="401"/>
        <v>0.2</v>
      </c>
      <c r="AJ93" s="75">
        <f t="shared" si="343"/>
        <v>274846.95633370202</v>
      </c>
      <c r="AK93" s="75">
        <f t="shared" si="344"/>
        <v>1942813.345642217</v>
      </c>
      <c r="AL93" s="75">
        <f t="shared" si="345"/>
        <v>337283.57261086022</v>
      </c>
      <c r="AM93" s="75">
        <f t="shared" si="346"/>
        <v>3640.7678230429838</v>
      </c>
      <c r="AN93" s="79">
        <f t="shared" si="347"/>
        <v>2558584.642409822</v>
      </c>
      <c r="AO93" s="80">
        <f t="shared" si="354"/>
        <v>511716.92848196439</v>
      </c>
      <c r="AP93" s="80">
        <f t="shared" si="348"/>
        <v>2046867.7139278576</v>
      </c>
      <c r="AQ93" s="81">
        <f t="shared" si="355"/>
        <v>-0.19962127429742188</v>
      </c>
      <c r="AR93" s="81">
        <f t="shared" si="356"/>
        <v>0.27293199985684191</v>
      </c>
      <c r="AS93" s="81">
        <f t="shared" si="357"/>
        <v>-0.36569454050217348</v>
      </c>
      <c r="AT93" s="121">
        <f t="shared" si="349"/>
        <v>2.6378516138507848</v>
      </c>
      <c r="AU93" s="122">
        <f t="shared" si="358"/>
        <v>0.7959846428153432</v>
      </c>
      <c r="AV93" s="122"/>
      <c r="AW93" s="115">
        <f t="shared" si="287"/>
        <v>2558555.6202305816</v>
      </c>
      <c r="AX93" s="115"/>
      <c r="AY93" s="141" t="e">
        <f t="shared" si="315"/>
        <v>#N/A</v>
      </c>
      <c r="AZ93" s="141"/>
      <c r="BA93" s="140" t="e">
        <v>#N/A</v>
      </c>
      <c r="BB93" s="101">
        <v>2030</v>
      </c>
      <c r="BC93" s="72">
        <v>3.5750695088044487E-2</v>
      </c>
      <c r="BD93" s="72">
        <v>0.8358758109360519</v>
      </c>
      <c r="BE93" s="72">
        <v>0.11956904541241889</v>
      </c>
      <c r="BF93" s="72">
        <v>8.3410565338276187E-3</v>
      </c>
      <c r="BG93" s="72">
        <v>4.6339202965708991E-4</v>
      </c>
      <c r="BL93" s="120">
        <f t="shared" si="369"/>
        <v>2.5024884869999999</v>
      </c>
      <c r="BM93" s="125">
        <f t="shared" si="387"/>
        <v>0.97934707710000013</v>
      </c>
      <c r="BN93" s="72">
        <f t="shared" si="388"/>
        <v>-0.57392922950000003</v>
      </c>
      <c r="BO93" s="98">
        <f t="shared" si="370"/>
        <v>0.70534238386420578</v>
      </c>
      <c r="BP93" s="94"/>
      <c r="BR93" s="199"/>
      <c r="CA93" s="19">
        <v>2030</v>
      </c>
      <c r="CB93" s="91">
        <f t="shared" si="389"/>
        <v>0.13799999999999998</v>
      </c>
      <c r="CC93" s="97">
        <f t="shared" si="252"/>
        <v>121.9595494416325</v>
      </c>
      <c r="CD93" s="97">
        <f t="shared" si="271"/>
        <v>1884.5165846958678</v>
      </c>
      <c r="CE93" s="97">
        <f t="shared" si="272"/>
        <v>239.03970152508754</v>
      </c>
      <c r="CF93" s="97">
        <f t="shared" si="273"/>
        <v>21.372603981231286</v>
      </c>
      <c r="CG93" s="97">
        <f t="shared" si="274"/>
        <v>1.3455743593392431</v>
      </c>
      <c r="CH93" s="92">
        <f t="shared" si="405"/>
        <v>2268.2340140031583</v>
      </c>
      <c r="CI93" s="209">
        <f t="shared" si="406"/>
        <v>23.91680652670718</v>
      </c>
      <c r="CJ93" s="92">
        <f t="shared" si="372"/>
        <v>0</v>
      </c>
      <c r="CK93" s="92">
        <f t="shared" si="407"/>
        <v>313.01629393243581</v>
      </c>
      <c r="CL93" s="92">
        <f t="shared" si="408"/>
        <v>336.93310045914302</v>
      </c>
      <c r="CM93" s="72">
        <f t="shared" si="229"/>
        <v>1.2232298368205297E-2</v>
      </c>
      <c r="CN93" s="128">
        <f t="shared" si="411"/>
        <v>0.14854424119339296</v>
      </c>
      <c r="CO93" s="111">
        <f t="shared" si="409"/>
        <v>1931.3009135440152</v>
      </c>
      <c r="CP93" s="72">
        <f t="shared" si="232"/>
        <v>0.70534238386420578</v>
      </c>
      <c r="CQ93" s="96">
        <f t="shared" si="281"/>
        <v>3.6133043372105074</v>
      </c>
      <c r="CR93" s="92">
        <f t="shared" si="234"/>
        <v>3613.3043372105076</v>
      </c>
      <c r="CS93" s="120">
        <f t="shared" si="376"/>
        <v>-0.90461819600000004</v>
      </c>
      <c r="CT93" s="72">
        <f t="shared" si="391"/>
        <v>0.97934707710000013</v>
      </c>
      <c r="CU93" s="72">
        <f t="shared" si="392"/>
        <v>-0.57392922950000003</v>
      </c>
      <c r="CV93" s="104">
        <f t="shared" si="377"/>
        <v>2.1800422333136753</v>
      </c>
      <c r="CW93" s="105">
        <f t="shared" si="318"/>
        <v>-0.19962127429742188</v>
      </c>
      <c r="CX93" s="105">
        <f t="shared" si="319"/>
        <v>0.27293199985684191</v>
      </c>
      <c r="CY93" s="105">
        <f t="shared" si="320"/>
        <v>-0.36569454050217348</v>
      </c>
      <c r="CZ93" s="123">
        <f t="shared" si="350"/>
        <v>-0.68849257550252763</v>
      </c>
      <c r="DA93" s="81">
        <f t="shared" si="351"/>
        <v>1.2366113750272465</v>
      </c>
      <c r="DB93" s="9">
        <f t="shared" si="321"/>
        <v>2558555.6202305816</v>
      </c>
      <c r="DD93" s="1" t="e">
        <f t="shared" si="322"/>
        <v>#N/A</v>
      </c>
      <c r="DE93" s="126" t="e">
        <v>#N/A</v>
      </c>
      <c r="DF93" s="61">
        <v>2030</v>
      </c>
      <c r="DG93" s="26">
        <v>7.6142131979695434E-3</v>
      </c>
      <c r="DH93" s="26">
        <v>0.29512169725367693</v>
      </c>
      <c r="DI93" s="26">
        <v>0.6060236886632826</v>
      </c>
      <c r="DJ93" s="26">
        <v>8.8702329819081091E-2</v>
      </c>
      <c r="DK93" s="26">
        <v>2.5380710659898475E-3</v>
      </c>
      <c r="DO93" s="76" t="e">
        <f>NA()</f>
        <v>#N/A</v>
      </c>
      <c r="DP93" s="119">
        <f t="shared" si="359"/>
        <v>2.5024884869999999</v>
      </c>
      <c r="DQ93" s="109">
        <f t="shared" si="378"/>
        <v>1.1144526043</v>
      </c>
      <c r="DR93" s="109">
        <f t="shared" si="360"/>
        <v>-0.57392922950000003</v>
      </c>
      <c r="DS93" s="109">
        <f t="shared" si="360"/>
        <v>-0.15482546589999999</v>
      </c>
      <c r="DT93" s="113" cm="1">
        <f t="array" ref="DT93">IF(alphaV=1,$DN$11+SUMPRODUCT(DP$11:$DS$11*DP93:DS93),0)+IF(alphaV=2,$DY$104,0)+IF(alphaV=3,$DY$105,0)+IF(alphaV=4,$DY$106,0)+IF(alphaV=5,DY121,0)</f>
        <v>0.11617906224428368</v>
      </c>
      <c r="DU93" s="76" t="e">
        <f>NA()</f>
        <v>#N/A</v>
      </c>
      <c r="DV93" s="76" t="e">
        <f>NA()</f>
        <v>#N/A</v>
      </c>
      <c r="DW93" s="199"/>
      <c r="EE93" s="72">
        <f t="shared" si="189"/>
        <v>1.8766336221867335E-2</v>
      </c>
      <c r="EF93" s="19">
        <v>2030</v>
      </c>
      <c r="EG93">
        <f t="shared" si="361"/>
        <v>0.13799999999999998</v>
      </c>
      <c r="EH93" s="97">
        <f t="shared" si="220"/>
        <v>12.399607244166473</v>
      </c>
      <c r="EI93" s="97">
        <f t="shared" si="238"/>
        <v>480.75016106496679</v>
      </c>
      <c r="EJ93" s="97">
        <f t="shared" si="243"/>
        <v>1009.9379654035627</v>
      </c>
      <c r="EK93" s="97">
        <f t="shared" si="246"/>
        <v>160.94885896322955</v>
      </c>
      <c r="EL93" s="97">
        <f t="shared" si="248"/>
        <v>4.5956385069878625</v>
      </c>
      <c r="EM93" s="111">
        <f t="shared" si="196"/>
        <v>1668.6322311829133</v>
      </c>
      <c r="EN93" s="209">
        <f t="shared" si="410"/>
        <v>26.99276582064201</v>
      </c>
      <c r="EO93" s="4">
        <v>0</v>
      </c>
      <c r="EP93" s="92">
        <f t="shared" si="278"/>
        <v>230.271247903242</v>
      </c>
      <c r="EQ93" s="92">
        <f t="shared" si="239"/>
        <v>257.26401372388403</v>
      </c>
      <c r="ER93" s="128">
        <f t="shared" si="362"/>
        <v>0.15417658182324964</v>
      </c>
      <c r="ES93" s="111">
        <f t="shared" si="363"/>
        <v>1411.3682174590292</v>
      </c>
      <c r="ET93" s="72">
        <f t="shared" si="364"/>
        <v>0.11617906224428368</v>
      </c>
      <c r="EU93" s="96">
        <f t="shared" si="280"/>
        <v>1.6911792558379972</v>
      </c>
      <c r="EV93" s="92">
        <f t="shared" si="205"/>
        <v>1691.1792558379973</v>
      </c>
      <c r="EW93" s="120">
        <f t="shared" si="365"/>
        <v>-0.87704872899999997</v>
      </c>
      <c r="EX93" s="127">
        <f t="shared" si="380"/>
        <v>1.1144526043</v>
      </c>
      <c r="EY93" s="9">
        <f t="shared" si="185"/>
        <v>-0.57392922950000003</v>
      </c>
      <c r="EZ93" s="9">
        <f t="shared" si="186"/>
        <v>-0.15482546589999999</v>
      </c>
      <c r="FA93" s="113" cm="1">
        <f t="array" ref="FA93">IF(alphaV=1,$DN$11+SUMPRODUCT($DP$11:$DS$11*EW93:EZ93),0)+IF(alphaV=2,$ES$115,0)+IF(alphaV=3,$ES$116,0)+IF(alphaV=4,$ES$117,0)+IF(alphaV=5,ES132,0)</f>
        <v>1.6239447871927648</v>
      </c>
      <c r="FB93" s="56">
        <v>2030</v>
      </c>
      <c r="FC93" s="116">
        <f t="shared" si="325"/>
        <v>2046867.7139278576</v>
      </c>
      <c r="FD93" s="116">
        <f t="shared" si="290"/>
        <v>2965929.4303263184</v>
      </c>
      <c r="FE93" s="116">
        <f t="shared" si="396"/>
        <v>2966076.1159630516</v>
      </c>
      <c r="FF93" s="116">
        <f t="shared" si="291"/>
        <v>2567161.6998356194</v>
      </c>
      <c r="FG93" s="5">
        <f t="shared" si="292"/>
        <v>398767.73049069894</v>
      </c>
      <c r="FH93" s="5">
        <f t="shared" si="393"/>
        <v>398787.45230129175</v>
      </c>
      <c r="FI93" s="117">
        <f t="shared" si="293"/>
        <v>0.13444950052194116</v>
      </c>
      <c r="FJ93" s="117">
        <f t="shared" si="326"/>
        <v>13.444950052194116</v>
      </c>
      <c r="FK93" s="61">
        <f t="shared" si="294"/>
        <v>7775.0525071201791</v>
      </c>
      <c r="FL93" s="61">
        <f t="shared" si="327"/>
        <v>381.4674470185509</v>
      </c>
      <c r="FM93" s="92">
        <f t="shared" si="328"/>
        <v>51.288107717024218</v>
      </c>
      <c r="FN93" s="72">
        <f t="shared" si="329"/>
        <v>0.13444950052194116</v>
      </c>
      <c r="FO93" s="92"/>
      <c r="FP93" s="92">
        <f t="shared" si="397"/>
        <v>51.28945100127941</v>
      </c>
      <c r="FQ93" s="1">
        <f t="shared" si="366"/>
        <v>0</v>
      </c>
      <c r="FS93">
        <f t="shared" si="296"/>
        <v>2030</v>
      </c>
      <c r="FT93" s="5">
        <f t="shared" si="241"/>
        <v>1931.3009135440152</v>
      </c>
      <c r="FU93" s="214">
        <f t="shared" si="297"/>
        <v>5584.183637074836</v>
      </c>
      <c r="FV93" s="213">
        <f t="shared" si="331"/>
        <v>3218.1497978144857</v>
      </c>
      <c r="FW93" s="5">
        <f t="shared" si="332"/>
        <v>2366.0338392603503</v>
      </c>
      <c r="FX93" s="1">
        <f t="shared" si="333"/>
        <v>0.42370272774549195</v>
      </c>
      <c r="FY93">
        <f t="shared" si="298"/>
        <v>59954.093743432561</v>
      </c>
      <c r="FZ93" s="26">
        <f t="shared" si="334"/>
        <v>3.9464091466139932E-2</v>
      </c>
      <c r="GA93" s="106">
        <f t="shared" si="299"/>
        <v>1.3154697155379977E-3</v>
      </c>
      <c r="GB93" s="61">
        <f t="shared" si="335"/>
        <v>1411.3682174590292</v>
      </c>
      <c r="GC93" s="61">
        <f t="shared" si="207"/>
        <v>2450.5781462627001</v>
      </c>
      <c r="GD93" s="61">
        <f t="shared" si="247"/>
        <v>2414.8158140363521</v>
      </c>
      <c r="GE93" s="61">
        <f t="shared" si="210"/>
        <v>1475.2773339503181</v>
      </c>
      <c r="GF93" s="61">
        <f t="shared" si="336"/>
        <v>975.30081231238205</v>
      </c>
      <c r="GG93" s="61">
        <f t="shared" si="245"/>
        <v>961.06783152630283</v>
      </c>
      <c r="GH93" s="6">
        <f t="shared" si="337"/>
        <v>0.39798804775917174</v>
      </c>
      <c r="GI93">
        <f t="shared" si="300"/>
        <v>9248.6922093424037</v>
      </c>
      <c r="GJ93" s="26">
        <f t="shared" si="367"/>
        <v>0.105452834869691</v>
      </c>
      <c r="GK93">
        <f t="shared" si="301"/>
        <v>3.5150944956563665E-3</v>
      </c>
    </row>
    <row r="94" spans="1:210" x14ac:dyDescent="0.35">
      <c r="A94">
        <v>2031</v>
      </c>
      <c r="D94" s="82" t="e">
        <f>NA()</f>
        <v>#N/A</v>
      </c>
      <c r="E94" s="82"/>
      <c r="F94" s="82"/>
      <c r="G94" s="82"/>
      <c r="H94" s="82"/>
      <c r="I94" s="82"/>
      <c r="J94" s="151">
        <f t="shared" si="404"/>
        <v>6.7433396200422865E-2</v>
      </c>
      <c r="K94" s="82"/>
      <c r="L94" s="82"/>
      <c r="M94" s="82"/>
      <c r="N94" s="82"/>
      <c r="O94" s="88">
        <v>2031</v>
      </c>
      <c r="P94" s="81">
        <f t="shared" si="412"/>
        <v>0.10741516534518507</v>
      </c>
      <c r="Q94" s="81">
        <f t="shared" si="412"/>
        <v>0.75930233821489568</v>
      </c>
      <c r="R94" s="81">
        <f t="shared" si="413"/>
        <v>0.13183604264117066</v>
      </c>
      <c r="S94" s="85">
        <f t="shared" si="413"/>
        <v>1.4464537987485602E-3</v>
      </c>
      <c r="T94" s="79">
        <f t="shared" si="353"/>
        <v>0</v>
      </c>
      <c r="U94" s="79">
        <f t="shared" si="339"/>
        <v>0</v>
      </c>
      <c r="V94" s="79">
        <f t="shared" si="340"/>
        <v>0</v>
      </c>
      <c r="W94" s="79">
        <f t="shared" si="341"/>
        <v>0</v>
      </c>
      <c r="X94" s="82"/>
      <c r="Y94" s="79"/>
      <c r="Z94" s="79"/>
      <c r="AA94" s="79"/>
      <c r="AB94" s="79"/>
      <c r="AC94" s="82"/>
      <c r="AD94" s="82"/>
      <c r="AE94" s="82"/>
      <c r="AH94" s="61">
        <v>2031</v>
      </c>
      <c r="AI94" s="74">
        <f t="shared" si="401"/>
        <v>0.2</v>
      </c>
      <c r="AJ94" s="75">
        <f t="shared" si="343"/>
        <v>274851.79494530678</v>
      </c>
      <c r="AK94" s="75">
        <f t="shared" si="344"/>
        <v>1942853.5619228741</v>
      </c>
      <c r="AL94" s="75">
        <f t="shared" si="345"/>
        <v>337326.5301435602</v>
      </c>
      <c r="AM94" s="75">
        <f t="shared" si="346"/>
        <v>3700.5442145007983</v>
      </c>
      <c r="AN94" s="79">
        <f t="shared" si="347"/>
        <v>2558732.4312262419</v>
      </c>
      <c r="AO94" s="80">
        <f t="shared" si="354"/>
        <v>511746.48624524841</v>
      </c>
      <c r="AP94" s="80">
        <f t="shared" si="348"/>
        <v>2046985.9449809934</v>
      </c>
      <c r="AQ94" s="81">
        <f t="shared" si="355"/>
        <v>-0.19962127429742188</v>
      </c>
      <c r="AR94" s="81">
        <f t="shared" si="356"/>
        <v>0.27293199985684191</v>
      </c>
      <c r="AS94" s="81">
        <f t="shared" si="357"/>
        <v>-0.36569454050217348</v>
      </c>
      <c r="AT94" s="121">
        <f t="shared" si="349"/>
        <v>2.6378516138507848</v>
      </c>
      <c r="AU94" s="122">
        <f t="shared" si="358"/>
        <v>0.7959846428153432</v>
      </c>
      <c r="AV94" s="122"/>
      <c r="AW94" s="115">
        <f t="shared" si="287"/>
        <v>2558553.6239157715</v>
      </c>
      <c r="AX94" s="115"/>
      <c r="AY94" s="141" t="e">
        <f t="shared" si="315"/>
        <v>#N/A</v>
      </c>
      <c r="AZ94" s="141"/>
      <c r="BA94" s="140" t="e">
        <v>#N/A</v>
      </c>
      <c r="BB94" s="101">
        <v>2031</v>
      </c>
      <c r="BC94" s="72">
        <v>3.5750695088044487E-2</v>
      </c>
      <c r="BD94" s="72">
        <v>0.8358758109360519</v>
      </c>
      <c r="BE94" s="72">
        <v>0.11956904541241889</v>
      </c>
      <c r="BF94" s="72">
        <v>8.3410565338276187E-3</v>
      </c>
      <c r="BG94" s="72">
        <v>4.6339202965708991E-4</v>
      </c>
      <c r="BL94" s="120">
        <f t="shared" si="369"/>
        <v>2.5024884869999999</v>
      </c>
      <c r="BM94" s="125">
        <f t="shared" si="387"/>
        <v>0.97934707710000013</v>
      </c>
      <c r="BN94" s="72">
        <f t="shared" si="388"/>
        <v>-0.57392922950000003</v>
      </c>
      <c r="BO94" s="98">
        <f t="shared" si="370"/>
        <v>0.70534238386420578</v>
      </c>
      <c r="BP94" s="94"/>
      <c r="BR94" s="199"/>
      <c r="CA94" s="19">
        <v>2031</v>
      </c>
      <c r="CB94" s="91">
        <f t="shared" si="389"/>
        <v>0.13799999999999998</v>
      </c>
      <c r="CC94" s="97">
        <f t="shared" si="252"/>
        <v>109.89992203568877</v>
      </c>
      <c r="CD94" s="97">
        <f t="shared" si="271"/>
        <v>2851.4980489151721</v>
      </c>
      <c r="CE94" s="97">
        <f t="shared" si="272"/>
        <v>269.5733578456136</v>
      </c>
      <c r="CF94" s="97">
        <f t="shared" si="273"/>
        <v>16.675249495994947</v>
      </c>
      <c r="CG94" s="97">
        <f t="shared" si="274"/>
        <v>1.1873668878461825</v>
      </c>
      <c r="CH94" s="92">
        <f t="shared" si="405"/>
        <v>3248.8339451803154</v>
      </c>
      <c r="CI94" s="209">
        <f t="shared" si="406"/>
        <v>34.256488715263664</v>
      </c>
      <c r="CJ94" s="92">
        <f t="shared" si="372"/>
        <v>0</v>
      </c>
      <c r="CK94" s="92">
        <f t="shared" si="407"/>
        <v>448.33908443488349</v>
      </c>
      <c r="CL94" s="92">
        <f t="shared" si="408"/>
        <v>482.59557315014717</v>
      </c>
      <c r="CM94" s="72">
        <f t="shared" si="229"/>
        <v>1.2232298368205297E-2</v>
      </c>
      <c r="CN94" s="128">
        <f t="shared" si="411"/>
        <v>0.14854424119339296</v>
      </c>
      <c r="CO94" s="111">
        <f t="shared" si="409"/>
        <v>2766.2383720301682</v>
      </c>
      <c r="CP94" s="72">
        <f t="shared" si="232"/>
        <v>0.70534238386420578</v>
      </c>
      <c r="CQ94" s="96">
        <f t="shared" si="281"/>
        <v>2.6439160915884026</v>
      </c>
      <c r="CR94" s="92">
        <f t="shared" si="234"/>
        <v>2643.9160915884027</v>
      </c>
      <c r="CS94" s="120">
        <f t="shared" si="376"/>
        <v>-0.90461819600000004</v>
      </c>
      <c r="CT94" s="72">
        <f t="shared" si="391"/>
        <v>0.97934707710000013</v>
      </c>
      <c r="CU94" s="72">
        <f t="shared" si="392"/>
        <v>-0.57392922950000003</v>
      </c>
      <c r="CV94" s="104">
        <f t="shared" si="377"/>
        <v>2.1800422333136753</v>
      </c>
      <c r="CW94" s="105">
        <f t="shared" si="318"/>
        <v>-0.19962127429742188</v>
      </c>
      <c r="CX94" s="105">
        <f t="shared" si="319"/>
        <v>0.27293199985684191</v>
      </c>
      <c r="CY94" s="105">
        <f t="shared" si="320"/>
        <v>-0.36569454050217348</v>
      </c>
      <c r="CZ94" s="123">
        <f t="shared" si="350"/>
        <v>-0.68849257550252763</v>
      </c>
      <c r="DA94" s="81">
        <f t="shared" si="351"/>
        <v>1.2366113750272465</v>
      </c>
      <c r="DB94" s="9">
        <f t="shared" si="321"/>
        <v>2558553.6239157715</v>
      </c>
      <c r="DD94" s="1" t="e">
        <f t="shared" si="322"/>
        <v>#N/A</v>
      </c>
      <c r="DE94" s="126" t="e">
        <v>#N/A</v>
      </c>
      <c r="DF94" s="61">
        <v>2031</v>
      </c>
      <c r="DG94" s="26">
        <v>7.6142131979695434E-3</v>
      </c>
      <c r="DH94" s="26">
        <v>0.29512169725367693</v>
      </c>
      <c r="DI94" s="26">
        <v>0.6060236886632826</v>
      </c>
      <c r="DJ94" s="26">
        <v>8.8702329819081091E-2</v>
      </c>
      <c r="DK94" s="26">
        <v>2.5380710659898475E-3</v>
      </c>
      <c r="DO94" s="76" t="e">
        <f>NA()</f>
        <v>#N/A</v>
      </c>
      <c r="DP94" s="119">
        <f t="shared" si="359"/>
        <v>2.5024884869999999</v>
      </c>
      <c r="DQ94" s="109">
        <f t="shared" si="378"/>
        <v>1.1144526043</v>
      </c>
      <c r="DR94" s="109">
        <f t="shared" si="360"/>
        <v>-0.57392922950000003</v>
      </c>
      <c r="DS94" s="109">
        <f t="shared" si="360"/>
        <v>-0.15482546589999999</v>
      </c>
      <c r="DT94" s="113" cm="1">
        <f t="array" ref="DT94">IF(alphaV=1,$DN$11+SUMPRODUCT(DP$11:$DS$11*DP94:DS94),0)+IF(alphaV=2,$DY$104,0)+IF(alphaV=3,$DY$105,0)+IF(alphaV=4,$DY$106,0)+IF(alphaV=5,DY122,0)</f>
        <v>0.11617906224428368</v>
      </c>
      <c r="DU94" s="76" t="e">
        <f>NA()</f>
        <v>#N/A</v>
      </c>
      <c r="DV94" s="76" t="e">
        <f>NA()</f>
        <v>#N/A</v>
      </c>
      <c r="DW94" s="199"/>
      <c r="EE94" s="72">
        <f t="shared" si="189"/>
        <v>1.8766336221867335E-2</v>
      </c>
      <c r="EF94" s="19">
        <v>2031</v>
      </c>
      <c r="EG94">
        <f t="shared" si="361"/>
        <v>0.13799999999999998</v>
      </c>
      <c r="EH94" s="97">
        <f t="shared" si="220"/>
        <v>12.434586172266037</v>
      </c>
      <c r="EI94" s="97">
        <f t="shared" si="238"/>
        <v>480.60029841996482</v>
      </c>
      <c r="EJ94" s="97">
        <f t="shared" si="243"/>
        <v>987.20625641979461</v>
      </c>
      <c r="EK94" s="97">
        <f t="shared" si="246"/>
        <v>147.8223577392416</v>
      </c>
      <c r="EL94" s="97">
        <f t="shared" si="248"/>
        <v>4.6052865000483871</v>
      </c>
      <c r="EM94" s="111">
        <f t="shared" si="196"/>
        <v>1632.6687852513155</v>
      </c>
      <c r="EN94" s="209">
        <f t="shared" si="410"/>
        <v>26.411000194883503</v>
      </c>
      <c r="EO94" s="4">
        <v>0</v>
      </c>
      <c r="EP94" s="92">
        <f t="shared" si="278"/>
        <v>225.30829236468151</v>
      </c>
      <c r="EQ94" s="92">
        <f t="shared" si="239"/>
        <v>251.71929255956502</v>
      </c>
      <c r="ER94" s="128">
        <f t="shared" si="362"/>
        <v>0.15417658182324961</v>
      </c>
      <c r="ES94" s="111">
        <f t="shared" si="363"/>
        <v>1380.9494926917505</v>
      </c>
      <c r="ET94" s="72">
        <f t="shared" si="364"/>
        <v>0.11617906224428368</v>
      </c>
      <c r="EU94" s="96">
        <f t="shared" si="280"/>
        <v>1.7070042464063515</v>
      </c>
      <c r="EV94" s="92">
        <f t="shared" si="205"/>
        <v>1707.0042464063515</v>
      </c>
      <c r="EW94" s="120">
        <f t="shared" si="365"/>
        <v>-0.87704872899999997</v>
      </c>
      <c r="EX94" s="127">
        <f t="shared" si="380"/>
        <v>1.1144526043</v>
      </c>
      <c r="EY94" s="9">
        <f t="shared" si="185"/>
        <v>-0.57392922950000003</v>
      </c>
      <c r="EZ94" s="9">
        <f t="shared" si="186"/>
        <v>-0.15482546589999999</v>
      </c>
      <c r="FA94" s="113" cm="1">
        <f t="array" ref="FA94">IF(alphaV=1,$DN$11+SUMPRODUCT($DP$11:$DS$11*EW94:EZ94),0)+IF(alphaV=2,$ES$115,0)+IF(alphaV=3,$ES$116,0)+IF(alphaV=4,$ES$117,0)+IF(alphaV=5,ES133,0)</f>
        <v>1.6239447871927648</v>
      </c>
      <c r="FB94" s="56">
        <v>2031</v>
      </c>
      <c r="FC94" s="116">
        <f t="shared" si="325"/>
        <v>2046985.9449809934</v>
      </c>
      <c r="FD94" s="116">
        <f t="shared" si="290"/>
        <v>2965927.1161578088</v>
      </c>
      <c r="FE94" s="116">
        <f t="shared" si="396"/>
        <v>2966137.5138064404</v>
      </c>
      <c r="FF94" s="116">
        <f t="shared" si="291"/>
        <v>2567159.6968059097</v>
      </c>
      <c r="FG94" s="5">
        <f t="shared" si="292"/>
        <v>398767.41935189907</v>
      </c>
      <c r="FH94" s="5">
        <f t="shared" si="393"/>
        <v>398795.70721066883</v>
      </c>
      <c r="FI94" s="117">
        <f t="shared" si="293"/>
        <v>0.13444950052194127</v>
      </c>
      <c r="FJ94" s="117">
        <f t="shared" si="326"/>
        <v>13.444950052194127</v>
      </c>
      <c r="FK94" s="61">
        <f t="shared" si="294"/>
        <v>7775.0525071201791</v>
      </c>
      <c r="FL94" s="61">
        <f t="shared" si="327"/>
        <v>381.46714937830893</v>
      </c>
      <c r="FM94" s="92">
        <f t="shared" si="328"/>
        <v>51.288067699442394</v>
      </c>
      <c r="FN94" s="72">
        <f t="shared" si="329"/>
        <v>0.13444950052194127</v>
      </c>
      <c r="FO94" s="92"/>
      <c r="FP94" s="92">
        <f t="shared" si="397"/>
        <v>51.290110191884004</v>
      </c>
      <c r="FQ94" s="1">
        <f t="shared" si="366"/>
        <v>0</v>
      </c>
      <c r="FS94">
        <f t="shared" si="296"/>
        <v>2031</v>
      </c>
      <c r="FT94" s="5">
        <f t="shared" si="241"/>
        <v>2766.2383720301682</v>
      </c>
      <c r="FU94" s="214">
        <f t="shared" si="297"/>
        <v>4086.0419158173631</v>
      </c>
      <c r="FV94" s="213">
        <f t="shared" si="331"/>
        <v>2354.7748104031307</v>
      </c>
      <c r="FW94" s="5">
        <f t="shared" si="332"/>
        <v>1731.2671054142324</v>
      </c>
      <c r="FX94" s="1">
        <f t="shared" si="333"/>
        <v>0.42370272774549195</v>
      </c>
      <c r="FY94">
        <f t="shared" si="298"/>
        <v>59954.093743432561</v>
      </c>
      <c r="FZ94" s="26">
        <f t="shared" si="334"/>
        <v>2.8876545325211882E-2</v>
      </c>
      <c r="GA94" s="106">
        <f t="shared" si="299"/>
        <v>9.625515108403961E-4</v>
      </c>
      <c r="GB94" s="61">
        <f t="shared" si="335"/>
        <v>1380.9494926917505</v>
      </c>
      <c r="GC94" s="61">
        <f t="shared" si="207"/>
        <v>2473.5091134666504</v>
      </c>
      <c r="GD94" s="61">
        <f t="shared" si="247"/>
        <v>2360.4630792996786</v>
      </c>
      <c r="GE94" s="61">
        <f t="shared" si="210"/>
        <v>1489.0820502835386</v>
      </c>
      <c r="GF94" s="61">
        <f t="shared" si="336"/>
        <v>984.42706318311184</v>
      </c>
      <c r="GG94" s="61">
        <f t="shared" si="245"/>
        <v>939.43609273808192</v>
      </c>
      <c r="GH94" s="6">
        <f t="shared" si="337"/>
        <v>0.39798804775917174</v>
      </c>
      <c r="GI94">
        <f t="shared" si="300"/>
        <v>9248.6922093424037</v>
      </c>
      <c r="GJ94" s="26">
        <f t="shared" si="367"/>
        <v>0.10643959609648489</v>
      </c>
      <c r="GK94">
        <f t="shared" si="301"/>
        <v>3.5479865365494962E-3</v>
      </c>
    </row>
    <row r="95" spans="1:210" x14ac:dyDescent="0.35">
      <c r="A95">
        <v>2032</v>
      </c>
      <c r="D95" s="82" t="e">
        <f>NA()</f>
        <v>#N/A</v>
      </c>
      <c r="J95" s="151">
        <f t="shared" si="404"/>
        <v>6.7433396200422865E-2</v>
      </c>
      <c r="O95" s="88">
        <v>2032</v>
      </c>
      <c r="P95" s="81">
        <f t="shared" si="412"/>
        <v>0.10741516534518507</v>
      </c>
      <c r="Q95" s="81">
        <f t="shared" si="412"/>
        <v>0.75930233821489568</v>
      </c>
      <c r="R95" s="81">
        <f t="shared" si="413"/>
        <v>0.13183604264117066</v>
      </c>
      <c r="S95" s="85">
        <f t="shared" si="413"/>
        <v>1.4464537987485602E-3</v>
      </c>
      <c r="T95" s="79">
        <f t="shared" si="353"/>
        <v>0</v>
      </c>
      <c r="U95" s="79">
        <f t="shared" si="339"/>
        <v>0</v>
      </c>
      <c r="V95" s="79">
        <f t="shared" si="340"/>
        <v>0</v>
      </c>
      <c r="W95" s="79">
        <f t="shared" si="341"/>
        <v>0</v>
      </c>
      <c r="AH95" s="61">
        <v>2032</v>
      </c>
      <c r="AI95" s="74">
        <f t="shared" si="401"/>
        <v>0.2</v>
      </c>
      <c r="AJ95" s="75">
        <f t="shared" si="343"/>
        <v>274835.27766112552</v>
      </c>
      <c r="AK95" s="75">
        <f t="shared" si="344"/>
        <v>1942887.765371646</v>
      </c>
      <c r="AL95" s="75">
        <f t="shared" si="345"/>
        <v>337333.51281044364</v>
      </c>
      <c r="AM95" s="75">
        <f t="shared" si="346"/>
        <v>3701.0155278466323</v>
      </c>
      <c r="AN95" s="79">
        <f t="shared" si="347"/>
        <v>2558757.5713710617</v>
      </c>
      <c r="AO95" s="80">
        <f t="shared" si="354"/>
        <v>511751.51427421236</v>
      </c>
      <c r="AP95" s="80">
        <f t="shared" si="348"/>
        <v>2047006.0570968494</v>
      </c>
      <c r="AQ95" s="81">
        <f t="shared" si="355"/>
        <v>-0.19962127429742188</v>
      </c>
      <c r="AR95" s="81">
        <f t="shared" si="356"/>
        <v>0.27293199985684191</v>
      </c>
      <c r="AS95" s="81">
        <f t="shared" si="357"/>
        <v>-0.36569454050217348</v>
      </c>
      <c r="AT95" s="121">
        <f t="shared" si="349"/>
        <v>2.6378516138507848</v>
      </c>
      <c r="AU95" s="122">
        <f t="shared" si="358"/>
        <v>0.7959846428153432</v>
      </c>
      <c r="AV95" s="122"/>
      <c r="AW95" s="115">
        <f t="shared" si="287"/>
        <v>2558553.283476159</v>
      </c>
      <c r="AX95" s="115"/>
      <c r="AY95" s="141" t="e">
        <f t="shared" si="315"/>
        <v>#N/A</v>
      </c>
      <c r="AZ95" s="141"/>
      <c r="BA95" s="140" t="e">
        <v>#N/A</v>
      </c>
      <c r="BB95" s="101">
        <v>2032</v>
      </c>
      <c r="BC95" s="72">
        <v>3.5750695088044487E-2</v>
      </c>
      <c r="BD95" s="72">
        <v>0.8358758109360519</v>
      </c>
      <c r="BE95" s="72">
        <v>0.11956904541241889</v>
      </c>
      <c r="BF95" s="72">
        <v>8.3410565338276187E-3</v>
      </c>
      <c r="BG95" s="72">
        <v>4.6339202965708991E-4</v>
      </c>
      <c r="BL95" s="120">
        <f t="shared" si="369"/>
        <v>2.5024884869999999</v>
      </c>
      <c r="BM95" s="125">
        <f t="shared" si="387"/>
        <v>0.97934707710000013</v>
      </c>
      <c r="BN95" s="72">
        <f t="shared" si="388"/>
        <v>-0.57392922950000003</v>
      </c>
      <c r="BO95" s="98">
        <f t="shared" si="370"/>
        <v>0.70534238386420578</v>
      </c>
      <c r="BP95" s="94"/>
      <c r="BR95" s="199"/>
      <c r="CA95" s="19">
        <v>2032</v>
      </c>
      <c r="CB95" s="91">
        <f t="shared" si="389"/>
        <v>0.13799999999999998</v>
      </c>
      <c r="CC95" s="97">
        <f t="shared" si="252"/>
        <v>118.63790018660649</v>
      </c>
      <c r="CD95" s="97">
        <f t="shared" si="271"/>
        <v>2569.535675520623</v>
      </c>
      <c r="CE95" s="97">
        <f t="shared" si="272"/>
        <v>407.8965980871605</v>
      </c>
      <c r="CF95" s="97">
        <f t="shared" si="273"/>
        <v>18.805256912843642</v>
      </c>
      <c r="CG95" s="97">
        <f t="shared" si="274"/>
        <v>0.92640274977749704</v>
      </c>
      <c r="CH95" s="92">
        <f t="shared" si="405"/>
        <v>3115.8018334570111</v>
      </c>
      <c r="CI95" s="209">
        <f t="shared" si="406"/>
        <v>32.853766042786745</v>
      </c>
      <c r="CJ95" s="92">
        <f t="shared" si="372"/>
        <v>0</v>
      </c>
      <c r="CK95" s="92">
        <f t="shared" si="407"/>
        <v>429.98065301706748</v>
      </c>
      <c r="CL95" s="92">
        <f t="shared" si="408"/>
        <v>462.83441905985421</v>
      </c>
      <c r="CM95" s="72">
        <f t="shared" si="229"/>
        <v>1.2232298368205297E-2</v>
      </c>
      <c r="CN95" s="128">
        <f t="shared" si="411"/>
        <v>0.14854424119339293</v>
      </c>
      <c r="CO95" s="111">
        <f t="shared" si="409"/>
        <v>2652.967414397157</v>
      </c>
      <c r="CP95" s="72">
        <f t="shared" si="232"/>
        <v>0.70534238386420578</v>
      </c>
      <c r="CQ95" s="96">
        <f t="shared" si="281"/>
        <v>2.777555216183798</v>
      </c>
      <c r="CR95" s="92">
        <f t="shared" si="234"/>
        <v>2777.5552161837982</v>
      </c>
      <c r="CS95" s="120">
        <f t="shared" si="376"/>
        <v>-0.90461819600000004</v>
      </c>
      <c r="CT95" s="72">
        <f t="shared" si="391"/>
        <v>0.97934707710000013</v>
      </c>
      <c r="CU95" s="72">
        <f t="shared" si="392"/>
        <v>-0.57392922950000003</v>
      </c>
      <c r="CV95" s="104">
        <f t="shared" si="377"/>
        <v>2.1800422333136753</v>
      </c>
      <c r="CW95" s="105">
        <f t="shared" si="318"/>
        <v>-0.19962127429742188</v>
      </c>
      <c r="CX95" s="105">
        <f t="shared" si="319"/>
        <v>0.27293199985684191</v>
      </c>
      <c r="CY95" s="105">
        <f t="shared" si="320"/>
        <v>-0.36569454050217348</v>
      </c>
      <c r="CZ95" s="123">
        <f t="shared" si="350"/>
        <v>-0.68849257550252763</v>
      </c>
      <c r="DA95" s="81">
        <f t="shared" si="351"/>
        <v>1.2366113750272465</v>
      </c>
      <c r="DB95" s="9">
        <f t="shared" si="321"/>
        <v>2558553.283476159</v>
      </c>
      <c r="DD95" s="1" t="e">
        <f t="shared" si="322"/>
        <v>#N/A</v>
      </c>
      <c r="DE95" s="126" t="e">
        <v>#N/A</v>
      </c>
      <c r="DF95" s="61">
        <v>2032</v>
      </c>
      <c r="DG95" s="26">
        <v>7.6142131979695434E-3</v>
      </c>
      <c r="DH95" s="26">
        <v>0.29512169725367693</v>
      </c>
      <c r="DI95" s="26">
        <v>0.6060236886632826</v>
      </c>
      <c r="DJ95" s="26">
        <v>8.8702329819081091E-2</v>
      </c>
      <c r="DK95" s="26">
        <v>2.5380710659898475E-3</v>
      </c>
      <c r="DO95" s="76" t="e">
        <f>NA()</f>
        <v>#N/A</v>
      </c>
      <c r="DP95" s="119">
        <f t="shared" si="359"/>
        <v>2.5024884869999999</v>
      </c>
      <c r="DQ95" s="109">
        <f t="shared" si="378"/>
        <v>1.1144526043</v>
      </c>
      <c r="DR95" s="109">
        <f t="shared" si="360"/>
        <v>-0.57392922950000003</v>
      </c>
      <c r="DS95" s="109">
        <f t="shared" si="360"/>
        <v>-0.15482546589999999</v>
      </c>
      <c r="DT95" s="113" cm="1">
        <f t="array" ref="DT95">IF(alphaV=1,$DN$11+SUMPRODUCT(DP$11:$DS$11*DP95:DS95),0)+IF(alphaV=2,$DY$104,0)+IF(alphaV=3,$DY$105,0)+IF(alphaV=4,$DY$106,0)+IF(alphaV=5,DY123,0)</f>
        <v>0.11617906224428368</v>
      </c>
      <c r="DU95" s="76" t="e">
        <f>NA()</f>
        <v>#N/A</v>
      </c>
      <c r="DV95" s="76" t="e">
        <f>NA()</f>
        <v>#N/A</v>
      </c>
      <c r="DW95" s="199"/>
      <c r="EE95" s="72">
        <f t="shared" si="189"/>
        <v>1.8766336221867335E-2</v>
      </c>
      <c r="EF95" s="19">
        <v>2032</v>
      </c>
      <c r="EG95">
        <f t="shared" si="361"/>
        <v>0.13799999999999998</v>
      </c>
      <c r="EH95" s="97">
        <f t="shared" si="220"/>
        <v>12.369077384105235</v>
      </c>
      <c r="EI95" s="97">
        <f t="shared" si="238"/>
        <v>481.95605775588814</v>
      </c>
      <c r="EJ95" s="97">
        <f t="shared" si="243"/>
        <v>986.89851790459204</v>
      </c>
      <c r="EK95" s="97">
        <f t="shared" si="246"/>
        <v>144.49516841422184</v>
      </c>
      <c r="EL95" s="97">
        <f t="shared" si="248"/>
        <v>4.2296932882101403</v>
      </c>
      <c r="EM95" s="111">
        <f t="shared" si="196"/>
        <v>1629.9485147470175</v>
      </c>
      <c r="EN95" s="209">
        <f t="shared" si="410"/>
        <v>26.366995516489354</v>
      </c>
      <c r="EO95" s="4">
        <v>0</v>
      </c>
      <c r="EP95" s="92">
        <f t="shared" si="278"/>
        <v>224.93289503508839</v>
      </c>
      <c r="EQ95" s="92">
        <f t="shared" si="239"/>
        <v>251.29989055157773</v>
      </c>
      <c r="ER95" s="128">
        <f t="shared" si="362"/>
        <v>0.15417658182324961</v>
      </c>
      <c r="ES95" s="111">
        <f t="shared" si="363"/>
        <v>1378.6486241954399</v>
      </c>
      <c r="ET95" s="72">
        <f t="shared" si="364"/>
        <v>0.11617906224428368</v>
      </c>
      <c r="EU95" s="96">
        <f t="shared" si="280"/>
        <v>1.7081739864897856</v>
      </c>
      <c r="EV95" s="92">
        <f t="shared" si="205"/>
        <v>1708.1739864897856</v>
      </c>
      <c r="EW95" s="120">
        <f t="shared" si="365"/>
        <v>-0.87704872899999997</v>
      </c>
      <c r="EX95" s="127">
        <f t="shared" si="380"/>
        <v>1.1144526043</v>
      </c>
      <c r="EY95" s="9">
        <f t="shared" si="185"/>
        <v>-0.57392922950000003</v>
      </c>
      <c r="EZ95" s="9">
        <f t="shared" si="186"/>
        <v>-0.15482546589999999</v>
      </c>
      <c r="FA95" s="113" cm="1">
        <f t="array" ref="FA95">IF(alphaV=1,$DN$11+SUMPRODUCT($DP$11:$DS$11*EW95:EZ95),0)+IF(alphaV=2,$ES$115,0)+IF(alphaV=3,$ES$116,0)+IF(alphaV=4,$ES$117,0)+IF(alphaV=5,ES134,0)</f>
        <v>1.6239447871927648</v>
      </c>
      <c r="FB95" s="56">
        <v>2032</v>
      </c>
      <c r="FC95" s="116">
        <f t="shared" si="325"/>
        <v>2047006.0570968494</v>
      </c>
      <c r="FD95" s="116">
        <f t="shared" si="290"/>
        <v>2965926.721513324</v>
      </c>
      <c r="FE95" s="116">
        <f t="shared" si="396"/>
        <v>2966189.731912063</v>
      </c>
      <c r="FF95" s="116">
        <f t="shared" si="291"/>
        <v>2567159.3552211784</v>
      </c>
      <c r="FG95" s="5">
        <f t="shared" si="292"/>
        <v>398767.36629214557</v>
      </c>
      <c r="FH95" s="5">
        <f t="shared" si="393"/>
        <v>398802.72790888743</v>
      </c>
      <c r="FI95" s="117">
        <f t="shared" si="293"/>
        <v>0.13444950052194138</v>
      </c>
      <c r="FJ95" s="117">
        <f t="shared" si="326"/>
        <v>13.444950052194137</v>
      </c>
      <c r="FK95" s="61">
        <f t="shared" si="294"/>
        <v>7775.0525071201791</v>
      </c>
      <c r="FL95" s="61">
        <f t="shared" si="327"/>
        <v>381.46709862051864</v>
      </c>
      <c r="FM95" s="92">
        <f t="shared" si="328"/>
        <v>51.288060875082884</v>
      </c>
      <c r="FN95" s="72">
        <f t="shared" si="329"/>
        <v>0.13444950052194138</v>
      </c>
      <c r="FO95" s="92"/>
      <c r="FP95" s="92">
        <f t="shared" si="397"/>
        <v>51.289679626535673</v>
      </c>
      <c r="FQ95" s="1">
        <f t="shared" si="366"/>
        <v>0</v>
      </c>
      <c r="FS95">
        <f t="shared" si="296"/>
        <v>2032</v>
      </c>
      <c r="FT95" s="5">
        <f t="shared" si="241"/>
        <v>2652.967414397157</v>
      </c>
      <c r="FU95" s="214">
        <f t="shared" si="297"/>
        <v>4292.5745915052166</v>
      </c>
      <c r="FV95" s="213">
        <f t="shared" si="331"/>
        <v>2473.7990280334657</v>
      </c>
      <c r="FW95" s="5">
        <f t="shared" si="332"/>
        <v>1818.775563471751</v>
      </c>
      <c r="FX95" s="1">
        <f t="shared" si="333"/>
        <v>0.42370272774549189</v>
      </c>
      <c r="FY95">
        <f t="shared" si="298"/>
        <v>59954.093743432561</v>
      </c>
      <c r="FZ95" s="26">
        <f t="shared" si="334"/>
        <v>3.0336136365516853E-2</v>
      </c>
      <c r="GA95" s="106">
        <f t="shared" si="299"/>
        <v>1.0112045455172283E-3</v>
      </c>
      <c r="GB95" s="61">
        <f t="shared" si="335"/>
        <v>1378.6486241954399</v>
      </c>
      <c r="GC95" s="61">
        <f t="shared" si="207"/>
        <v>2475.2041079359683</v>
      </c>
      <c r="GD95" s="61">
        <f t="shared" si="247"/>
        <v>2359.7272600131919</v>
      </c>
      <c r="GE95" s="61">
        <f t="shared" si="210"/>
        <v>1490.1024572130502</v>
      </c>
      <c r="GF95" s="61">
        <f t="shared" si="336"/>
        <v>985.10165072291807</v>
      </c>
      <c r="GG95" s="61">
        <f t="shared" si="245"/>
        <v>939.14324545674958</v>
      </c>
      <c r="GH95" s="6">
        <f t="shared" si="337"/>
        <v>0.39798804775917168</v>
      </c>
      <c r="GI95">
        <f t="shared" si="300"/>
        <v>9248.6922093424037</v>
      </c>
      <c r="GJ95" s="26">
        <f t="shared" si="367"/>
        <v>0.10651253479144164</v>
      </c>
      <c r="GK95">
        <f t="shared" si="301"/>
        <v>3.550417826381388E-3</v>
      </c>
    </row>
    <row r="96" spans="1:210" x14ac:dyDescent="0.35">
      <c r="A96">
        <v>2033</v>
      </c>
      <c r="D96" s="82" t="e">
        <f>NA()</f>
        <v>#N/A</v>
      </c>
      <c r="J96" s="151">
        <f t="shared" si="404"/>
        <v>6.7433396200422865E-2</v>
      </c>
      <c r="O96" s="88">
        <v>2033</v>
      </c>
      <c r="P96" s="81">
        <f t="shared" si="412"/>
        <v>0.10741516534518507</v>
      </c>
      <c r="Q96" s="81">
        <f t="shared" si="412"/>
        <v>0.75930233821489568</v>
      </c>
      <c r="R96" s="81">
        <f t="shared" si="413"/>
        <v>0.13183604264117066</v>
      </c>
      <c r="S96" s="85">
        <f t="shared" si="413"/>
        <v>1.4464537987485602E-3</v>
      </c>
      <c r="T96" s="79">
        <f t="shared" si="353"/>
        <v>0</v>
      </c>
      <c r="U96" s="79">
        <f t="shared" si="339"/>
        <v>0</v>
      </c>
      <c r="V96" s="79">
        <f t="shared" si="340"/>
        <v>0</v>
      </c>
      <c r="W96" s="79">
        <f t="shared" si="341"/>
        <v>0</v>
      </c>
      <c r="AH96" s="61">
        <v>2033</v>
      </c>
      <c r="AI96" s="74">
        <f t="shared" si="401"/>
        <v>0.2</v>
      </c>
      <c r="AJ96" s="75">
        <f t="shared" si="343"/>
        <v>274827.67499192047</v>
      </c>
      <c r="AK96" s="75">
        <f t="shared" si="344"/>
        <v>1942771.0070679234</v>
      </c>
      <c r="AL96" s="75">
        <f t="shared" si="345"/>
        <v>337339.45148217404</v>
      </c>
      <c r="AM96" s="75">
        <f t="shared" si="346"/>
        <v>3701.0921389526438</v>
      </c>
      <c r="AN96" s="79">
        <f t="shared" si="347"/>
        <v>2558639.2256809706</v>
      </c>
      <c r="AO96" s="80">
        <f t="shared" si="354"/>
        <v>511727.84513619414</v>
      </c>
      <c r="AP96" s="80">
        <f t="shared" si="348"/>
        <v>2046911.3805447766</v>
      </c>
      <c r="AQ96" s="81">
        <f t="shared" si="355"/>
        <v>-0.19962127429742188</v>
      </c>
      <c r="AR96" s="81">
        <f t="shared" si="356"/>
        <v>0.27293199985684191</v>
      </c>
      <c r="AS96" s="81">
        <f t="shared" si="357"/>
        <v>-0.36569454050217348</v>
      </c>
      <c r="AT96" s="121">
        <f t="shared" si="349"/>
        <v>2.6378516138507848</v>
      </c>
      <c r="AU96" s="122">
        <f t="shared" si="358"/>
        <v>0.7959846428153432</v>
      </c>
      <c r="AV96" s="122"/>
      <c r="AW96" s="115">
        <f t="shared" si="287"/>
        <v>2558554.8839198067</v>
      </c>
      <c r="AX96" s="115"/>
      <c r="AY96" s="141" t="e">
        <f t="shared" si="315"/>
        <v>#N/A</v>
      </c>
      <c r="AZ96" s="141"/>
      <c r="BA96" s="140" t="e">
        <v>#N/A</v>
      </c>
      <c r="BB96" s="101">
        <v>2033</v>
      </c>
      <c r="BC96" s="72">
        <v>3.5750695088044487E-2</v>
      </c>
      <c r="BD96" s="72">
        <v>0.8358758109360519</v>
      </c>
      <c r="BE96" s="72">
        <v>0.11956904541241889</v>
      </c>
      <c r="BF96" s="72">
        <v>8.3410565338276187E-3</v>
      </c>
      <c r="BG96" s="72">
        <v>4.6339202965708991E-4</v>
      </c>
      <c r="BL96" s="120">
        <f t="shared" si="369"/>
        <v>2.5024884869999999</v>
      </c>
      <c r="BM96" s="125">
        <f t="shared" si="387"/>
        <v>0.97934707710000013</v>
      </c>
      <c r="BN96" s="72">
        <f t="shared" si="388"/>
        <v>-0.57392922950000003</v>
      </c>
      <c r="BO96" s="98">
        <f t="shared" si="370"/>
        <v>0.70534238386420578</v>
      </c>
      <c r="BP96" s="94"/>
      <c r="BR96" s="199"/>
      <c r="CA96" s="19">
        <v>2033</v>
      </c>
      <c r="CB96" s="91">
        <f t="shared" si="389"/>
        <v>0.13799999999999998</v>
      </c>
      <c r="CC96" s="97">
        <f t="shared" si="252"/>
        <v>134.66756583780943</v>
      </c>
      <c r="CD96" s="97">
        <f t="shared" si="271"/>
        <v>2773.835607447887</v>
      </c>
      <c r="CE96" s="97">
        <f t="shared" si="272"/>
        <v>367.56288895487705</v>
      </c>
      <c r="CF96" s="97">
        <f t="shared" si="273"/>
        <v>28.454593518462541</v>
      </c>
      <c r="CG96" s="97">
        <f t="shared" si="274"/>
        <v>1.0447364951579801</v>
      </c>
      <c r="CH96" s="92">
        <f t="shared" si="405"/>
        <v>3305.5653922541937</v>
      </c>
      <c r="CI96" s="209">
        <f t="shared" si="406"/>
        <v>34.854678776460851</v>
      </c>
      <c r="CJ96" s="92">
        <f t="shared" si="372"/>
        <v>0</v>
      </c>
      <c r="CK96" s="92">
        <f>CH96*CB96</f>
        <v>456.16802413107871</v>
      </c>
      <c r="CL96" s="92">
        <f t="shared" si="408"/>
        <v>491.02270290753955</v>
      </c>
      <c r="CM96" s="72">
        <f t="shared" si="229"/>
        <v>1.2232298368205299E-2</v>
      </c>
      <c r="CN96" s="128">
        <f t="shared" si="411"/>
        <v>0.14854424119339296</v>
      </c>
      <c r="CO96" s="111">
        <f t="shared" si="409"/>
        <v>2814.5426893466542</v>
      </c>
      <c r="CP96" s="72">
        <f t="shared" si="232"/>
        <v>0.70534238386420578</v>
      </c>
      <c r="CQ96" s="96">
        <f t="shared" si="281"/>
        <v>2.5875583368374935</v>
      </c>
      <c r="CR96" s="92">
        <f t="shared" si="234"/>
        <v>2587.5583368374937</v>
      </c>
      <c r="CS96" s="120">
        <f t="shared" si="376"/>
        <v>-0.90461819600000004</v>
      </c>
      <c r="CT96" s="72">
        <f t="shared" si="391"/>
        <v>0.97934707710000013</v>
      </c>
      <c r="CU96" s="72">
        <f t="shared" si="392"/>
        <v>-0.57392922950000003</v>
      </c>
      <c r="CV96" s="104">
        <f t="shared" si="377"/>
        <v>2.1800422333136753</v>
      </c>
      <c r="CW96" s="105">
        <f t="shared" si="318"/>
        <v>-0.19962127429742188</v>
      </c>
      <c r="CX96" s="105">
        <f t="shared" si="319"/>
        <v>0.27293199985684191</v>
      </c>
      <c r="CY96" s="105">
        <f t="shared" si="320"/>
        <v>-0.36569454050217348</v>
      </c>
      <c r="CZ96" s="123">
        <f t="shared" si="350"/>
        <v>-0.68849257550252763</v>
      </c>
      <c r="DA96" s="81">
        <f t="shared" si="351"/>
        <v>1.2366113750272465</v>
      </c>
      <c r="DB96" s="9">
        <f t="shared" si="321"/>
        <v>2558554.8839198067</v>
      </c>
      <c r="DD96" s="1" t="e">
        <f t="shared" si="322"/>
        <v>#N/A</v>
      </c>
      <c r="DE96" s="126" t="e">
        <v>#N/A</v>
      </c>
      <c r="DF96" s="61">
        <v>2033</v>
      </c>
      <c r="DG96" s="26">
        <v>7.6142131979695434E-3</v>
      </c>
      <c r="DH96" s="26">
        <v>0.29512169725367693</v>
      </c>
      <c r="DI96" s="26">
        <v>0.6060236886632826</v>
      </c>
      <c r="DJ96" s="26">
        <v>8.8702329819081091E-2</v>
      </c>
      <c r="DK96" s="26">
        <v>2.5380710659898475E-3</v>
      </c>
      <c r="DO96" s="76" t="e">
        <f>NA()</f>
        <v>#N/A</v>
      </c>
      <c r="DP96" s="119">
        <f t="shared" si="359"/>
        <v>2.5024884869999999</v>
      </c>
      <c r="DQ96" s="109">
        <f t="shared" si="378"/>
        <v>1.1144526043</v>
      </c>
      <c r="DR96" s="109">
        <f t="shared" si="360"/>
        <v>-0.57392922950000003</v>
      </c>
      <c r="DS96" s="109">
        <f t="shared" si="360"/>
        <v>-0.15482546589999999</v>
      </c>
      <c r="DT96" s="113" cm="1">
        <f t="array" ref="DT96">IF(alphaV=1,$DN$11+SUMPRODUCT(DP$11:$DS$11*DP96:DS96),0)+IF(alphaV=2,$DY$104,0)+IF(alphaV=3,$DY$105,0)+IF(alphaV=4,$DY$106,0)+IF(alphaV=5,DY124,0)</f>
        <v>0.11617906224428368</v>
      </c>
      <c r="DU96" s="76" t="e">
        <f>NA()</f>
        <v>#N/A</v>
      </c>
      <c r="DV96" s="76" t="e">
        <f>NA()</f>
        <v>#N/A</v>
      </c>
      <c r="DW96" s="199"/>
      <c r="EE96" s="72">
        <f t="shared" si="189"/>
        <v>1.8766336221867335E-2</v>
      </c>
      <c r="EF96" s="19">
        <v>2033</v>
      </c>
      <c r="EG96">
        <f t="shared" si="361"/>
        <v>0.13799999999999998</v>
      </c>
      <c r="EH96" s="97">
        <f t="shared" si="220"/>
        <v>12.516679103931697</v>
      </c>
      <c r="EI96" s="97">
        <f t="shared" si="238"/>
        <v>479.41698191910922</v>
      </c>
      <c r="EJ96" s="97">
        <f t="shared" si="243"/>
        <v>989.68252965751196</v>
      </c>
      <c r="EK96" s="97">
        <f t="shared" si="246"/>
        <v>144.45012541708465</v>
      </c>
      <c r="EL96" s="97">
        <f t="shared" si="248"/>
        <v>4.1344912458948286</v>
      </c>
      <c r="EM96" s="111">
        <f t="shared" si="196"/>
        <v>1630.2008073435322</v>
      </c>
      <c r="EN96" s="209">
        <f t="shared" si="410"/>
        <v>26.371076748320277</v>
      </c>
      <c r="EO96" s="4">
        <v>0</v>
      </c>
      <c r="EP96" s="92">
        <f t="shared" si="278"/>
        <v>224.96771141340741</v>
      </c>
      <c r="EQ96" s="92">
        <f t="shared" si="239"/>
        <v>251.33878816172768</v>
      </c>
      <c r="ER96" s="128">
        <f t="shared" si="362"/>
        <v>0.15417658182324961</v>
      </c>
      <c r="ES96" s="111">
        <f t="shared" si="363"/>
        <v>1378.8620191818045</v>
      </c>
      <c r="ET96" s="72">
        <f t="shared" si="364"/>
        <v>0.11617906224428368</v>
      </c>
      <c r="EU96" s="96">
        <f t="shared" si="280"/>
        <v>1.70806566466848</v>
      </c>
      <c r="EV96" s="92">
        <f t="shared" si="205"/>
        <v>1708.0656646684799</v>
      </c>
      <c r="EW96" s="120">
        <f t="shared" si="365"/>
        <v>-0.87704872899999997</v>
      </c>
      <c r="EX96" s="127">
        <f t="shared" si="380"/>
        <v>1.1144526043</v>
      </c>
      <c r="EY96" s="9">
        <f t="shared" si="185"/>
        <v>-0.57392922950000003</v>
      </c>
      <c r="EZ96" s="9">
        <f t="shared" si="186"/>
        <v>-0.15482546589999999</v>
      </c>
      <c r="FA96" s="113" cm="1">
        <f t="array" ref="FA96">IF(alphaV=1,$DN$11+SUMPRODUCT($DP$11:$DS$11*EW96:EZ96),0)+IF(alphaV=2,$ES$115,0)+IF(alphaV=3,$ES$116,0)+IF(alphaV=4,$ES$117,0)+IF(alphaV=5,ES135,0)</f>
        <v>1.6239447871927648</v>
      </c>
      <c r="FB96" s="56">
        <v>2033</v>
      </c>
      <c r="FC96" s="116">
        <f t="shared" si="325"/>
        <v>2046911.3805447766</v>
      </c>
      <c r="FD96" s="116">
        <f t="shared" si="290"/>
        <v>2965928.5767799742</v>
      </c>
      <c r="FE96" s="116">
        <f t="shared" si="396"/>
        <v>2966011.4780325592</v>
      </c>
      <c r="FF96" s="116">
        <f t="shared" si="291"/>
        <v>2567160.9610481546</v>
      </c>
      <c r="FG96" s="5">
        <f t="shared" si="292"/>
        <v>398767.61573181953</v>
      </c>
      <c r="FH96" s="5">
        <f t="shared" si="393"/>
        <v>398778.76176382182</v>
      </c>
      <c r="FI96" s="117">
        <f t="shared" si="293"/>
        <v>0.13444950052194121</v>
      </c>
      <c r="FJ96" s="117">
        <f t="shared" si="326"/>
        <v>13.444950052194121</v>
      </c>
      <c r="FK96" s="61">
        <f t="shared" si="294"/>
        <v>7775.0525071201791</v>
      </c>
      <c r="FL96" s="61">
        <f t="shared" si="327"/>
        <v>381.46733723841203</v>
      </c>
      <c r="FM96" s="92">
        <f t="shared" si="328"/>
        <v>51.288092957139405</v>
      </c>
      <c r="FN96" s="72">
        <f t="shared" si="329"/>
        <v>0.13444950052194121</v>
      </c>
      <c r="FO96" s="92"/>
      <c r="FP96" s="92">
        <f t="shared" si="397"/>
        <v>51.289077455278658</v>
      </c>
      <c r="FQ96" s="1">
        <f t="shared" si="366"/>
        <v>0</v>
      </c>
      <c r="FS96">
        <f t="shared" si="296"/>
        <v>2033</v>
      </c>
      <c r="FT96" s="5">
        <f t="shared" si="241"/>
        <v>2814.5426893466542</v>
      </c>
      <c r="FU96" s="214">
        <f t="shared" si="297"/>
        <v>3998.9437855377364</v>
      </c>
      <c r="FV96" s="213">
        <f t="shared" si="331"/>
        <v>2304.5803955045139</v>
      </c>
      <c r="FW96" s="5">
        <f t="shared" si="332"/>
        <v>1694.3633900332225</v>
      </c>
      <c r="FX96" s="1">
        <f t="shared" si="333"/>
        <v>0.42370272774549195</v>
      </c>
      <c r="FY96">
        <f t="shared" si="298"/>
        <v>59954.093743432561</v>
      </c>
      <c r="FZ96" s="26">
        <f t="shared" si="334"/>
        <v>2.8261012455364234E-2</v>
      </c>
      <c r="GA96" s="106">
        <f t="shared" si="299"/>
        <v>9.4203374851214116E-4</v>
      </c>
      <c r="GB96" s="61">
        <f t="shared" si="335"/>
        <v>1378.8620191818045</v>
      </c>
      <c r="GC96" s="61">
        <f t="shared" si="207"/>
        <v>2475.0471458119728</v>
      </c>
      <c r="GD96" s="61">
        <f t="shared" si="247"/>
        <v>2366.3839813542177</v>
      </c>
      <c r="GE96" s="61">
        <f t="shared" si="210"/>
        <v>1490.0079641383556</v>
      </c>
      <c r="GF96" s="61">
        <f t="shared" si="336"/>
        <v>985.03918167361712</v>
      </c>
      <c r="GG96" s="61">
        <f t="shared" si="245"/>
        <v>941.7925409877414</v>
      </c>
      <c r="GH96" s="6">
        <f t="shared" si="337"/>
        <v>0.39798804775917174</v>
      </c>
      <c r="GI96">
        <f t="shared" si="300"/>
        <v>9248.6922093424037</v>
      </c>
      <c r="GJ96" s="26">
        <f t="shared" si="367"/>
        <v>0.10650578042575545</v>
      </c>
      <c r="GK96">
        <f t="shared" si="301"/>
        <v>3.5501926808585152E-3</v>
      </c>
    </row>
    <row r="97" spans="1:193" x14ac:dyDescent="0.35">
      <c r="A97">
        <v>2034</v>
      </c>
      <c r="D97" s="82" t="e">
        <f>NA()</f>
        <v>#N/A</v>
      </c>
      <c r="J97" s="151">
        <f t="shared" si="404"/>
        <v>6.7433396200422865E-2</v>
      </c>
      <c r="O97" s="88">
        <v>2034</v>
      </c>
      <c r="P97" s="81">
        <f t="shared" si="412"/>
        <v>0.10741516534518507</v>
      </c>
      <c r="Q97" s="81">
        <f t="shared" si="412"/>
        <v>0.75930233821489568</v>
      </c>
      <c r="R97" s="81">
        <f t="shared" si="413"/>
        <v>0.13183604264117066</v>
      </c>
      <c r="S97" s="85">
        <f t="shared" si="413"/>
        <v>1.4464537987485602E-3</v>
      </c>
      <c r="T97" s="79">
        <f t="shared" si="353"/>
        <v>0</v>
      </c>
      <c r="U97" s="79">
        <f t="shared" si="339"/>
        <v>0</v>
      </c>
      <c r="V97" s="79">
        <f t="shared" si="340"/>
        <v>0</v>
      </c>
      <c r="W97" s="79">
        <f t="shared" si="341"/>
        <v>0</v>
      </c>
      <c r="AH97" s="61">
        <v>2034</v>
      </c>
      <c r="AI97" s="74">
        <f t="shared" si="401"/>
        <v>0.2</v>
      </c>
      <c r="AJ97" s="75">
        <f t="shared" si="343"/>
        <v>274827.46055743506</v>
      </c>
      <c r="AK97" s="75">
        <f t="shared" si="344"/>
        <v>1942717.2648939432</v>
      </c>
      <c r="AL97" s="75">
        <f t="shared" si="345"/>
        <v>337319.1789873672</v>
      </c>
      <c r="AM97" s="75">
        <f t="shared" si="346"/>
        <v>3701.1572957497679</v>
      </c>
      <c r="AN97" s="79">
        <f t="shared" si="347"/>
        <v>2558565.0617344952</v>
      </c>
      <c r="AO97" s="80">
        <f t="shared" si="354"/>
        <v>511713.01234689908</v>
      </c>
      <c r="AP97" s="80">
        <f t="shared" si="348"/>
        <v>2046852.0493875961</v>
      </c>
      <c r="AQ97" s="81">
        <f t="shared" si="355"/>
        <v>-0.19962127429742188</v>
      </c>
      <c r="AR97" s="81">
        <f t="shared" si="356"/>
        <v>0.27293199985684191</v>
      </c>
      <c r="AS97" s="81">
        <f t="shared" si="357"/>
        <v>-0.36569454050217348</v>
      </c>
      <c r="AT97" s="121">
        <f t="shared" si="349"/>
        <v>2.6378516138507848</v>
      </c>
      <c r="AU97" s="122">
        <f t="shared" si="358"/>
        <v>0.7959846428153432</v>
      </c>
      <c r="AV97" s="122"/>
      <c r="AW97" s="115">
        <f t="shared" si="287"/>
        <v>2558555.8840838661</v>
      </c>
      <c r="AX97" s="115"/>
      <c r="AY97" s="141" t="e">
        <f t="shared" si="315"/>
        <v>#N/A</v>
      </c>
      <c r="AZ97" s="141"/>
      <c r="BA97" s="140" t="e">
        <v>#N/A</v>
      </c>
      <c r="BB97" s="101">
        <v>2034</v>
      </c>
      <c r="BC97" s="72">
        <v>3.5750695088044487E-2</v>
      </c>
      <c r="BD97" s="72">
        <v>0.8358758109360519</v>
      </c>
      <c r="BE97" s="72">
        <v>0.11956904541241889</v>
      </c>
      <c r="BF97" s="72">
        <v>8.3410565338276187E-3</v>
      </c>
      <c r="BG97" s="72">
        <v>4.6339202965708991E-4</v>
      </c>
      <c r="BL97" s="120">
        <f t="shared" si="369"/>
        <v>2.5024884869999999</v>
      </c>
      <c r="BM97" s="125">
        <f t="shared" si="387"/>
        <v>0.97934707710000013</v>
      </c>
      <c r="BN97" s="72">
        <f t="shared" si="388"/>
        <v>-0.57392922950000003</v>
      </c>
      <c r="BO97" s="98">
        <f t="shared" si="370"/>
        <v>0.70534238386420578</v>
      </c>
      <c r="BP97" s="94"/>
      <c r="BR97" s="199"/>
      <c r="CA97" s="19">
        <v>2034</v>
      </c>
      <c r="CB97" s="91">
        <f t="shared" si="389"/>
        <v>0.13799999999999998</v>
      </c>
      <c r="CC97" s="97">
        <f t="shared" si="252"/>
        <v>129.17814161992152</v>
      </c>
      <c r="CD97" s="97">
        <f t="shared" si="271"/>
        <v>3148.6202023273804</v>
      </c>
      <c r="CE97" s="97">
        <f t="shared" si="272"/>
        <v>396.78726357939166</v>
      </c>
      <c r="CF97" s="97">
        <f t="shared" si="273"/>
        <v>25.640940980458815</v>
      </c>
      <c r="CG97" s="97">
        <f t="shared" si="274"/>
        <v>1.5808107510256968</v>
      </c>
      <c r="CH97" s="92">
        <f t="shared" si="405"/>
        <v>3701.8073592581777</v>
      </c>
      <c r="CI97" s="209">
        <f t="shared" si="406"/>
        <v>39.032749647495315</v>
      </c>
      <c r="CJ97" s="92">
        <f t="shared" si="372"/>
        <v>0</v>
      </c>
      <c r="CK97" s="92">
        <f t="shared" si="407"/>
        <v>510.84941557762846</v>
      </c>
      <c r="CL97" s="92">
        <f t="shared" si="408"/>
        <v>549.8821652251238</v>
      </c>
      <c r="CM97" s="72">
        <f t="shared" si="229"/>
        <v>1.2232298368205297E-2</v>
      </c>
      <c r="CN97" s="128">
        <f t="shared" si="411"/>
        <v>0.14854424119339296</v>
      </c>
      <c r="CO97" s="111">
        <f t="shared" si="409"/>
        <v>3151.9251940330541</v>
      </c>
      <c r="CP97" s="72">
        <f t="shared" si="232"/>
        <v>0.70534238386420578</v>
      </c>
      <c r="CQ97" s="96">
        <f t="shared" si="281"/>
        <v>2.2089665343833791</v>
      </c>
      <c r="CR97" s="92">
        <f t="shared" si="234"/>
        <v>2208.966534383379</v>
      </c>
      <c r="CS97" s="120">
        <f t="shared" si="376"/>
        <v>-0.90461819600000004</v>
      </c>
      <c r="CT97" s="72">
        <f t="shared" si="391"/>
        <v>0.97934707710000013</v>
      </c>
      <c r="CU97" s="72">
        <f t="shared" si="392"/>
        <v>-0.57392922950000003</v>
      </c>
      <c r="CV97" s="104">
        <f t="shared" si="377"/>
        <v>2.1800422333136753</v>
      </c>
      <c r="CW97" s="105">
        <f t="shared" si="318"/>
        <v>-0.19962127429742188</v>
      </c>
      <c r="CX97" s="105">
        <f t="shared" si="319"/>
        <v>0.27293199985684191</v>
      </c>
      <c r="CY97" s="105">
        <f t="shared" si="320"/>
        <v>-0.36569454050217348</v>
      </c>
      <c r="CZ97" s="123">
        <f t="shared" si="350"/>
        <v>-0.68849257550252763</v>
      </c>
      <c r="DA97" s="81">
        <f t="shared" si="351"/>
        <v>1.2366113750272465</v>
      </c>
      <c r="DB97" s="9">
        <f t="shared" si="321"/>
        <v>2558555.8840838661</v>
      </c>
      <c r="DD97" s="1" t="e">
        <f t="shared" si="322"/>
        <v>#N/A</v>
      </c>
      <c r="DE97" s="126" t="e">
        <v>#N/A</v>
      </c>
      <c r="DF97" s="61">
        <v>2034</v>
      </c>
      <c r="DG97" s="26">
        <v>7.6142131979695434E-3</v>
      </c>
      <c r="DH97" s="26">
        <v>0.29512169725367693</v>
      </c>
      <c r="DI97" s="26">
        <v>0.6060236886632826</v>
      </c>
      <c r="DJ97" s="26">
        <v>8.8702329819081091E-2</v>
      </c>
      <c r="DK97" s="26">
        <v>2.5380710659898475E-3</v>
      </c>
      <c r="DO97" s="76" t="e">
        <f>NA()</f>
        <v>#N/A</v>
      </c>
      <c r="DP97" s="119">
        <f t="shared" si="359"/>
        <v>2.5024884869999999</v>
      </c>
      <c r="DQ97" s="109">
        <f t="shared" si="378"/>
        <v>1.1144526043</v>
      </c>
      <c r="DR97" s="109">
        <f t="shared" si="378"/>
        <v>-0.57392922950000003</v>
      </c>
      <c r="DS97" s="109">
        <f t="shared" si="378"/>
        <v>-0.15482546589999999</v>
      </c>
      <c r="DT97" s="113" cm="1">
        <f t="array" ref="DT97">IF(alphaV=1,$DN$11+SUMPRODUCT(DP$11:$DS$11*DP97:DS97),0)+IF(alphaV=2,$DY$104,0)+IF(alphaV=3,$DY$105,0)+IF(alphaV=4,$DY$106,0)+IF(alphaV=5,DY125,0)</f>
        <v>0.11617906224428368</v>
      </c>
      <c r="DU97" s="76" t="e">
        <f>NA()</f>
        <v>#N/A</v>
      </c>
      <c r="DV97" s="76" t="e">
        <f>NA()</f>
        <v>#N/A</v>
      </c>
      <c r="DW97" s="199"/>
      <c r="EE97" s="72">
        <f t="shared" si="189"/>
        <v>1.8766336221867335E-2</v>
      </c>
      <c r="EF97" s="19">
        <v>2034</v>
      </c>
      <c r="EG97">
        <f t="shared" si="361"/>
        <v>0.13799999999999998</v>
      </c>
      <c r="EH97" s="97">
        <f t="shared" si="220"/>
        <v>12.87699940993399</v>
      </c>
      <c r="EI97" s="97">
        <f t="shared" si="238"/>
        <v>485.13792365533004</v>
      </c>
      <c r="EJ97" s="97">
        <f t="shared" si="243"/>
        <v>984.46861242025136</v>
      </c>
      <c r="EK97" s="97">
        <f t="shared" si="246"/>
        <v>144.8576149811847</v>
      </c>
      <c r="EL97" s="97">
        <f t="shared" si="248"/>
        <v>4.1332024147221578</v>
      </c>
      <c r="EM97" s="111">
        <f t="shared" si="196"/>
        <v>1631.4743528814222</v>
      </c>
      <c r="EN97" s="209">
        <f t="shared" si="410"/>
        <v>26.391678361919588</v>
      </c>
      <c r="EO97" s="4">
        <v>0</v>
      </c>
      <c r="EP97" s="92">
        <f t="shared" si="278"/>
        <v>225.14346069763624</v>
      </c>
      <c r="EQ97" s="92">
        <f t="shared" si="239"/>
        <v>251.53513905955583</v>
      </c>
      <c r="ER97" s="128">
        <f t="shared" si="362"/>
        <v>0.15417658182324964</v>
      </c>
      <c r="ES97" s="111">
        <f t="shared" si="363"/>
        <v>1379.9392138218664</v>
      </c>
      <c r="ET97" s="72">
        <f t="shared" si="364"/>
        <v>0.11617906224428368</v>
      </c>
      <c r="EU97" s="96">
        <f t="shared" si="280"/>
        <v>1.7075183487469874</v>
      </c>
      <c r="EV97" s="92">
        <f t="shared" si="205"/>
        <v>1707.5183487469874</v>
      </c>
      <c r="EW97" s="120">
        <f t="shared" si="365"/>
        <v>-0.87704872899999997</v>
      </c>
      <c r="EX97" s="127">
        <f t="shared" si="380"/>
        <v>1.1144526043</v>
      </c>
      <c r="EY97" s="9">
        <f t="shared" si="185"/>
        <v>-0.57392922950000003</v>
      </c>
      <c r="EZ97" s="9">
        <f t="shared" si="186"/>
        <v>-0.15482546589999999</v>
      </c>
      <c r="FA97" s="113" cm="1">
        <f t="array" ref="FA97">IF(alphaV=1,$DN$11+SUMPRODUCT($DP$11:$DS$11*EW97:EZ97),0)+IF(alphaV=2,$ES$115,0)+IF(alphaV=3,$ES$116,0)+IF(alphaV=4,$ES$117,0)+IF(alphaV=5,ES136,0)</f>
        <v>1.6239447871927648</v>
      </c>
      <c r="FB97" s="56">
        <v>2034</v>
      </c>
      <c r="FC97" s="116">
        <f t="shared" si="325"/>
        <v>2046852.0493875961</v>
      </c>
      <c r="FD97" s="116">
        <f t="shared" si="290"/>
        <v>2965929.7361903838</v>
      </c>
      <c r="FE97" s="116">
        <f t="shared" si="396"/>
        <v>2965929.4303263184</v>
      </c>
      <c r="FF97" s="116">
        <f t="shared" si="291"/>
        <v>2567161.9645764139</v>
      </c>
      <c r="FG97" s="5">
        <f t="shared" si="292"/>
        <v>398767.77161396993</v>
      </c>
      <c r="FH97" s="5">
        <f t="shared" si="393"/>
        <v>398767.73049069894</v>
      </c>
      <c r="FI97" s="117">
        <f t="shared" si="293"/>
        <v>0.13444950052194121</v>
      </c>
      <c r="FJ97" s="117">
        <f t="shared" si="326"/>
        <v>13.444950052194121</v>
      </c>
      <c r="FK97" s="61">
        <f t="shared" si="294"/>
        <v>7775.0525071201791</v>
      </c>
      <c r="FL97" s="61">
        <f t="shared" si="327"/>
        <v>381.4674863577149</v>
      </c>
      <c r="FM97" s="92">
        <f t="shared" si="328"/>
        <v>51.288113006155186</v>
      </c>
      <c r="FN97" s="72">
        <f t="shared" si="329"/>
        <v>0.13444950052194121</v>
      </c>
      <c r="FO97" s="92"/>
      <c r="FP97" s="92">
        <f t="shared" si="397"/>
        <v>51.288328129258339</v>
      </c>
      <c r="FQ97" s="1">
        <f t="shared" si="366"/>
        <v>0</v>
      </c>
      <c r="FS97">
        <f t="shared" si="296"/>
        <v>2034</v>
      </c>
      <c r="FT97" s="5">
        <f t="shared" si="241"/>
        <v>3151.9251940330541</v>
      </c>
      <c r="FU97" s="214">
        <f t="shared" si="297"/>
        <v>3413.8488278218165</v>
      </c>
      <c r="FV97" s="213">
        <f t="shared" si="331"/>
        <v>1967.3917673629624</v>
      </c>
      <c r="FW97" s="5">
        <f t="shared" si="332"/>
        <v>1446.4570604588541</v>
      </c>
      <c r="FX97" s="1">
        <f t="shared" si="333"/>
        <v>0.423702727745492</v>
      </c>
      <c r="FY97">
        <f t="shared" si="298"/>
        <v>59954.093743432561</v>
      </c>
      <c r="FZ97" s="26">
        <f t="shared" si="334"/>
        <v>2.4126076638716614E-2</v>
      </c>
      <c r="GA97" s="106">
        <f t="shared" si="299"/>
        <v>8.0420255462388714E-4</v>
      </c>
      <c r="GB97" s="61">
        <f t="shared" si="335"/>
        <v>1379.9392138218664</v>
      </c>
      <c r="GC97" s="61">
        <f t="shared" si="207"/>
        <v>2474.2540658166486</v>
      </c>
      <c r="GD97" s="61">
        <f t="shared" si="247"/>
        <v>2353.9172257425676</v>
      </c>
      <c r="GE97" s="61">
        <f t="shared" si="210"/>
        <v>1489.5305205020873</v>
      </c>
      <c r="GF97" s="61">
        <f t="shared" si="336"/>
        <v>984.72354531456131</v>
      </c>
      <c r="GG97" s="61">
        <f t="shared" si="245"/>
        <v>936.83092125996995</v>
      </c>
      <c r="GH97" s="6">
        <f t="shared" si="337"/>
        <v>0.39798804775917179</v>
      </c>
      <c r="GI97">
        <f t="shared" si="300"/>
        <v>9248.6922093424037</v>
      </c>
      <c r="GJ97" s="26">
        <f t="shared" si="367"/>
        <v>0.10647165275106249</v>
      </c>
      <c r="GK97">
        <f t="shared" si="301"/>
        <v>3.5490550917020832E-3</v>
      </c>
    </row>
    <row r="98" spans="1:193" x14ac:dyDescent="0.35">
      <c r="A98">
        <v>2035</v>
      </c>
      <c r="D98" s="82" t="e">
        <f>NA()</f>
        <v>#N/A</v>
      </c>
      <c r="J98" s="151">
        <f t="shared" si="404"/>
        <v>6.7433396200422865E-2</v>
      </c>
      <c r="O98" s="88">
        <v>2035</v>
      </c>
      <c r="P98" s="81">
        <f t="shared" si="412"/>
        <v>0.10741516534518507</v>
      </c>
      <c r="Q98" s="81">
        <f t="shared" si="412"/>
        <v>0.75930233821489568</v>
      </c>
      <c r="R98" s="81">
        <f t="shared" si="413"/>
        <v>0.13183604264117066</v>
      </c>
      <c r="S98" s="85">
        <f t="shared" si="413"/>
        <v>1.4464537987485602E-3</v>
      </c>
      <c r="T98" s="79">
        <f t="shared" si="353"/>
        <v>0</v>
      </c>
      <c r="U98" s="79">
        <f t="shared" si="339"/>
        <v>0</v>
      </c>
      <c r="V98" s="79">
        <f t="shared" si="340"/>
        <v>0</v>
      </c>
      <c r="W98" s="79">
        <f t="shared" si="341"/>
        <v>0</v>
      </c>
      <c r="AH98" s="61">
        <v>2035</v>
      </c>
      <c r="AI98" s="74">
        <f t="shared" si="401"/>
        <v>0.2</v>
      </c>
      <c r="AJ98" s="75">
        <f t="shared" si="343"/>
        <v>274827.42398905777</v>
      </c>
      <c r="AK98" s="75">
        <f t="shared" si="344"/>
        <v>1942715.7490874401</v>
      </c>
      <c r="AL98" s="75">
        <f t="shared" si="345"/>
        <v>337309.84784852579</v>
      </c>
      <c r="AM98" s="75">
        <f t="shared" si="346"/>
        <v>3700.9348738191939</v>
      </c>
      <c r="AN98" s="79">
        <f t="shared" si="347"/>
        <v>2558553.9557988429</v>
      </c>
      <c r="AO98" s="80">
        <f t="shared" si="354"/>
        <v>511710.79115976859</v>
      </c>
      <c r="AP98" s="80">
        <f t="shared" si="348"/>
        <v>2046843.1646390744</v>
      </c>
      <c r="AQ98" s="81">
        <f t="shared" si="355"/>
        <v>-0.19962127429742188</v>
      </c>
      <c r="AR98" s="81">
        <f t="shared" si="356"/>
        <v>0.27293199985684191</v>
      </c>
      <c r="AS98" s="81">
        <f t="shared" si="357"/>
        <v>-0.36569454050217348</v>
      </c>
      <c r="AT98" s="121">
        <f t="shared" si="349"/>
        <v>2.6378516138507848</v>
      </c>
      <c r="AU98" s="122">
        <f t="shared" si="358"/>
        <v>0.7959846428153432</v>
      </c>
      <c r="AV98" s="122"/>
      <c r="AW98" s="115">
        <f t="shared" si="287"/>
        <v>2558556.0336718508</v>
      </c>
      <c r="AX98" s="115"/>
      <c r="AY98" s="141" t="e">
        <f t="shared" si="315"/>
        <v>#N/A</v>
      </c>
      <c r="AZ98" s="141"/>
      <c r="BA98" s="140" t="e">
        <v>#N/A</v>
      </c>
      <c r="BB98" s="101">
        <v>2035</v>
      </c>
      <c r="BC98" s="72">
        <v>3.5750695088044487E-2</v>
      </c>
      <c r="BD98" s="72">
        <v>0.8358758109360519</v>
      </c>
      <c r="BE98" s="72">
        <v>0.11956904541241889</v>
      </c>
      <c r="BF98" s="72">
        <v>8.3410565338276187E-3</v>
      </c>
      <c r="BG98" s="72">
        <v>4.6339202965708991E-4</v>
      </c>
      <c r="BL98" s="120">
        <f t="shared" si="369"/>
        <v>2.5024884869999999</v>
      </c>
      <c r="BM98" s="125">
        <f t="shared" si="387"/>
        <v>0.97934707710000013</v>
      </c>
      <c r="BN98" s="72">
        <f t="shared" si="388"/>
        <v>-0.57392922950000003</v>
      </c>
      <c r="BO98" s="98">
        <f t="shared" si="370"/>
        <v>0.70534238386420578</v>
      </c>
      <c r="BP98" s="94"/>
      <c r="BR98" s="199"/>
      <c r="CA98" s="19">
        <v>2035</v>
      </c>
      <c r="CB98" s="91">
        <f t="shared" si="389"/>
        <v>0.13799999999999998</v>
      </c>
      <c r="CC98" s="97">
        <f t="shared" si="252"/>
        <v>94.521838028751276</v>
      </c>
      <c r="CD98" s="97">
        <f t="shared" si="271"/>
        <v>3020.2736930245865</v>
      </c>
      <c r="CE98" s="97">
        <f t="shared" si="272"/>
        <v>450.39885953506104</v>
      </c>
      <c r="CF98" s="97">
        <f t="shared" si="273"/>
        <v>27.679613783006051</v>
      </c>
      <c r="CG98" s="97">
        <f t="shared" si="274"/>
        <v>1.4244967211366009</v>
      </c>
      <c r="CH98" s="92">
        <f t="shared" si="405"/>
        <v>3594.2985010925413</v>
      </c>
      <c r="CI98" s="209">
        <f t="shared" si="406"/>
        <v>37.899150316570562</v>
      </c>
      <c r="CJ98" s="92">
        <f t="shared" si="372"/>
        <v>0</v>
      </c>
      <c r="CK98" s="92">
        <f t="shared" si="407"/>
        <v>496.01319315077063</v>
      </c>
      <c r="CL98" s="92">
        <f t="shared" si="408"/>
        <v>533.9123434673412</v>
      </c>
      <c r="CM98" s="72">
        <f t="shared" si="229"/>
        <v>1.2232298368205295E-2</v>
      </c>
      <c r="CN98" s="128">
        <f t="shared" si="411"/>
        <v>0.14854424119339296</v>
      </c>
      <c r="CO98" s="111">
        <f t="shared" si="409"/>
        <v>3060.3861576252002</v>
      </c>
      <c r="CP98" s="72">
        <f t="shared" si="232"/>
        <v>0.70534238386420578</v>
      </c>
      <c r="CQ98" s="96">
        <f t="shared" si="281"/>
        <v>2.3087124565616066</v>
      </c>
      <c r="CR98" s="92">
        <f t="shared" si="234"/>
        <v>2308.7124565616068</v>
      </c>
      <c r="CS98" s="120">
        <f t="shared" si="376"/>
        <v>-0.90461819600000004</v>
      </c>
      <c r="CT98" s="72">
        <f t="shared" si="391"/>
        <v>0.97934707710000013</v>
      </c>
      <c r="CU98" s="72">
        <f t="shared" si="392"/>
        <v>-0.57392922950000003</v>
      </c>
      <c r="CV98" s="104">
        <f t="shared" si="377"/>
        <v>2.1800422333136753</v>
      </c>
      <c r="CW98" s="105">
        <f t="shared" si="318"/>
        <v>-0.19962127429742188</v>
      </c>
      <c r="CX98" s="105">
        <f t="shared" si="319"/>
        <v>0.27293199985684191</v>
      </c>
      <c r="CY98" s="105">
        <f t="shared" si="320"/>
        <v>-0.36569454050217348</v>
      </c>
      <c r="CZ98" s="123">
        <f t="shared" si="350"/>
        <v>-0.68849257550252763</v>
      </c>
      <c r="DA98" s="81">
        <f t="shared" si="351"/>
        <v>1.2366113750272465</v>
      </c>
      <c r="DB98" s="9">
        <f t="shared" si="321"/>
        <v>2558556.0336718508</v>
      </c>
      <c r="DD98" s="1" t="e">
        <f t="shared" si="322"/>
        <v>#N/A</v>
      </c>
      <c r="DE98" s="126" t="e">
        <v>#N/A</v>
      </c>
      <c r="DF98" s="61">
        <v>2035</v>
      </c>
      <c r="DG98" s="26">
        <v>7.6142131979695434E-3</v>
      </c>
      <c r="DH98" s="26">
        <v>0.29512169725367693</v>
      </c>
      <c r="DI98" s="26">
        <v>0.6060236886632826</v>
      </c>
      <c r="DJ98" s="26">
        <v>8.8702329819081091E-2</v>
      </c>
      <c r="DK98" s="26">
        <v>2.5380710659898475E-3</v>
      </c>
      <c r="DO98" s="76" t="e">
        <f>NA()</f>
        <v>#N/A</v>
      </c>
      <c r="DP98" s="119">
        <f t="shared" si="359"/>
        <v>2.5024884869999999</v>
      </c>
      <c r="DQ98" s="109">
        <f t="shared" si="378"/>
        <v>1.1144526043</v>
      </c>
      <c r="DR98" s="109">
        <f t="shared" si="378"/>
        <v>-0.57392922950000003</v>
      </c>
      <c r="DS98" s="109">
        <f t="shared" si="378"/>
        <v>-0.15482546589999999</v>
      </c>
      <c r="DT98" s="113" cm="1">
        <f t="array" ref="DT98">IF(alphaV=1,$DN$11+SUMPRODUCT(DP$11:$DS$11*DP98:DS98),0)+IF(alphaV=2,$DY$104,0)+IF(alphaV=3,$DY$105,0)+IF(alphaV=4,$DY$106,0)+IF(alphaV=5,DY126,0)</f>
        <v>0.11617906224428368</v>
      </c>
      <c r="DU98" s="76" t="e">
        <f>NA()</f>
        <v>#N/A</v>
      </c>
      <c r="DV98" s="76" t="e">
        <f>NA()</f>
        <v>#N/A</v>
      </c>
      <c r="DW98" s="199"/>
      <c r="EE98" s="72">
        <f t="shared" si="189"/>
        <v>1.8766336221867335E-2</v>
      </c>
      <c r="EF98" s="19">
        <v>2035</v>
      </c>
      <c r="EG98">
        <f t="shared" si="361"/>
        <v>0.13799999999999998</v>
      </c>
      <c r="EH98" s="97">
        <f t="shared" si="220"/>
        <v>12.997494261977296</v>
      </c>
      <c r="EI98" s="97">
        <f t="shared" si="238"/>
        <v>499.10369234312009</v>
      </c>
      <c r="EJ98" s="97">
        <f t="shared" si="243"/>
        <v>996.21639730315042</v>
      </c>
      <c r="EK98" s="97">
        <f t="shared" si="246"/>
        <v>144.09446559431996</v>
      </c>
      <c r="EL98" s="97">
        <f t="shared" si="248"/>
        <v>4.1448620574220119</v>
      </c>
      <c r="EM98" s="111">
        <f t="shared" si="196"/>
        <v>1656.5569115599897</v>
      </c>
      <c r="EN98" s="209">
        <f t="shared" si="410"/>
        <v>26.797428424719893</v>
      </c>
      <c r="EO98" s="4">
        <v>0</v>
      </c>
      <c r="EP98" s="92">
        <f t="shared" si="278"/>
        <v>228.60485379527856</v>
      </c>
      <c r="EQ98" s="92">
        <f t="shared" si="239"/>
        <v>255.40228221999845</v>
      </c>
      <c r="ER98" s="128">
        <f t="shared" si="362"/>
        <v>0.15417658182324964</v>
      </c>
      <c r="ES98" s="111">
        <f t="shared" si="363"/>
        <v>1401.1546293399913</v>
      </c>
      <c r="ET98" s="72">
        <f t="shared" si="364"/>
        <v>0.11617906224428368</v>
      </c>
      <c r="EU98" s="96">
        <f t="shared" si="280"/>
        <v>1.6965659259129879</v>
      </c>
      <c r="EV98" s="92">
        <f t="shared" si="205"/>
        <v>1696.565925912988</v>
      </c>
      <c r="EW98" s="120">
        <f t="shared" si="365"/>
        <v>-0.87704872899999997</v>
      </c>
      <c r="EX98" s="127">
        <f t="shared" si="380"/>
        <v>1.1144526043</v>
      </c>
      <c r="EY98" s="9">
        <f t="shared" si="185"/>
        <v>-0.57392922950000003</v>
      </c>
      <c r="EZ98" s="9">
        <f t="shared" si="186"/>
        <v>-0.15482546589999999</v>
      </c>
      <c r="FA98" s="113" cm="1">
        <f t="array" ref="FA98">IF(alphaV=1,$DN$11+SUMPRODUCT($DP$11:$DS$11*EW98:EZ98),0)+IF(alphaV=2,$ES$115,0)+IF(alphaV=3,$ES$116,0)+IF(alphaV=4,$ES$117,0)+IF(alphaV=5,ES137,0)</f>
        <v>1.6239447871927648</v>
      </c>
      <c r="FB98" s="56">
        <v>2035</v>
      </c>
      <c r="FC98" s="116">
        <f t="shared" si="325"/>
        <v>2046843.1646390744</v>
      </c>
      <c r="FD98" s="116">
        <f t="shared" si="290"/>
        <v>2965929.9095958015</v>
      </c>
      <c r="FE98" s="116">
        <f t="shared" si="396"/>
        <v>2965927.1161578088</v>
      </c>
      <c r="FF98" s="116">
        <f t="shared" si="291"/>
        <v>2567162.1146675595</v>
      </c>
      <c r="FG98" s="5">
        <f t="shared" si="292"/>
        <v>398767.79492824199</v>
      </c>
      <c r="FH98" s="5">
        <f t="shared" si="393"/>
        <v>398767.41935189907</v>
      </c>
      <c r="FI98" s="117">
        <f t="shared" si="293"/>
        <v>0.1344495005219413</v>
      </c>
      <c r="FJ98" s="117">
        <f t="shared" si="326"/>
        <v>13.44495005219413</v>
      </c>
      <c r="FK98" s="61">
        <f t="shared" si="294"/>
        <v>7775.0525071201791</v>
      </c>
      <c r="FL98" s="61">
        <f t="shared" si="327"/>
        <v>381.4675086605119</v>
      </c>
      <c r="FM98" s="92">
        <f t="shared" si="328"/>
        <v>51.288116004755132</v>
      </c>
      <c r="FN98" s="72">
        <f t="shared" si="329"/>
        <v>0.1344495005219413</v>
      </c>
      <c r="FO98" s="92"/>
      <c r="FP98" s="92">
        <f t="shared" si="397"/>
        <v>51.288093043266542</v>
      </c>
      <c r="FQ98" s="1">
        <f t="shared" si="366"/>
        <v>0</v>
      </c>
      <c r="FS98">
        <f t="shared" si="296"/>
        <v>2035</v>
      </c>
      <c r="FT98" s="5">
        <f t="shared" si="241"/>
        <v>3060.3861576252002</v>
      </c>
      <c r="FU98" s="214">
        <f t="shared" si="297"/>
        <v>3568.0012308609148</v>
      </c>
      <c r="FV98" s="213">
        <f t="shared" si="331"/>
        <v>2056.2293767458723</v>
      </c>
      <c r="FW98" s="5">
        <f t="shared" si="332"/>
        <v>1511.7718541150425</v>
      </c>
      <c r="FX98" s="1">
        <f t="shared" si="333"/>
        <v>0.423702727745492</v>
      </c>
      <c r="FY98">
        <f t="shared" si="298"/>
        <v>59954.093743432561</v>
      </c>
      <c r="FZ98" s="26">
        <f t="shared" si="334"/>
        <v>2.5215490047844208E-2</v>
      </c>
      <c r="GA98" s="106">
        <f t="shared" si="299"/>
        <v>8.4051633492814026E-4</v>
      </c>
      <c r="GB98" s="61">
        <f t="shared" si="335"/>
        <v>1401.1546293399913</v>
      </c>
      <c r="GC98" s="61">
        <f t="shared" si="207"/>
        <v>2458.3836204141426</v>
      </c>
      <c r="GD98" s="61">
        <f t="shared" si="247"/>
        <v>2382.00680914959</v>
      </c>
      <c r="GE98" s="61">
        <f t="shared" si="210"/>
        <v>1479.9763226823934</v>
      </c>
      <c r="GF98" s="61">
        <f t="shared" si="336"/>
        <v>978.40729773174917</v>
      </c>
      <c r="GG98" s="61">
        <f t="shared" si="245"/>
        <v>948.01023972249914</v>
      </c>
      <c r="GH98" s="6">
        <f t="shared" si="337"/>
        <v>0.39798804775917168</v>
      </c>
      <c r="GI98">
        <f t="shared" si="300"/>
        <v>9248.6922093424037</v>
      </c>
      <c r="GJ98" s="26">
        <f t="shared" si="367"/>
        <v>0.10578871861942041</v>
      </c>
      <c r="GK98">
        <f t="shared" si="301"/>
        <v>3.526290620647347E-3</v>
      </c>
    </row>
    <row r="99" spans="1:193" x14ac:dyDescent="0.35">
      <c r="A99">
        <v>2036</v>
      </c>
      <c r="D99" s="82" t="e">
        <f>NA()</f>
        <v>#N/A</v>
      </c>
      <c r="J99" s="151">
        <f t="shared" si="404"/>
        <v>6.7433396200422865E-2</v>
      </c>
      <c r="O99" s="88">
        <v>2036</v>
      </c>
      <c r="P99" s="81">
        <f t="shared" si="412"/>
        <v>0.10741516534518507</v>
      </c>
      <c r="Q99" s="81">
        <f t="shared" si="412"/>
        <v>0.75930233821489568</v>
      </c>
      <c r="R99" s="81">
        <f t="shared" si="413"/>
        <v>0.13183604264117066</v>
      </c>
      <c r="S99" s="85">
        <f t="shared" si="413"/>
        <v>1.4464537987485602E-3</v>
      </c>
      <c r="T99" s="79">
        <f t="shared" si="353"/>
        <v>0</v>
      </c>
      <c r="U99" s="79">
        <f t="shared" si="339"/>
        <v>0</v>
      </c>
      <c r="V99" s="79">
        <f t="shared" si="340"/>
        <v>0</v>
      </c>
      <c r="W99" s="79">
        <f t="shared" si="341"/>
        <v>0</v>
      </c>
      <c r="AH99" s="61">
        <v>2036</v>
      </c>
      <c r="AI99" s="74">
        <f t="shared" si="401"/>
        <v>0.2</v>
      </c>
      <c r="AJ99" s="75">
        <f t="shared" si="343"/>
        <v>274827.5959009768</v>
      </c>
      <c r="AK99" s="75">
        <f t="shared" si="344"/>
        <v>1942715.4905908464</v>
      </c>
      <c r="AL99" s="75">
        <f t="shared" si="345"/>
        <v>337309.58466228138</v>
      </c>
      <c r="AM99" s="75">
        <f t="shared" si="346"/>
        <v>3700.8324961920034</v>
      </c>
      <c r="AN99" s="79">
        <f t="shared" si="347"/>
        <v>2558553.5036502965</v>
      </c>
      <c r="AO99" s="80">
        <f t="shared" si="354"/>
        <v>511710.7007300593</v>
      </c>
      <c r="AP99" s="80">
        <f t="shared" si="348"/>
        <v>2046842.8029202372</v>
      </c>
      <c r="AQ99" s="81">
        <f t="shared" si="355"/>
        <v>-0.19962127429742188</v>
      </c>
      <c r="AR99" s="81">
        <f t="shared" si="356"/>
        <v>0.27293199985684191</v>
      </c>
      <c r="AS99" s="81">
        <f t="shared" si="357"/>
        <v>-0.36569454050217348</v>
      </c>
      <c r="AT99" s="121">
        <f t="shared" si="349"/>
        <v>2.6378516138507848</v>
      </c>
      <c r="AU99" s="122">
        <f t="shared" si="358"/>
        <v>0.7959846428153432</v>
      </c>
      <c r="AV99" s="122"/>
      <c r="AW99" s="115">
        <f t="shared" si="287"/>
        <v>2558556.0397609062</v>
      </c>
      <c r="AX99" s="115"/>
      <c r="AY99" s="141" t="e">
        <f t="shared" si="315"/>
        <v>#N/A</v>
      </c>
      <c r="AZ99" s="141"/>
      <c r="BA99" s="140" t="e">
        <v>#N/A</v>
      </c>
      <c r="BB99" s="101">
        <v>2036</v>
      </c>
      <c r="BC99" s="72">
        <v>3.5750695088044487E-2</v>
      </c>
      <c r="BD99" s="72">
        <v>0.8358758109360519</v>
      </c>
      <c r="BE99" s="72">
        <v>0.11956904541241889</v>
      </c>
      <c r="BF99" s="72">
        <v>8.3410565338276187E-3</v>
      </c>
      <c r="BG99" s="72">
        <v>4.6339202965708991E-4</v>
      </c>
      <c r="BL99" s="120">
        <f t="shared" si="369"/>
        <v>2.5024884869999999</v>
      </c>
      <c r="BM99" s="125">
        <f t="shared" si="387"/>
        <v>0.97934707710000013</v>
      </c>
      <c r="BN99" s="72">
        <f t="shared" si="388"/>
        <v>-0.57392922950000003</v>
      </c>
      <c r="BO99" s="98">
        <f t="shared" si="370"/>
        <v>0.70534238386420578</v>
      </c>
      <c r="BP99" s="94"/>
      <c r="BR99" s="199"/>
      <c r="CA99" s="19">
        <v>2036</v>
      </c>
      <c r="CB99" s="91">
        <f t="shared" si="389"/>
        <v>0.13799999999999998</v>
      </c>
      <c r="CC99" s="97">
        <f t="shared" si="252"/>
        <v>99.299529623994445</v>
      </c>
      <c r="CD99" s="97">
        <f t="shared" si="271"/>
        <v>2209.985507103333</v>
      </c>
      <c r="CE99" s="97">
        <f t="shared" si="272"/>
        <v>432.0393503848133</v>
      </c>
      <c r="CF99" s="97">
        <f t="shared" si="273"/>
        <v>31.419522813746855</v>
      </c>
      <c r="CG99" s="97">
        <f t="shared" si="274"/>
        <v>1.5377563212781138</v>
      </c>
      <c r="CH99" s="92">
        <f t="shared" si="405"/>
        <v>2774.281666247166</v>
      </c>
      <c r="CI99" s="209">
        <f t="shared" si="406"/>
        <v>29.252695027318243</v>
      </c>
      <c r="CJ99" s="92">
        <f t="shared" si="372"/>
        <v>0</v>
      </c>
      <c r="CK99" s="92">
        <f t="shared" si="407"/>
        <v>382.85086994210883</v>
      </c>
      <c r="CL99" s="92">
        <f t="shared" si="408"/>
        <v>412.10356496942705</v>
      </c>
      <c r="CM99" s="72">
        <f t="shared" si="229"/>
        <v>1.2232298368205297E-2</v>
      </c>
      <c r="CN99" s="128">
        <f t="shared" si="411"/>
        <v>0.14854424119339293</v>
      </c>
      <c r="CO99" s="111">
        <f t="shared" si="409"/>
        <v>2362.1781012777387</v>
      </c>
      <c r="CP99" s="72">
        <f t="shared" si="232"/>
        <v>0.70534238386420578</v>
      </c>
      <c r="CQ99" s="96">
        <f t="shared" si="281"/>
        <v>3.1248886521595169</v>
      </c>
      <c r="CR99" s="92">
        <f t="shared" si="234"/>
        <v>3124.8886521595168</v>
      </c>
      <c r="CS99" s="120">
        <f t="shared" si="376"/>
        <v>-0.90461819600000004</v>
      </c>
      <c r="CT99" s="72">
        <f t="shared" si="391"/>
        <v>0.97934707710000013</v>
      </c>
      <c r="CU99" s="72">
        <f t="shared" si="392"/>
        <v>-0.57392922950000003</v>
      </c>
      <c r="CV99" s="104">
        <f t="shared" si="377"/>
        <v>2.1800422333136753</v>
      </c>
      <c r="CW99" s="105">
        <f t="shared" si="318"/>
        <v>-0.19962127429742188</v>
      </c>
      <c r="CX99" s="105">
        <f t="shared" si="319"/>
        <v>0.27293199985684191</v>
      </c>
      <c r="CY99" s="105">
        <f t="shared" si="320"/>
        <v>-0.36569454050217348</v>
      </c>
      <c r="CZ99" s="123">
        <f t="shared" si="350"/>
        <v>-0.68849257550252763</v>
      </c>
      <c r="DA99" s="81">
        <f t="shared" si="351"/>
        <v>1.2366113750272465</v>
      </c>
      <c r="DB99" s="9">
        <f t="shared" si="321"/>
        <v>2558556.0397609062</v>
      </c>
      <c r="DD99" s="1" t="e">
        <f t="shared" si="322"/>
        <v>#N/A</v>
      </c>
      <c r="DE99" s="126" t="e">
        <v>#N/A</v>
      </c>
      <c r="DF99" s="61">
        <v>2036</v>
      </c>
      <c r="DG99" s="26">
        <v>7.6142131979695434E-3</v>
      </c>
      <c r="DH99" s="26">
        <v>0.29512169725367693</v>
      </c>
      <c r="DI99" s="26">
        <v>0.6060236886632826</v>
      </c>
      <c r="DJ99" s="26">
        <v>8.8702329819081091E-2</v>
      </c>
      <c r="DK99" s="26">
        <v>2.5380710659898475E-3</v>
      </c>
      <c r="DO99" s="76" t="e">
        <f>NA()</f>
        <v>#N/A</v>
      </c>
      <c r="DP99" s="119">
        <f t="shared" si="359"/>
        <v>2.5024884869999999</v>
      </c>
      <c r="DQ99" s="109">
        <f t="shared" si="378"/>
        <v>1.1144526043</v>
      </c>
      <c r="DR99" s="109">
        <f t="shared" si="378"/>
        <v>-0.57392922950000003</v>
      </c>
      <c r="DS99" s="109">
        <f t="shared" si="378"/>
        <v>-0.15482546589999999</v>
      </c>
      <c r="DT99" s="113" cm="1">
        <f t="array" ref="DT99">IF(alphaV=1,$DN$11+SUMPRODUCT(DP$11:$DS$11*DP99:DS99),0)+IF(alphaV=2,$DY$104,0)+IF(alphaV=3,$DY$105,0)+IF(alphaV=4,$DY$106,0)+IF(alphaV=5,DY127,0)</f>
        <v>0.11617906224428368</v>
      </c>
      <c r="DU99" s="76" t="e">
        <f>NA()</f>
        <v>#N/A</v>
      </c>
      <c r="DV99" s="76" t="e">
        <f>NA()</f>
        <v>#N/A</v>
      </c>
      <c r="DW99" s="199"/>
      <c r="EE99" s="72">
        <f t="shared" si="189"/>
        <v>1.8766336221867335E-2</v>
      </c>
      <c r="EF99" s="19">
        <v>2036</v>
      </c>
      <c r="EG99">
        <f t="shared" si="361"/>
        <v>0.13799999999999998</v>
      </c>
      <c r="EH99" s="97">
        <f t="shared" si="220"/>
        <v>13.006400912358774</v>
      </c>
      <c r="EI99" s="97">
        <f t="shared" si="238"/>
        <v>503.77399041867619</v>
      </c>
      <c r="EJ99" s="97">
        <f t="shared" si="243"/>
        <v>1024.8946908137684</v>
      </c>
      <c r="EK99" s="97">
        <f t="shared" si="246"/>
        <v>145.81396255264019</v>
      </c>
      <c r="EL99" s="97">
        <f t="shared" si="248"/>
        <v>4.1230257947017446</v>
      </c>
      <c r="EM99" s="111">
        <f t="shared" si="196"/>
        <v>1691.6120704921454</v>
      </c>
      <c r="EN99" s="209">
        <f t="shared" si="410"/>
        <v>27.364501071512937</v>
      </c>
      <c r="EO99" s="4">
        <v>0</v>
      </c>
      <c r="EP99" s="92">
        <f t="shared" si="278"/>
        <v>233.44246572791604</v>
      </c>
      <c r="EQ99" s="92">
        <f t="shared" si="239"/>
        <v>260.80696679942901</v>
      </c>
      <c r="ER99" s="128">
        <f t="shared" si="362"/>
        <v>0.15417658182324964</v>
      </c>
      <c r="ES99" s="111">
        <f t="shared" si="363"/>
        <v>1430.8051036927163</v>
      </c>
      <c r="ET99" s="72">
        <f t="shared" si="364"/>
        <v>0.11617906224428368</v>
      </c>
      <c r="EU99" s="96">
        <f>IF(SSLcontrol=0,$ES99/1000*EXP($ET99+$DO$11*$ES99/1000),$ES99/1000*EXP($FA99+$DO$11*$ES99/1000))</f>
        <v>1.6807332854635282</v>
      </c>
      <c r="EV99" s="92">
        <f t="shared" si="205"/>
        <v>1680.7332854635281</v>
      </c>
      <c r="EW99" s="120">
        <f t="shared" si="365"/>
        <v>-0.87704872899999997</v>
      </c>
      <c r="EX99" s="127">
        <f t="shared" si="380"/>
        <v>1.1144526043</v>
      </c>
      <c r="EY99" s="9">
        <f t="shared" si="185"/>
        <v>-0.57392922950000003</v>
      </c>
      <c r="EZ99" s="9">
        <f t="shared" si="186"/>
        <v>-0.15482546589999999</v>
      </c>
      <c r="FA99" s="113" cm="1">
        <f t="array" ref="FA99">IF(alphaV=1,$DN$11+SUMPRODUCT($DP$11:$DS$11*EW99:EZ99),0)+IF(alphaV=2,$ES$115,0)+IF(alphaV=3,$ES$116,0)+IF(alphaV=4,$ES$117,0)+IF(alphaV=5,ES138,0)</f>
        <v>1.6239447871927648</v>
      </c>
      <c r="FB99" s="56">
        <v>2036</v>
      </c>
      <c r="FC99" s="116">
        <f t="shared" si="325"/>
        <v>2046842.8029202372</v>
      </c>
      <c r="FD99" s="116">
        <f t="shared" si="290"/>
        <v>2965929.9166543572</v>
      </c>
      <c r="FE99" s="116">
        <f t="shared" si="396"/>
        <v>2965926.721513324</v>
      </c>
      <c r="FF99" s="116">
        <f t="shared" si="291"/>
        <v>2567162.1207770961</v>
      </c>
      <c r="FG99" s="5">
        <f t="shared" si="292"/>
        <v>398767.79587726109</v>
      </c>
      <c r="FH99" s="5">
        <f t="shared" si="393"/>
        <v>398767.36629214557</v>
      </c>
      <c r="FI99" s="117">
        <f t="shared" si="293"/>
        <v>0.13444950052194121</v>
      </c>
      <c r="FJ99" s="117">
        <f t="shared" si="326"/>
        <v>13.444950052194121</v>
      </c>
      <c r="FK99" s="61">
        <f t="shared" si="294"/>
        <v>7775.0525071201791</v>
      </c>
      <c r="FL99" s="61">
        <f t="shared" si="327"/>
        <v>381.46750956835859</v>
      </c>
      <c r="FM99" s="92">
        <f t="shared" si="328"/>
        <v>51.288116126814643</v>
      </c>
      <c r="FN99" s="72">
        <f t="shared" si="329"/>
        <v>0.13444950052194121</v>
      </c>
      <c r="FO99" s="92"/>
      <c r="FP99" s="92">
        <f t="shared" si="397"/>
        <v>51.288094444898285</v>
      </c>
      <c r="FQ99" s="1">
        <f t="shared" si="366"/>
        <v>0</v>
      </c>
      <c r="FS99">
        <f t="shared" si="296"/>
        <v>2036</v>
      </c>
      <c r="FT99" s="5">
        <f t="shared" si="241"/>
        <v>2362.1781012777387</v>
      </c>
      <c r="FU99" s="214">
        <f t="shared" si="297"/>
        <v>4829.3612855598767</v>
      </c>
      <c r="FV99" s="213">
        <f t="shared" si="331"/>
        <v>2783.1477355996813</v>
      </c>
      <c r="FW99" s="5">
        <f t="shared" si="332"/>
        <v>2046.2135499601955</v>
      </c>
      <c r="FX99" s="1">
        <f t="shared" si="333"/>
        <v>0.42370272774549195</v>
      </c>
      <c r="FY99">
        <f t="shared" si="298"/>
        <v>59954.093743432561</v>
      </c>
      <c r="FZ99" s="26">
        <f t="shared" si="334"/>
        <v>3.4129671923934971E-2</v>
      </c>
      <c r="GA99" s="106">
        <f t="shared" si="299"/>
        <v>1.1376557307978324E-3</v>
      </c>
      <c r="GB99" s="61">
        <f t="shared" si="335"/>
        <v>1430.8051036927163</v>
      </c>
      <c r="GC99" s="61">
        <f t="shared" si="207"/>
        <v>2435.4415682637605</v>
      </c>
      <c r="GD99" s="61">
        <f t="shared" si="247"/>
        <v>2450.5781462627001</v>
      </c>
      <c r="GE99" s="61">
        <f t="shared" si="210"/>
        <v>1466.1649330789305</v>
      </c>
      <c r="GF99" s="61">
        <f t="shared" si="336"/>
        <v>969.27663518482996</v>
      </c>
      <c r="GG99" s="61">
        <f t="shared" si="245"/>
        <v>975.30081231238205</v>
      </c>
      <c r="GH99" s="6">
        <f t="shared" si="337"/>
        <v>0.3979880477591719</v>
      </c>
      <c r="GI99">
        <f t="shared" si="300"/>
        <v>9248.6922093424037</v>
      </c>
      <c r="GJ99" s="26">
        <f t="shared" si="367"/>
        <v>0.10480148038721974</v>
      </c>
      <c r="GK99">
        <f t="shared" si="301"/>
        <v>3.4933826795739914E-3</v>
      </c>
    </row>
    <row r="100" spans="1:193" x14ac:dyDescent="0.35">
      <c r="A100">
        <v>2037</v>
      </c>
      <c r="D100" s="82" t="e">
        <f>NA()</f>
        <v>#N/A</v>
      </c>
      <c r="J100" s="151">
        <f t="shared" si="404"/>
        <v>6.7433396200422865E-2</v>
      </c>
      <c r="O100" s="88">
        <v>2037</v>
      </c>
      <c r="P100" s="81">
        <f t="shared" si="412"/>
        <v>0.10741516534518507</v>
      </c>
      <c r="Q100" s="81">
        <f t="shared" si="412"/>
        <v>0.75930233821489568</v>
      </c>
      <c r="R100" s="81">
        <f t="shared" si="413"/>
        <v>0.13183604264117066</v>
      </c>
      <c r="S100" s="85">
        <f t="shared" si="413"/>
        <v>1.4464537987485602E-3</v>
      </c>
      <c r="T100" s="79">
        <f t="shared" si="353"/>
        <v>0</v>
      </c>
      <c r="U100" s="79">
        <f t="shared" si="339"/>
        <v>0</v>
      </c>
      <c r="V100" s="79">
        <f t="shared" si="340"/>
        <v>0</v>
      </c>
      <c r="W100" s="79">
        <f t="shared" si="341"/>
        <v>0</v>
      </c>
      <c r="AH100" s="61">
        <v>2037</v>
      </c>
      <c r="AI100" s="74">
        <f t="shared" si="401"/>
        <v>0.2</v>
      </c>
      <c r="AJ100" s="75">
        <f t="shared" si="343"/>
        <v>274827.70333376463</v>
      </c>
      <c r="AK100" s="75">
        <f t="shared" si="344"/>
        <v>1942716.7058114503</v>
      </c>
      <c r="AL100" s="75">
        <f t="shared" si="345"/>
        <v>337309.53978007007</v>
      </c>
      <c r="AM100" s="75">
        <f t="shared" si="346"/>
        <v>3700.829608614863</v>
      </c>
      <c r="AN100" s="79">
        <f t="shared" si="347"/>
        <v>2558554.7785339002</v>
      </c>
      <c r="AO100" s="80">
        <f t="shared" si="354"/>
        <v>511710.95570678008</v>
      </c>
      <c r="AP100" s="80">
        <f t="shared" si="348"/>
        <v>2046843.8228271201</v>
      </c>
      <c r="AQ100" s="81">
        <f t="shared" si="355"/>
        <v>-0.19962127429742188</v>
      </c>
      <c r="AR100" s="81">
        <f t="shared" si="356"/>
        <v>0.27293199985684191</v>
      </c>
      <c r="AS100" s="81">
        <f t="shared" si="357"/>
        <v>-0.36569454050217348</v>
      </c>
      <c r="AT100" s="121">
        <f t="shared" si="349"/>
        <v>2.6378516138507848</v>
      </c>
      <c r="AU100" s="122">
        <f t="shared" si="358"/>
        <v>0.7959846428153432</v>
      </c>
      <c r="AV100" s="122"/>
      <c r="AW100" s="115">
        <f t="shared" si="287"/>
        <v>2558556.0225919276</v>
      </c>
      <c r="AX100" s="115"/>
      <c r="AY100" s="141" t="e">
        <f t="shared" si="315"/>
        <v>#N/A</v>
      </c>
      <c r="AZ100" s="141"/>
      <c r="BA100" s="140" t="e">
        <v>#N/A</v>
      </c>
      <c r="BB100" s="101">
        <v>2037</v>
      </c>
      <c r="BC100" s="72">
        <v>3.5750695088044487E-2</v>
      </c>
      <c r="BD100" s="72">
        <v>0.8358758109360519</v>
      </c>
      <c r="BE100" s="72">
        <v>0.11956904541241889</v>
      </c>
      <c r="BF100" s="72">
        <v>8.3410565338276187E-3</v>
      </c>
      <c r="BG100" s="72">
        <v>4.6339202965708991E-4</v>
      </c>
      <c r="BL100" s="120">
        <f t="shared" si="369"/>
        <v>2.5024884869999999</v>
      </c>
      <c r="BM100" s="125">
        <f t="shared" si="387"/>
        <v>0.97934707710000013</v>
      </c>
      <c r="BN100" s="72">
        <f t="shared" si="388"/>
        <v>-0.57392922950000003</v>
      </c>
      <c r="BO100" s="98">
        <f t="shared" si="370"/>
        <v>0.70534238386420578</v>
      </c>
      <c r="BP100" s="94"/>
      <c r="BR100" s="199"/>
      <c r="CA100" s="19">
        <v>2037</v>
      </c>
      <c r="CB100" s="91">
        <f t="shared" si="389"/>
        <v>0.13799999999999998</v>
      </c>
      <c r="CC100" s="97">
        <f t="shared" si="252"/>
        <v>92.507009122804746</v>
      </c>
      <c r="CD100" s="97">
        <f t="shared" si="271"/>
        <v>2321.6912187472931</v>
      </c>
      <c r="CE100" s="97">
        <f t="shared" si="272"/>
        <v>316.13052322175878</v>
      </c>
      <c r="CF100" s="97">
        <f t="shared" si="273"/>
        <v>30.138775750597379</v>
      </c>
      <c r="CG100" s="97">
        <f t="shared" si="274"/>
        <v>1.7455290452081584</v>
      </c>
      <c r="CH100" s="92">
        <f t="shared" si="405"/>
        <v>2762.213055887662</v>
      </c>
      <c r="CI100" s="209">
        <f t="shared" si="406"/>
        <v>29.12544068881855</v>
      </c>
      <c r="CJ100" s="92">
        <f t="shared" si="372"/>
        <v>0</v>
      </c>
      <c r="CK100" s="92">
        <f t="shared" si="407"/>
        <v>381.18540171249731</v>
      </c>
      <c r="CL100" s="92">
        <f t="shared" si="408"/>
        <v>410.31084240131588</v>
      </c>
      <c r="CM100" s="72">
        <f t="shared" si="229"/>
        <v>1.2232298368205297E-2</v>
      </c>
      <c r="CN100" s="128">
        <f t="shared" si="411"/>
        <v>0.14854424119339296</v>
      </c>
      <c r="CO100" s="111">
        <f t="shared" si="409"/>
        <v>2351.9022134863462</v>
      </c>
      <c r="CP100" s="72">
        <f t="shared" si="232"/>
        <v>0.70534238386420578</v>
      </c>
      <c r="CQ100" s="96">
        <f t="shared" si="281"/>
        <v>3.1371204016330636</v>
      </c>
      <c r="CR100" s="92">
        <f t="shared" si="234"/>
        <v>3137.1204016330635</v>
      </c>
      <c r="CS100" s="120">
        <f t="shared" si="376"/>
        <v>-0.90461819600000004</v>
      </c>
      <c r="CT100" s="72">
        <f t="shared" si="391"/>
        <v>0.97934707710000013</v>
      </c>
      <c r="CU100" s="72">
        <f t="shared" si="392"/>
        <v>-0.57392922950000003</v>
      </c>
      <c r="CV100" s="104">
        <f t="shared" si="377"/>
        <v>2.1800422333136753</v>
      </c>
      <c r="CW100" s="105">
        <f t="shared" si="318"/>
        <v>-0.19962127429742188</v>
      </c>
      <c r="CX100" s="105">
        <f t="shared" si="319"/>
        <v>0.27293199985684191</v>
      </c>
      <c r="CY100" s="105">
        <f t="shared" si="320"/>
        <v>-0.36569454050217348</v>
      </c>
      <c r="CZ100" s="123">
        <f t="shared" si="350"/>
        <v>-0.68849257550252763</v>
      </c>
      <c r="DA100" s="81">
        <f t="shared" si="351"/>
        <v>1.2366113750272465</v>
      </c>
      <c r="DB100" s="9">
        <f t="shared" si="321"/>
        <v>2558556.0225919276</v>
      </c>
      <c r="DD100" s="1" t="e">
        <f t="shared" si="322"/>
        <v>#N/A</v>
      </c>
      <c r="DE100" s="126" t="e">
        <v>#N/A</v>
      </c>
      <c r="DF100" s="61">
        <v>2037</v>
      </c>
      <c r="DG100" s="26">
        <v>7.6142131979695434E-3</v>
      </c>
      <c r="DH100" s="26">
        <v>0.29512169725367693</v>
      </c>
      <c r="DI100" s="26">
        <v>0.6060236886632826</v>
      </c>
      <c r="DJ100" s="26">
        <v>8.8702329819081091E-2</v>
      </c>
      <c r="DK100" s="26">
        <v>2.5380710659898475E-3</v>
      </c>
      <c r="DO100" s="76" t="e">
        <f>NA()</f>
        <v>#N/A</v>
      </c>
      <c r="DP100" s="119">
        <f t="shared" si="359"/>
        <v>2.5024884869999999</v>
      </c>
      <c r="DQ100" s="109">
        <f t="shared" si="378"/>
        <v>1.1144526043</v>
      </c>
      <c r="DR100" s="109">
        <f t="shared" si="378"/>
        <v>-0.57392922950000003</v>
      </c>
      <c r="DS100" s="109">
        <f t="shared" si="378"/>
        <v>-0.15482546589999999</v>
      </c>
      <c r="DT100" s="113" cm="1">
        <f t="array" ref="DT100">IF(alphaV=1,$DN$11+SUMPRODUCT(DP$11:$DS$11*DP100:DS100),0)+IF(alphaV=2,$DY$104,0)+IF(alphaV=3,$DY$105,0)+IF(alphaV=4,$DY$106,0)+IF(alphaV=5,DY128,0)</f>
        <v>0.11617906224428368</v>
      </c>
      <c r="DU100" s="76" t="e">
        <f>NA()</f>
        <v>#N/A</v>
      </c>
      <c r="DV100" s="76" t="e">
        <f>NA()</f>
        <v>#N/A</v>
      </c>
      <c r="DW100" s="199"/>
      <c r="EE100" s="72">
        <f t="shared" si="189"/>
        <v>1.8766336221867335E-2</v>
      </c>
      <c r="EF100" s="19">
        <v>2037</v>
      </c>
      <c r="EG100">
        <f t="shared" si="361"/>
        <v>0.13799999999999998</v>
      </c>
      <c r="EH100" s="97">
        <f t="shared" si="220"/>
        <v>13.00557612691736</v>
      </c>
      <c r="EI100" s="97">
        <f t="shared" si="238"/>
        <v>504.11920609744493</v>
      </c>
      <c r="EJ100" s="97">
        <f t="shared" si="243"/>
        <v>1034.4850099710641</v>
      </c>
      <c r="EK100" s="97">
        <f t="shared" si="246"/>
        <v>150.01154013453015</v>
      </c>
      <c r="EL100" s="97">
        <f t="shared" si="248"/>
        <v>4.172226367977232</v>
      </c>
      <c r="EM100" s="111">
        <f t="shared" si="196"/>
        <v>1705.7935586979338</v>
      </c>
      <c r="EN100" s="209">
        <f t="shared" si="410"/>
        <v>27.593909075849318</v>
      </c>
      <c r="EO100" s="4">
        <v>0</v>
      </c>
      <c r="EP100" s="92">
        <f t="shared" si="278"/>
        <v>235.39951110031484</v>
      </c>
      <c r="EQ100" s="92">
        <f t="shared" si="239"/>
        <v>262.99342017616414</v>
      </c>
      <c r="ER100" s="128">
        <f t="shared" si="362"/>
        <v>0.15417658182324961</v>
      </c>
      <c r="ES100" s="111">
        <f t="shared" si="363"/>
        <v>1442.8001385217697</v>
      </c>
      <c r="ET100" s="72">
        <f t="shared" si="364"/>
        <v>0.11617906224428368</v>
      </c>
      <c r="EU100" s="96">
        <f t="shared" si="280"/>
        <v>1.6741642966878669</v>
      </c>
      <c r="EV100" s="92">
        <f t="shared" si="205"/>
        <v>1674.1642966878669</v>
      </c>
      <c r="EW100" s="120">
        <f t="shared" si="365"/>
        <v>-0.87704872899999997</v>
      </c>
      <c r="EX100" s="127">
        <f t="shared" si="380"/>
        <v>1.1144526043</v>
      </c>
      <c r="EY100" s="9">
        <f t="shared" si="380"/>
        <v>-0.57392922950000003</v>
      </c>
      <c r="EZ100" s="9">
        <f t="shared" si="380"/>
        <v>-0.15482546589999999</v>
      </c>
      <c r="FA100" s="113" cm="1">
        <f t="array" ref="FA100">IF(alphaV=1,$DN$11+SUMPRODUCT($DP$11:$DS$11*EW100:EZ100),0)+IF(alphaV=2,$ES$115,0)+IF(alphaV=3,$ES$116,0)+IF(alphaV=4,$ES$117,0)+IF(alphaV=5,ES139,0)</f>
        <v>1.6239447871927648</v>
      </c>
      <c r="FB100" s="56">
        <v>2037</v>
      </c>
      <c r="FC100" s="116">
        <f t="shared" si="325"/>
        <v>2046843.8228271201</v>
      </c>
      <c r="FD100" s="116">
        <f t="shared" si="290"/>
        <v>2965929.8967517298</v>
      </c>
      <c r="FE100" s="116">
        <f t="shared" si="396"/>
        <v>2965928.5767799742</v>
      </c>
      <c r="FF100" s="116">
        <f t="shared" si="291"/>
        <v>2567162.1035503675</v>
      </c>
      <c r="FG100" s="5">
        <f t="shared" si="292"/>
        <v>398767.79320136225</v>
      </c>
      <c r="FH100" s="5">
        <f t="shared" si="393"/>
        <v>398767.61573181953</v>
      </c>
      <c r="FI100" s="117">
        <f t="shared" si="293"/>
        <v>0.13444950052194105</v>
      </c>
      <c r="FJ100" s="117">
        <f t="shared" si="326"/>
        <v>13.444950052194105</v>
      </c>
      <c r="FK100" s="61">
        <f t="shared" si="294"/>
        <v>7775.0525071201791</v>
      </c>
      <c r="FL100" s="61">
        <f t="shared" si="327"/>
        <v>381.46750700855239</v>
      </c>
      <c r="FM100" s="92">
        <f t="shared" si="328"/>
        <v>51.288115782649918</v>
      </c>
      <c r="FN100" s="72">
        <f t="shared" si="329"/>
        <v>0.13444950052194105</v>
      </c>
      <c r="FO100" s="92"/>
      <c r="FP100" s="92">
        <f t="shared" si="397"/>
        <v>51.288102458766197</v>
      </c>
      <c r="FQ100" s="1">
        <f t="shared" si="366"/>
        <v>0</v>
      </c>
      <c r="FS100">
        <f t="shared" si="296"/>
        <v>2037</v>
      </c>
      <c r="FT100" s="5">
        <f t="shared" si="241"/>
        <v>2351.9022134863462</v>
      </c>
      <c r="FU100" s="214">
        <f t="shared" si="297"/>
        <v>4848.2648510745685</v>
      </c>
      <c r="FV100" s="213">
        <f t="shared" si="331"/>
        <v>2794.0418088416823</v>
      </c>
      <c r="FW100" s="5">
        <f t="shared" si="332"/>
        <v>2054.2230422328862</v>
      </c>
      <c r="FX100" s="1">
        <f t="shared" si="333"/>
        <v>0.423702727745492</v>
      </c>
      <c r="FY100">
        <f t="shared" si="298"/>
        <v>59954.093743432561</v>
      </c>
      <c r="FZ100" s="26">
        <f t="shared" si="334"/>
        <v>3.4263265674963322E-2</v>
      </c>
      <c r="GA100" s="106">
        <f t="shared" si="299"/>
        <v>1.1421088558321107E-3</v>
      </c>
      <c r="GB100" s="61">
        <f t="shared" si="335"/>
        <v>1442.8001385217697</v>
      </c>
      <c r="GC100" s="61">
        <f t="shared" si="207"/>
        <v>2425.9228727847853</v>
      </c>
      <c r="GD100" s="61">
        <f t="shared" si="247"/>
        <v>2473.5091134666504</v>
      </c>
      <c r="GE100" s="61">
        <f t="shared" si="210"/>
        <v>1460.4345646308473</v>
      </c>
      <c r="GF100" s="61">
        <f t="shared" si="336"/>
        <v>965.48830815393808</v>
      </c>
      <c r="GG100" s="61">
        <f t="shared" si="245"/>
        <v>984.42706318311184</v>
      </c>
      <c r="GH100" s="6">
        <f t="shared" si="337"/>
        <v>0.39798804775917168</v>
      </c>
      <c r="GI100">
        <f t="shared" si="300"/>
        <v>9248.6922093424037</v>
      </c>
      <c r="GJ100" s="26">
        <f t="shared" si="367"/>
        <v>0.10439187360767256</v>
      </c>
      <c r="GK100">
        <f t="shared" si="301"/>
        <v>3.479729120255752E-3</v>
      </c>
    </row>
    <row r="101" spans="1:193" x14ac:dyDescent="0.35">
      <c r="A101">
        <v>2038</v>
      </c>
      <c r="D101" s="82" t="e">
        <f>NA()</f>
        <v>#N/A</v>
      </c>
      <c r="J101" s="151">
        <f t="shared" si="404"/>
        <v>6.7433396200422865E-2</v>
      </c>
      <c r="O101" s="88">
        <v>2038</v>
      </c>
      <c r="P101" s="81">
        <f t="shared" si="412"/>
        <v>0.10741516534518507</v>
      </c>
      <c r="Q101" s="81">
        <f t="shared" si="412"/>
        <v>0.75930233821489568</v>
      </c>
      <c r="R101" s="81">
        <f t="shared" si="413"/>
        <v>0.13183604264117066</v>
      </c>
      <c r="S101" s="85">
        <f t="shared" si="413"/>
        <v>1.4464537987485602E-3</v>
      </c>
      <c r="T101" s="79">
        <f t="shared" si="353"/>
        <v>0</v>
      </c>
      <c r="U101" s="79">
        <f t="shared" si="339"/>
        <v>0</v>
      </c>
      <c r="V101" s="79">
        <f t="shared" si="340"/>
        <v>0</v>
      </c>
      <c r="W101" s="79">
        <f t="shared" si="341"/>
        <v>0</v>
      </c>
      <c r="AH101" s="61">
        <v>2038</v>
      </c>
      <c r="AI101" s="74">
        <f t="shared" si="401"/>
        <v>0.2</v>
      </c>
      <c r="AJ101" s="75">
        <f t="shared" si="343"/>
        <v>274827.71940178273</v>
      </c>
      <c r="AK101" s="75">
        <f t="shared" si="344"/>
        <v>1942717.4652383591</v>
      </c>
      <c r="AL101" s="75">
        <f t="shared" si="345"/>
        <v>337309.7507762271</v>
      </c>
      <c r="AM101" s="75">
        <f t="shared" si="346"/>
        <v>3700.8291161846919</v>
      </c>
      <c r="AN101" s="79">
        <f t="shared" si="347"/>
        <v>2558555.7645325535</v>
      </c>
      <c r="AO101" s="80">
        <f t="shared" si="354"/>
        <v>511711.15290651075</v>
      </c>
      <c r="AP101" s="80">
        <f t="shared" si="348"/>
        <v>2046844.6116260428</v>
      </c>
      <c r="AQ101" s="81">
        <f t="shared" si="355"/>
        <v>-0.19962127429742188</v>
      </c>
      <c r="AR101" s="81">
        <f t="shared" si="356"/>
        <v>0.27293199985684191</v>
      </c>
      <c r="AS101" s="81">
        <f t="shared" si="357"/>
        <v>-0.36569454050217348</v>
      </c>
      <c r="AT101" s="121">
        <f t="shared" si="349"/>
        <v>2.6378516138507848</v>
      </c>
      <c r="AU101" s="122">
        <f t="shared" si="358"/>
        <v>0.7959846428153432</v>
      </c>
      <c r="AV101" s="122"/>
      <c r="AW101" s="115">
        <f t="shared" si="287"/>
        <v>2558556.0093129547</v>
      </c>
      <c r="AX101" s="115"/>
      <c r="AY101" s="141" t="e">
        <f t="shared" si="315"/>
        <v>#N/A</v>
      </c>
      <c r="AZ101" s="141"/>
      <c r="BA101" s="140" t="e">
        <v>#N/A</v>
      </c>
      <c r="BB101" s="101">
        <v>2038</v>
      </c>
      <c r="BC101" s="72">
        <v>3.5750695088044487E-2</v>
      </c>
      <c r="BD101" s="72">
        <v>0.8358758109360519</v>
      </c>
      <c r="BE101" s="72">
        <v>0.11956904541241889</v>
      </c>
      <c r="BF101" s="72">
        <v>8.3410565338276187E-3</v>
      </c>
      <c r="BG101" s="72">
        <v>4.6339202965708991E-4</v>
      </c>
      <c r="BL101" s="120">
        <f t="shared" si="369"/>
        <v>2.5024884869999999</v>
      </c>
      <c r="BM101" s="125">
        <f t="shared" si="387"/>
        <v>0.97934707710000013</v>
      </c>
      <c r="BN101" s="72">
        <f t="shared" si="388"/>
        <v>-0.57392922950000003</v>
      </c>
      <c r="BO101" s="98">
        <f t="shared" si="370"/>
        <v>0.70534238386420578</v>
      </c>
      <c r="BP101" s="94"/>
      <c r="BR101" s="199"/>
      <c r="CA101" s="19">
        <v>2038</v>
      </c>
      <c r="CB101" s="91">
        <f t="shared" si="389"/>
        <v>0.13799999999999998</v>
      </c>
      <c r="CC101" s="97">
        <f t="shared" si="252"/>
        <v>78.972089030434532</v>
      </c>
      <c r="CD101" s="97">
        <f t="shared" si="271"/>
        <v>2162.8774231483817</v>
      </c>
      <c r="CE101" s="97">
        <f t="shared" si="272"/>
        <v>332.10962577938153</v>
      </c>
      <c r="CF101" s="97">
        <f t="shared" si="273"/>
        <v>22.053053590635425</v>
      </c>
      <c r="CG101" s="97">
        <f t="shared" si="274"/>
        <v>1.6743764305887432</v>
      </c>
      <c r="CH101" s="92">
        <f t="shared" si="405"/>
        <v>2597.6865679794223</v>
      </c>
      <c r="CI101" s="209">
        <f t="shared" si="406"/>
        <v>27.390633717612221</v>
      </c>
      <c r="CJ101" s="92">
        <f t="shared" si="372"/>
        <v>0</v>
      </c>
      <c r="CK101" s="92">
        <f t="shared" si="407"/>
        <v>358.48074638116026</v>
      </c>
      <c r="CL101" s="92">
        <f t="shared" si="408"/>
        <v>385.87138009877248</v>
      </c>
      <c r="CM101" s="72">
        <f t="shared" si="229"/>
        <v>1.2232298368205297E-2</v>
      </c>
      <c r="CN101" s="128">
        <f t="shared" si="411"/>
        <v>0.14854424119339296</v>
      </c>
      <c r="CO101" s="111">
        <f t="shared" si="409"/>
        <v>2211.8151878806498</v>
      </c>
      <c r="CP101" s="72">
        <f t="shared" si="232"/>
        <v>0.70534238386420578</v>
      </c>
      <c r="CQ101" s="96">
        <f t="shared" si="281"/>
        <v>3.3021898010019934</v>
      </c>
      <c r="CR101" s="92">
        <f t="shared" si="234"/>
        <v>3302.1898010019936</v>
      </c>
      <c r="CS101" s="120">
        <f t="shared" si="376"/>
        <v>-0.90461819600000004</v>
      </c>
      <c r="CT101" s="72">
        <f t="shared" si="391"/>
        <v>0.97934707710000013</v>
      </c>
      <c r="CU101" s="72">
        <f t="shared" si="392"/>
        <v>-0.57392922950000003</v>
      </c>
      <c r="CV101" s="104">
        <f t="shared" si="377"/>
        <v>2.1800422333136753</v>
      </c>
      <c r="CW101" s="105">
        <f t="shared" si="318"/>
        <v>-0.19962127429742188</v>
      </c>
      <c r="CX101" s="105">
        <f t="shared" si="319"/>
        <v>0.27293199985684191</v>
      </c>
      <c r="CY101" s="105">
        <f t="shared" si="320"/>
        <v>-0.36569454050217348</v>
      </c>
      <c r="CZ101" s="123">
        <f t="shared" si="350"/>
        <v>-0.68849257550252763</v>
      </c>
      <c r="DA101" s="81">
        <f t="shared" si="351"/>
        <v>1.2366113750272465</v>
      </c>
      <c r="DB101" s="9">
        <f t="shared" si="321"/>
        <v>2558556.0093129547</v>
      </c>
      <c r="DD101" s="1" t="e">
        <f t="shared" si="322"/>
        <v>#N/A</v>
      </c>
      <c r="DE101" s="126" t="e">
        <v>#N/A</v>
      </c>
      <c r="DF101" s="61">
        <v>2038</v>
      </c>
      <c r="DG101" s="26">
        <v>7.6142131979695434E-3</v>
      </c>
      <c r="DH101" s="26">
        <v>0.29512169725367693</v>
      </c>
      <c r="DI101" s="26">
        <v>0.6060236886632826</v>
      </c>
      <c r="DJ101" s="26">
        <v>8.8702329819081091E-2</v>
      </c>
      <c r="DK101" s="26">
        <v>2.5380710659898475E-3</v>
      </c>
      <c r="DO101" s="76" t="e">
        <f>NA()</f>
        <v>#N/A</v>
      </c>
      <c r="DP101" s="119">
        <f t="shared" si="359"/>
        <v>2.5024884869999999</v>
      </c>
      <c r="DQ101" s="109">
        <f t="shared" si="378"/>
        <v>1.1144526043</v>
      </c>
      <c r="DR101" s="109">
        <f t="shared" si="378"/>
        <v>-0.57392922950000003</v>
      </c>
      <c r="DS101" s="109">
        <f t="shared" si="378"/>
        <v>-0.15482546589999999</v>
      </c>
      <c r="DT101" s="113" cm="1">
        <f t="array" ref="DT101">IF(alphaV=1,$DN$11+SUMPRODUCT(DP$11:$DS$11*DP101:DS101),0)+IF(alphaV=2,$DY$104,0)+IF(alphaV=3,$DY$105,0)+IF(alphaV=4,$DY$106,0)+IF(alphaV=5,DY129,0)</f>
        <v>0.11617906224428368</v>
      </c>
      <c r="DU101" s="76" t="e">
        <f>NA()</f>
        <v>#N/A</v>
      </c>
      <c r="DV101" s="76" t="e">
        <f>NA()</f>
        <v>#N/A</v>
      </c>
      <c r="DW101" s="199"/>
      <c r="EE101" s="72">
        <f t="shared" ref="EE101:EE113" si="414" xml:space="preserve"> EN101/(EM101-EP101)</f>
        <v>1.8766336221867335E-2</v>
      </c>
      <c r="EF101" s="19">
        <v>2038</v>
      </c>
      <c r="EG101">
        <f t="shared" si="361"/>
        <v>0.13799999999999998</v>
      </c>
      <c r="EH101" s="97">
        <f t="shared" si="220"/>
        <v>13.001408746804472</v>
      </c>
      <c r="EI101" s="97">
        <f t="shared" si="238"/>
        <v>504.08723797769159</v>
      </c>
      <c r="EJ101" s="97">
        <f t="shared" si="243"/>
        <v>1035.1939001712042</v>
      </c>
      <c r="EK101" s="97">
        <f t="shared" si="246"/>
        <v>151.41525366730815</v>
      </c>
      <c r="EL101" s="97">
        <f t="shared" si="248"/>
        <v>4.2923331366446629</v>
      </c>
      <c r="EM101" s="111">
        <f t="shared" ref="EM101:EM103" si="415">SUM(EH101:EL101)</f>
        <v>1707.9901336996531</v>
      </c>
      <c r="EN101" s="209">
        <f t="shared" si="410"/>
        <v>27.629442151095539</v>
      </c>
      <c r="EO101" s="4">
        <v>0</v>
      </c>
      <c r="EP101" s="92">
        <f t="shared" si="278"/>
        <v>235.70263845055212</v>
      </c>
      <c r="EQ101" s="92">
        <f t="shared" si="239"/>
        <v>263.33208060164765</v>
      </c>
      <c r="ER101" s="128">
        <f t="shared" si="362"/>
        <v>0.15417658182324964</v>
      </c>
      <c r="ES101" s="111">
        <f t="shared" si="363"/>
        <v>1444.6580530980054</v>
      </c>
      <c r="ET101" s="72">
        <f t="shared" si="364"/>
        <v>0.11617906224428368</v>
      </c>
      <c r="EU101" s="96">
        <f t="shared" si="280"/>
        <v>1.6731387308281056</v>
      </c>
      <c r="EV101" s="92">
        <f t="shared" ref="EV101:EV103" si="416">EU101*1000</f>
        <v>1673.1387308281055</v>
      </c>
      <c r="EW101" s="120">
        <f t="shared" si="365"/>
        <v>-0.87704872899999997</v>
      </c>
      <c r="EX101" s="127">
        <f t="shared" si="380"/>
        <v>1.1144526043</v>
      </c>
      <c r="EY101" s="9">
        <f t="shared" si="380"/>
        <v>-0.57392922950000003</v>
      </c>
      <c r="EZ101" s="9">
        <f t="shared" si="380"/>
        <v>-0.15482546589999999</v>
      </c>
      <c r="FA101" s="113" cm="1">
        <f t="array" ref="FA101">IF(alphaV=1,$DN$11+SUMPRODUCT($DP$11:$DS$11*EW101:EZ101),0)+IF(alphaV=2,$ES$115,0)+IF(alphaV=3,$ES$116,0)+IF(alphaV=4,$ES$117,0)+IF(alphaV=5,ES140,0)</f>
        <v>1.6239447871927648</v>
      </c>
      <c r="FB101" s="56">
        <v>2038</v>
      </c>
      <c r="FC101" s="116">
        <f t="shared" si="325"/>
        <v>2046844.6116260428</v>
      </c>
      <c r="FD101" s="116">
        <f t="shared" si="290"/>
        <v>2965929.8813584764</v>
      </c>
      <c r="FE101" s="116">
        <f t="shared" si="396"/>
        <v>2965929.7361903838</v>
      </c>
      <c r="FF101" s="116">
        <f t="shared" si="291"/>
        <v>2567162.0902267289</v>
      </c>
      <c r="FG101" s="5">
        <f t="shared" si="292"/>
        <v>398767.79113174742</v>
      </c>
      <c r="FH101" s="5">
        <f t="shared" si="393"/>
        <v>398767.77161396993</v>
      </c>
      <c r="FI101" s="117">
        <f t="shared" si="293"/>
        <v>0.13444950052194118</v>
      </c>
      <c r="FJ101" s="117">
        <f t="shared" si="326"/>
        <v>13.444950052194118</v>
      </c>
      <c r="FK101" s="61">
        <f t="shared" si="294"/>
        <v>7775.0525071201791</v>
      </c>
      <c r="FL101" s="61">
        <f t="shared" si="327"/>
        <v>381.46750502872607</v>
      </c>
      <c r="FM101" s="92">
        <f t="shared" si="328"/>
        <v>51.288115516463307</v>
      </c>
      <c r="FN101" s="72">
        <f t="shared" si="329"/>
        <v>0.13444950052194118</v>
      </c>
      <c r="FO101" s="92"/>
      <c r="FP101" s="92">
        <f t="shared" si="397"/>
        <v>51.288111565662938</v>
      </c>
      <c r="FQ101" s="1">
        <f t="shared" si="366"/>
        <v>0</v>
      </c>
      <c r="FS101">
        <f t="shared" si="296"/>
        <v>2038</v>
      </c>
      <c r="FT101" s="5">
        <f t="shared" si="241"/>
        <v>2211.8151878806498</v>
      </c>
      <c r="FU101" s="214">
        <f t="shared" si="297"/>
        <v>5103.3714662149268</v>
      </c>
      <c r="FV101" s="213">
        <f t="shared" si="331"/>
        <v>2941.0590552811514</v>
      </c>
      <c r="FW101" s="5">
        <f t="shared" si="332"/>
        <v>2162.3124109337755</v>
      </c>
      <c r="FX101" s="1">
        <f t="shared" si="333"/>
        <v>0.423702727745492</v>
      </c>
      <c r="FY101">
        <f t="shared" si="298"/>
        <v>59954.093743432561</v>
      </c>
      <c r="FZ101" s="26">
        <f t="shared" si="334"/>
        <v>3.6066134535986338E-2</v>
      </c>
      <c r="GA101" s="106">
        <f t="shared" si="299"/>
        <v>1.2022044845328779E-3</v>
      </c>
      <c r="GB101" s="61">
        <f t="shared" si="335"/>
        <v>1444.6580530980054</v>
      </c>
      <c r="GC101" s="61">
        <f t="shared" ref="GC101:GC103" si="417">$GB101*EXP($DN$11+$DO$11*$GB101/1000+$DQ$11*$DQ101+$DR$11*$DR101+$DS$11*$DS101+$DP$11*$FD$11)</f>
        <v>2424.4367918298485</v>
      </c>
      <c r="GD101" s="61">
        <f t="shared" si="247"/>
        <v>2475.2041079359683</v>
      </c>
      <c r="GE101" s="61">
        <f t="shared" si="210"/>
        <v>1459.5399261339778</v>
      </c>
      <c r="GF101" s="61">
        <f t="shared" si="336"/>
        <v>964.8968656958707</v>
      </c>
      <c r="GG101" s="61">
        <f t="shared" si="245"/>
        <v>985.10165072291807</v>
      </c>
      <c r="GH101" s="6">
        <f t="shared" si="337"/>
        <v>0.39798804775917168</v>
      </c>
      <c r="GI101">
        <f t="shared" si="300"/>
        <v>9248.6922093424037</v>
      </c>
      <c r="GJ101" s="26">
        <f t="shared" si="367"/>
        <v>0.10432792484122211</v>
      </c>
      <c r="GK101">
        <f t="shared" si="301"/>
        <v>3.4775974947074038E-3</v>
      </c>
    </row>
    <row r="102" spans="1:193" x14ac:dyDescent="0.35">
      <c r="A102">
        <v>2039</v>
      </c>
      <c r="D102" s="82" t="e">
        <f>NA()</f>
        <v>#N/A</v>
      </c>
      <c r="J102" s="151">
        <f t="shared" si="404"/>
        <v>6.7433396200422865E-2</v>
      </c>
      <c r="O102" s="88">
        <v>2039</v>
      </c>
      <c r="P102" s="81">
        <f t="shared" si="412"/>
        <v>0.10741516534518507</v>
      </c>
      <c r="Q102" s="81">
        <f t="shared" si="412"/>
        <v>0.75930233821489568</v>
      </c>
      <c r="R102" s="81">
        <f t="shared" si="413"/>
        <v>0.13183604264117066</v>
      </c>
      <c r="S102" s="85">
        <f t="shared" si="413"/>
        <v>1.4464537987485602E-3</v>
      </c>
      <c r="T102" s="79">
        <f t="shared" si="353"/>
        <v>0</v>
      </c>
      <c r="U102" s="79">
        <f t="shared" si="339"/>
        <v>0</v>
      </c>
      <c r="V102" s="79">
        <f t="shared" si="340"/>
        <v>0</v>
      </c>
      <c r="W102" s="79">
        <f t="shared" si="341"/>
        <v>0</v>
      </c>
      <c r="AH102" s="61">
        <v>2039</v>
      </c>
      <c r="AI102" s="74">
        <f t="shared" si="401"/>
        <v>0.2</v>
      </c>
      <c r="AJ102" s="75">
        <f t="shared" si="343"/>
        <v>274827.72005583963</v>
      </c>
      <c r="AK102" s="75">
        <f t="shared" si="344"/>
        <v>1942717.5788208656</v>
      </c>
      <c r="AL102" s="75">
        <f t="shared" si="345"/>
        <v>337309.8826338987</v>
      </c>
      <c r="AM102" s="75">
        <f t="shared" si="346"/>
        <v>3700.8314311524859</v>
      </c>
      <c r="AN102" s="79">
        <f t="shared" si="347"/>
        <v>2558556.0129417563</v>
      </c>
      <c r="AO102" s="80">
        <f t="shared" si="354"/>
        <v>511711.20258835127</v>
      </c>
      <c r="AP102" s="80">
        <f t="shared" si="348"/>
        <v>2046844.8103534051</v>
      </c>
      <c r="AQ102" s="81">
        <f t="shared" si="355"/>
        <v>-0.19962127429742188</v>
      </c>
      <c r="AR102" s="81">
        <f t="shared" si="356"/>
        <v>0.27293199985684191</v>
      </c>
      <c r="AS102" s="81">
        <f t="shared" si="357"/>
        <v>-0.36569454050217348</v>
      </c>
      <c r="AT102" s="121">
        <f t="shared" si="349"/>
        <v>2.6378516138507848</v>
      </c>
      <c r="AU102" s="122">
        <f t="shared" si="358"/>
        <v>0.7959846428153432</v>
      </c>
      <c r="AV102" s="122"/>
      <c r="AW102" s="115">
        <f t="shared" si="287"/>
        <v>2558556.005967435</v>
      </c>
      <c r="AX102" s="115"/>
      <c r="AY102" s="141" t="e">
        <f t="shared" si="315"/>
        <v>#N/A</v>
      </c>
      <c r="AZ102" s="141"/>
      <c r="BA102" s="140" t="e">
        <v>#N/A</v>
      </c>
      <c r="BB102" s="101">
        <v>2039</v>
      </c>
      <c r="BC102" s="72">
        <v>3.5750695088044487E-2</v>
      </c>
      <c r="BD102" s="72">
        <v>0.8358758109360519</v>
      </c>
      <c r="BE102" s="72">
        <v>0.11956904541241889</v>
      </c>
      <c r="BF102" s="72">
        <v>8.3410565338276187E-3</v>
      </c>
      <c r="BG102" s="72">
        <v>4.6339202965708991E-4</v>
      </c>
      <c r="BL102" s="120">
        <f t="shared" si="369"/>
        <v>2.5024884869999999</v>
      </c>
      <c r="BM102" s="125">
        <f t="shared" si="387"/>
        <v>0.97934707710000013</v>
      </c>
      <c r="BN102" s="72">
        <f t="shared" si="388"/>
        <v>-0.57392922950000003</v>
      </c>
      <c r="BO102" s="98">
        <f t="shared" si="370"/>
        <v>0.70534238386420578</v>
      </c>
      <c r="BP102" s="94"/>
      <c r="BR102" s="199"/>
      <c r="CA102" s="19">
        <v>2039</v>
      </c>
      <c r="CB102" s="91">
        <f t="shared" si="389"/>
        <v>0.13799999999999998</v>
      </c>
      <c r="CC102" s="97">
        <f t="shared" si="252"/>
        <v>82.538075080504143</v>
      </c>
      <c r="CD102" s="97">
        <f t="shared" si="271"/>
        <v>1846.4216932583072</v>
      </c>
      <c r="CE102" s="97">
        <f t="shared" si="272"/>
        <v>309.39188028460535</v>
      </c>
      <c r="CF102" s="97">
        <f t="shared" si="273"/>
        <v>23.167745084016854</v>
      </c>
      <c r="CG102" s="97">
        <f t="shared" si="274"/>
        <v>1.2251696439241904</v>
      </c>
      <c r="CH102" s="92">
        <f t="shared" si="405"/>
        <v>2262.744563351358</v>
      </c>
      <c r="CI102" s="209">
        <f t="shared" si="406"/>
        <v>23.858924435015368</v>
      </c>
      <c r="CJ102" s="92">
        <f t="shared" si="372"/>
        <v>0</v>
      </c>
      <c r="CK102" s="92">
        <f t="shared" si="407"/>
        <v>312.2587497424874</v>
      </c>
      <c r="CL102" s="92">
        <f t="shared" si="408"/>
        <v>336.11767417750275</v>
      </c>
      <c r="CM102" s="72">
        <f t="shared" si="229"/>
        <v>1.2232298368205297E-2</v>
      </c>
      <c r="CN102" s="128">
        <f t="shared" si="411"/>
        <v>0.14854424119339296</v>
      </c>
      <c r="CO102" s="111">
        <f t="shared" si="409"/>
        <v>1926.6268891738553</v>
      </c>
      <c r="CP102" s="72">
        <f t="shared" si="232"/>
        <v>0.70534238386420578</v>
      </c>
      <c r="CQ102" s="96">
        <f t="shared" si="281"/>
        <v>3.6181381589737893</v>
      </c>
      <c r="CR102" s="92">
        <f t="shared" si="234"/>
        <v>3618.1381589737894</v>
      </c>
      <c r="CS102" s="120">
        <f t="shared" si="376"/>
        <v>-0.90461819600000004</v>
      </c>
      <c r="CT102" s="72">
        <f t="shared" si="391"/>
        <v>0.97934707710000013</v>
      </c>
      <c r="CU102" s="72">
        <f t="shared" si="392"/>
        <v>-0.57392922950000003</v>
      </c>
      <c r="CV102" s="104">
        <f t="shared" si="377"/>
        <v>2.1800422333136753</v>
      </c>
      <c r="CW102" s="105">
        <f t="shared" si="318"/>
        <v>-0.19962127429742188</v>
      </c>
      <c r="CX102" s="105">
        <f t="shared" si="319"/>
        <v>0.27293199985684191</v>
      </c>
      <c r="CY102" s="105">
        <f t="shared" si="320"/>
        <v>-0.36569454050217348</v>
      </c>
      <c r="CZ102" s="123">
        <f t="shared" si="350"/>
        <v>-0.68849257550252763</v>
      </c>
      <c r="DA102" s="81">
        <f t="shared" si="351"/>
        <v>1.2366113750272465</v>
      </c>
      <c r="DB102" s="9">
        <f t="shared" si="321"/>
        <v>2558556.005967435</v>
      </c>
      <c r="DD102" s="1" t="e">
        <f t="shared" si="322"/>
        <v>#N/A</v>
      </c>
      <c r="DE102" s="126" t="e">
        <v>#N/A</v>
      </c>
      <c r="DF102" s="61">
        <v>2039</v>
      </c>
      <c r="DG102" s="26">
        <v>7.6142131979695434E-3</v>
      </c>
      <c r="DH102" s="26">
        <v>0.29512169725367693</v>
      </c>
      <c r="DI102" s="26">
        <v>0.6060236886632826</v>
      </c>
      <c r="DJ102" s="26">
        <v>8.8702329819081091E-2</v>
      </c>
      <c r="DK102" s="26">
        <v>2.5380710659898475E-3</v>
      </c>
      <c r="DO102" s="76" t="e">
        <f>NA()</f>
        <v>#N/A</v>
      </c>
      <c r="DP102" s="119">
        <f t="shared" si="359"/>
        <v>2.5024884869999999</v>
      </c>
      <c r="DQ102" s="109">
        <f t="shared" si="378"/>
        <v>1.1144526043</v>
      </c>
      <c r="DR102" s="109">
        <f t="shared" si="378"/>
        <v>-0.57392922950000003</v>
      </c>
      <c r="DS102" s="109">
        <f t="shared" si="378"/>
        <v>-0.15482546589999999</v>
      </c>
      <c r="DT102" s="113" cm="1">
        <f t="array" ref="DT102">IF(alphaV=1,$DN$11+SUMPRODUCT(DP$11:$DS$11*DP102:DS102),0)+IF(alphaV=2,$DY$104,0)+IF(alphaV=3,$DY$105,0)+IF(alphaV=4,$DY$106,0)+IF(alphaV=5,DY130,0)</f>
        <v>0.11617906224428368</v>
      </c>
      <c r="DU102" s="76" t="e">
        <f>NA()</f>
        <v>#N/A</v>
      </c>
      <c r="DV102" s="76" t="e">
        <f>NA()</f>
        <v>#N/A</v>
      </c>
      <c r="DW102" s="199"/>
      <c r="EE102" s="72">
        <f t="shared" si="414"/>
        <v>1.8766336221867335E-2</v>
      </c>
      <c r="EF102" s="19">
        <v>2039</v>
      </c>
      <c r="EG102">
        <f t="shared" si="361"/>
        <v>0.13799999999999998</v>
      </c>
      <c r="EH102" s="97">
        <f t="shared" si="220"/>
        <v>12.918014664312091</v>
      </c>
      <c r="EI102" s="97">
        <f t="shared" si="238"/>
        <v>503.92571317400677</v>
      </c>
      <c r="EJ102" s="97">
        <f t="shared" si="243"/>
        <v>1035.1282545814938</v>
      </c>
      <c r="EK102" s="97">
        <f t="shared" si="246"/>
        <v>151.51901233799154</v>
      </c>
      <c r="EL102" s="97">
        <f t="shared" si="248"/>
        <v>4.3324980873257646</v>
      </c>
      <c r="EM102" s="111">
        <f t="shared" si="415"/>
        <v>1707.8234928451302</v>
      </c>
      <c r="EN102" s="209">
        <f t="shared" si="410"/>
        <v>27.626746471677251</v>
      </c>
      <c r="EO102" s="4">
        <v>0</v>
      </c>
      <c r="EP102" s="92">
        <f t="shared" si="278"/>
        <v>235.67964201262794</v>
      </c>
      <c r="EQ102" s="92">
        <f t="shared" si="239"/>
        <v>263.30638848430522</v>
      </c>
      <c r="ER102" s="128">
        <f t="shared" si="362"/>
        <v>0.15417658182324964</v>
      </c>
      <c r="ES102" s="111">
        <f t="shared" si="363"/>
        <v>1444.517104360825</v>
      </c>
      <c r="ET102" s="72">
        <f t="shared" si="364"/>
        <v>0.11617906224428368</v>
      </c>
      <c r="EU102" s="96">
        <f t="shared" si="280"/>
        <v>1.6732166093761502</v>
      </c>
      <c r="EV102" s="92">
        <f t="shared" si="416"/>
        <v>1673.2166093761502</v>
      </c>
      <c r="EW102" s="120">
        <f t="shared" si="365"/>
        <v>-0.87704872899999997</v>
      </c>
      <c r="EX102" s="127">
        <f t="shared" si="380"/>
        <v>1.1144526043</v>
      </c>
      <c r="EY102" s="9">
        <f t="shared" si="380"/>
        <v>-0.57392922950000003</v>
      </c>
      <c r="EZ102" s="9">
        <f t="shared" si="380"/>
        <v>-0.15482546589999999</v>
      </c>
      <c r="FA102" s="113" cm="1">
        <f t="array" ref="FA102">IF(alphaV=1,$DN$11+SUMPRODUCT($DP$11:$DS$11*EW102:EZ102),0)+IF(alphaV=2,$ES$115,0)+IF(alphaV=3,$ES$116,0)+IF(alphaV=4,$ES$117,0)+IF(alphaV=5,ES141,0)</f>
        <v>1.6239447871927648</v>
      </c>
      <c r="FB102" s="56">
        <v>2039</v>
      </c>
      <c r="FC102" s="116">
        <f t="shared" si="325"/>
        <v>2046844.8103534051</v>
      </c>
      <c r="FD102" s="116">
        <f t="shared" si="290"/>
        <v>2965929.8774802811</v>
      </c>
      <c r="FE102" s="116">
        <f t="shared" si="396"/>
        <v>2965929.9095958015</v>
      </c>
      <c r="FF102" s="116">
        <f t="shared" si="291"/>
        <v>2567162.0868699555</v>
      </c>
      <c r="FG102" s="5">
        <f t="shared" si="292"/>
        <v>398767.79061032552</v>
      </c>
      <c r="FH102" s="5">
        <f t="shared" si="393"/>
        <v>398767.79492824199</v>
      </c>
      <c r="FI102" s="117">
        <f t="shared" si="293"/>
        <v>0.13444950052194102</v>
      </c>
      <c r="FJ102" s="117">
        <f t="shared" si="326"/>
        <v>13.444950052194102</v>
      </c>
      <c r="FK102" s="61">
        <f t="shared" si="294"/>
        <v>7775.0525071201791</v>
      </c>
      <c r="FL102" s="61">
        <f t="shared" si="327"/>
        <v>381.4675045299262</v>
      </c>
      <c r="FM102" s="92">
        <f t="shared" si="328"/>
        <v>51.288115449399854</v>
      </c>
      <c r="FN102" s="72">
        <f t="shared" si="329"/>
        <v>0.13444950052194102</v>
      </c>
      <c r="FO102" s="92"/>
      <c r="FP102" s="92">
        <f t="shared" si="397"/>
        <v>51.288115314373016</v>
      </c>
      <c r="FQ102" s="1">
        <f t="shared" si="366"/>
        <v>0</v>
      </c>
      <c r="FS102">
        <f t="shared" si="296"/>
        <v>2039</v>
      </c>
      <c r="FT102" s="5">
        <f t="shared" si="241"/>
        <v>1926.6268891738553</v>
      </c>
      <c r="FU102" s="214">
        <f t="shared" si="297"/>
        <v>5591.6540701953118</v>
      </c>
      <c r="FV102" s="213">
        <f t="shared" si="331"/>
        <v>3222.4549880443751</v>
      </c>
      <c r="FW102" s="5">
        <f t="shared" si="332"/>
        <v>2369.1990821509366</v>
      </c>
      <c r="FX102" s="1">
        <f t="shared" si="333"/>
        <v>0.42370272774549206</v>
      </c>
      <c r="FY102">
        <f t="shared" si="298"/>
        <v>59954.093743432561</v>
      </c>
      <c r="FZ102" s="26">
        <f t="shared" si="334"/>
        <v>3.9516885907569264E-2</v>
      </c>
      <c r="GA102" s="106">
        <f t="shared" si="299"/>
        <v>1.3172295302523089E-3</v>
      </c>
      <c r="GB102" s="61">
        <f t="shared" si="335"/>
        <v>1444.517104360825</v>
      </c>
      <c r="GC102" s="61">
        <f t="shared" si="417"/>
        <v>2424.5496405815366</v>
      </c>
      <c r="GD102" s="61">
        <f t="shared" si="247"/>
        <v>2475.0471458119728</v>
      </c>
      <c r="GE102" s="61">
        <f t="shared" ref="GE102:GE103" si="418">$GB102*EXP($DN$11+$DO$11*$GB102/1000+$DQ$11*$DQ102+$DR$11*$DR102+$DS$11*$DS102+$DP$11*$EW102)</f>
        <v>1459.6078624312893</v>
      </c>
      <c r="GF102" s="61">
        <f t="shared" si="336"/>
        <v>964.94177815024727</v>
      </c>
      <c r="GG102" s="61">
        <f t="shared" si="245"/>
        <v>985.03918167361712</v>
      </c>
      <c r="GH102" s="6">
        <f t="shared" si="337"/>
        <v>0.39798804775917174</v>
      </c>
      <c r="GI102">
        <f t="shared" si="300"/>
        <v>9248.6922093424037</v>
      </c>
      <c r="GJ102" s="26">
        <f t="shared" si="367"/>
        <v>0.1043327809282623</v>
      </c>
      <c r="GK102">
        <f t="shared" si="301"/>
        <v>3.4777593642754102E-3</v>
      </c>
    </row>
    <row r="103" spans="1:193" x14ac:dyDescent="0.35">
      <c r="A103">
        <v>2040</v>
      </c>
      <c r="D103" s="82" t="e">
        <f>NA()</f>
        <v>#N/A</v>
      </c>
      <c r="J103" s="151">
        <f t="shared" si="404"/>
        <v>6.7433396200422865E-2</v>
      </c>
      <c r="O103" s="88">
        <v>2040</v>
      </c>
      <c r="P103" s="81">
        <f t="shared" si="412"/>
        <v>0.10741516534518507</v>
      </c>
      <c r="Q103" s="81">
        <f t="shared" si="412"/>
        <v>0.75930233821489568</v>
      </c>
      <c r="R103" s="81">
        <f t="shared" si="413"/>
        <v>0.13183604264117066</v>
      </c>
      <c r="S103" s="85">
        <f t="shared" si="413"/>
        <v>1.4464537987485602E-3</v>
      </c>
      <c r="T103" s="79">
        <f t="shared" si="353"/>
        <v>0</v>
      </c>
      <c r="U103" s="79">
        <f t="shared" si="339"/>
        <v>0</v>
      </c>
      <c r="V103" s="79">
        <f t="shared" si="340"/>
        <v>0</v>
      </c>
      <c r="W103" s="79">
        <f t="shared" si="341"/>
        <v>0</v>
      </c>
      <c r="AH103" s="61">
        <v>2040</v>
      </c>
      <c r="AI103" s="74">
        <f t="shared" si="401"/>
        <v>0.2</v>
      </c>
      <c r="AJ103" s="75">
        <f t="shared" si="343"/>
        <v>274827.71821163094</v>
      </c>
      <c r="AK103" s="75">
        <f t="shared" si="344"/>
        <v>1942717.5834442996</v>
      </c>
      <c r="AL103" s="75">
        <f t="shared" si="345"/>
        <v>337309.90235498658</v>
      </c>
      <c r="AM103" s="75">
        <f t="shared" si="346"/>
        <v>3700.8328778435889</v>
      </c>
      <c r="AN103" s="79">
        <f t="shared" si="347"/>
        <v>2558556.0368887605</v>
      </c>
      <c r="AO103" s="80">
        <f t="shared" si="354"/>
        <v>511711.20737775211</v>
      </c>
      <c r="AP103" s="80">
        <f t="shared" si="348"/>
        <v>2046844.8295110085</v>
      </c>
      <c r="AQ103" s="81">
        <f t="shared" si="355"/>
        <v>-0.19962127429742188</v>
      </c>
      <c r="AR103" s="81">
        <f t="shared" si="356"/>
        <v>0.27293199985684191</v>
      </c>
      <c r="AS103" s="81">
        <f t="shared" si="357"/>
        <v>-0.36569454050217348</v>
      </c>
      <c r="AT103" s="121">
        <f t="shared" si="349"/>
        <v>2.6378516138507848</v>
      </c>
      <c r="AU103" s="122">
        <f t="shared" si="358"/>
        <v>0.7959846428153432</v>
      </c>
      <c r="AV103" s="122"/>
      <c r="AW103" s="115">
        <f t="shared" si="287"/>
        <v>2558556.0056449207</v>
      </c>
      <c r="AX103" s="115"/>
      <c r="AY103" s="141" t="e">
        <f t="shared" si="315"/>
        <v>#N/A</v>
      </c>
      <c r="AZ103" s="141"/>
      <c r="BA103" s="140" t="e">
        <v>#N/A</v>
      </c>
      <c r="BB103" s="101">
        <v>2040</v>
      </c>
      <c r="BC103" s="72">
        <v>3.5750695088044487E-2</v>
      </c>
      <c r="BD103" s="72">
        <v>0.8358758109360519</v>
      </c>
      <c r="BE103" s="72">
        <v>0.11956904541241889</v>
      </c>
      <c r="BF103" s="72">
        <v>8.3410565338276187E-3</v>
      </c>
      <c r="BG103" s="72">
        <v>4.6339202965708991E-4</v>
      </c>
      <c r="BL103" s="120">
        <f t="shared" si="369"/>
        <v>2.5024884869999999</v>
      </c>
      <c r="BM103" s="125">
        <f t="shared" si="387"/>
        <v>0.97934707710000013</v>
      </c>
      <c r="BN103" s="72">
        <f t="shared" si="388"/>
        <v>-0.57392922950000003</v>
      </c>
      <c r="BO103" s="98">
        <f t="shared" si="370"/>
        <v>0.70534238386420578</v>
      </c>
      <c r="BP103" s="94"/>
      <c r="BR103" s="199"/>
      <c r="CA103" s="19">
        <v>2040</v>
      </c>
      <c r="CB103" s="91">
        <f t="shared" si="389"/>
        <v>0.13799999999999998</v>
      </c>
      <c r="CC103" s="97">
        <f>CQ99*BC103*1000</f>
        <v>111.7169413874452</v>
      </c>
      <c r="CD103" s="97">
        <f t="shared" si="271"/>
        <v>1929.7968968465975</v>
      </c>
      <c r="CE103" s="97">
        <f t="shared" si="272"/>
        <v>264.12401986419979</v>
      </c>
      <c r="CF103" s="97">
        <f t="shared" si="273"/>
        <v>21.582970372138504</v>
      </c>
      <c r="CG103" s="97">
        <f t="shared" si="274"/>
        <v>1.2870969491120474</v>
      </c>
      <c r="CH103" s="92">
        <f t="shared" si="405"/>
        <v>2328.5079254194925</v>
      </c>
      <c r="CI103" s="209">
        <f t="shared" si="406"/>
        <v>24.552349186350209</v>
      </c>
      <c r="CJ103" s="92">
        <f t="shared" si="372"/>
        <v>0</v>
      </c>
      <c r="CK103" s="92">
        <f t="shared" si="407"/>
        <v>321.33409370788991</v>
      </c>
      <c r="CL103" s="92">
        <f t="shared" si="408"/>
        <v>345.88644289424013</v>
      </c>
      <c r="CM103" s="72">
        <f t="shared" si="229"/>
        <v>1.2232298368205297E-2</v>
      </c>
      <c r="CN103" s="128">
        <f t="shared" si="411"/>
        <v>0.14854424119339296</v>
      </c>
      <c r="CO103" s="111">
        <f t="shared" si="409"/>
        <v>1982.6214825252523</v>
      </c>
      <c r="CP103" s="72">
        <f t="shared" si="232"/>
        <v>0.70534238386420578</v>
      </c>
      <c r="CQ103" s="96">
        <f t="shared" si="281"/>
        <v>3.5593023329898394</v>
      </c>
      <c r="CR103" s="92">
        <f>CQ103*1000</f>
        <v>3559.3023329898397</v>
      </c>
      <c r="CS103" s="120">
        <f t="shared" si="376"/>
        <v>-0.90461819600000004</v>
      </c>
      <c r="CT103" s="72">
        <f t="shared" si="317"/>
        <v>0.97934707710000013</v>
      </c>
      <c r="CU103" s="72">
        <f t="shared" si="392"/>
        <v>-0.57392922950000003</v>
      </c>
      <c r="CV103" s="104">
        <f t="shared" si="377"/>
        <v>2.1800422333136753</v>
      </c>
      <c r="CW103" s="105">
        <f t="shared" si="318"/>
        <v>-0.19962127429742188</v>
      </c>
      <c r="CX103" s="105">
        <f t="shared" si="319"/>
        <v>0.27293199985684191</v>
      </c>
      <c r="CY103" s="105">
        <f t="shared" si="320"/>
        <v>-0.36569454050217348</v>
      </c>
      <c r="CZ103" s="123">
        <f t="shared" si="350"/>
        <v>-0.68849257550252763</v>
      </c>
      <c r="DA103" s="81">
        <f t="shared" si="351"/>
        <v>1.2366113750272465</v>
      </c>
      <c r="DB103" s="9">
        <f t="shared" si="321"/>
        <v>2558556.0056449207</v>
      </c>
      <c r="DD103" s="1" t="e">
        <f t="shared" si="322"/>
        <v>#N/A</v>
      </c>
      <c r="DE103" s="126" t="e">
        <v>#N/A</v>
      </c>
      <c r="DF103" s="61">
        <v>2040</v>
      </c>
      <c r="DG103" s="26">
        <v>7.6142131979695434E-3</v>
      </c>
      <c r="DH103" s="26">
        <v>0.29512169725367693</v>
      </c>
      <c r="DI103" s="26">
        <v>0.6060236886632826</v>
      </c>
      <c r="DJ103" s="26">
        <v>8.8702329819081091E-2</v>
      </c>
      <c r="DK103" s="26">
        <v>2.5380710659898475E-3</v>
      </c>
      <c r="DO103" s="76" t="e">
        <f>NA()</f>
        <v>#N/A</v>
      </c>
      <c r="DP103" s="119">
        <f t="shared" si="359"/>
        <v>2.5024884869999999</v>
      </c>
      <c r="DQ103" s="109">
        <f t="shared" si="378"/>
        <v>1.1144526043</v>
      </c>
      <c r="DR103" s="109">
        <f t="shared" si="378"/>
        <v>-0.57392922950000003</v>
      </c>
      <c r="DS103" s="109">
        <f t="shared" si="378"/>
        <v>-0.15482546589999999</v>
      </c>
      <c r="DT103" s="113" cm="1">
        <f t="array" ref="DT103">IF(alphaV=1,$DN$11+SUMPRODUCT(DP$11:$DS$11*DP103:DS103),0)+IF(alphaV=2,$DY$104,0)+IF(alphaV=3,$DY$105,0)+IF(alphaV=4,$DY$106,0)+IF(alphaV=5,DY131,0)</f>
        <v>0.11617906224428368</v>
      </c>
      <c r="DU103" s="76" t="e">
        <f>NA()</f>
        <v>#N/A</v>
      </c>
      <c r="DV103" s="76" t="e">
        <f>NA()</f>
        <v>#N/A</v>
      </c>
      <c r="DW103" s="199"/>
      <c r="EE103" s="72">
        <f t="shared" si="414"/>
        <v>1.8766336221867335E-2</v>
      </c>
      <c r="EF103" s="19">
        <v>2040</v>
      </c>
      <c r="EG103">
        <f t="shared" si="361"/>
        <v>0.13799999999999998</v>
      </c>
      <c r="EH103" s="97">
        <f t="shared" ref="EH103" si="419">DG103*EM99</f>
        <v>12.88029495298588</v>
      </c>
      <c r="EI103" s="97">
        <f t="shared" ref="EI103" si="420">DH103*EM98</f>
        <v>488.88588733689335</v>
      </c>
      <c r="EJ103" s="97">
        <f t="shared" ref="EJ103" si="421">DI103*EM97</f>
        <v>988.7121052927414</v>
      </c>
      <c r="EK103" s="97">
        <f t="shared" ref="EK103" si="422">DJ103*EM96</f>
        <v>144.60260968431828</v>
      </c>
      <c r="EL103" s="97">
        <f t="shared" ref="EL103" si="423">DK103*EM95</f>
        <v>4.1369251643325313</v>
      </c>
      <c r="EM103" s="111">
        <f t="shared" si="415"/>
        <v>1639.2178224312713</v>
      </c>
      <c r="EN103" s="209">
        <f t="shared" si="410"/>
        <v>26.516941230688566</v>
      </c>
      <c r="EO103" s="4">
        <v>0</v>
      </c>
      <c r="EP103" s="92">
        <f t="shared" si="278"/>
        <v>226.2120594955154</v>
      </c>
      <c r="EQ103" s="92">
        <f t="shared" si="239"/>
        <v>252.72900072620396</v>
      </c>
      <c r="ER103" s="128">
        <f>EQ103/EM103</f>
        <v>0.15417658182324961</v>
      </c>
      <c r="ES103" s="111">
        <f>EM103-EQ103</f>
        <v>1386.4888217050673</v>
      </c>
      <c r="ET103" s="72">
        <f t="shared" si="364"/>
        <v>0.11617906224428368</v>
      </c>
      <c r="EU103" s="96">
        <f t="shared" si="280"/>
        <v>1.7041720129474616</v>
      </c>
      <c r="EV103" s="92">
        <f t="shared" si="416"/>
        <v>1704.1720129474616</v>
      </c>
      <c r="EW103" s="120">
        <f t="shared" si="365"/>
        <v>-0.87704872899999997</v>
      </c>
      <c r="EX103" s="127">
        <f t="shared" si="380"/>
        <v>1.1144526043</v>
      </c>
      <c r="EY103" s="9">
        <f t="shared" si="380"/>
        <v>-0.57392922950000003</v>
      </c>
      <c r="EZ103" s="9">
        <f t="shared" si="380"/>
        <v>-0.15482546589999999</v>
      </c>
      <c r="FA103" s="113" cm="1">
        <f t="array" ref="FA103">IF(alphaV=1,$DN$11+SUMPRODUCT($DP$11:$DS$11*EW103:EZ103),0)+IF(alphaV=2,$ES$115,0)+IF(alphaV=3,$ES$116,0)+IF(alphaV=4,$ES$117,0)+IF(alphaV=5,ES142,0)</f>
        <v>1.6239447871927648</v>
      </c>
      <c r="FB103" s="56">
        <v>2040</v>
      </c>
      <c r="FC103" s="116">
        <f t="shared" si="325"/>
        <v>2046844.8295110085</v>
      </c>
      <c r="FD103" s="116">
        <f t="shared" si="290"/>
        <v>2965929.8771064165</v>
      </c>
      <c r="FE103" s="116">
        <f t="shared" si="396"/>
        <v>2965929.9166543572</v>
      </c>
      <c r="FF103" s="116">
        <f t="shared" si="291"/>
        <v>2567162.0865463568</v>
      </c>
      <c r="FG103" s="5">
        <f t="shared" si="292"/>
        <v>398767.79056005972</v>
      </c>
      <c r="FH103" s="5">
        <f t="shared" si="393"/>
        <v>398767.79587726109</v>
      </c>
      <c r="FI103" s="117">
        <f t="shared" si="293"/>
        <v>0.13444950052194105</v>
      </c>
      <c r="FJ103" s="117"/>
      <c r="FK103" s="61">
        <f t="shared" si="294"/>
        <v>7775.0525071201791</v>
      </c>
      <c r="FL103" s="61">
        <f t="shared" si="327"/>
        <v>381.46750448184105</v>
      </c>
      <c r="FM103" s="92">
        <f t="shared" si="328"/>
        <v>51.288115442934838</v>
      </c>
      <c r="FN103" s="72">
        <f t="shared" si="329"/>
        <v>0.13444950052194105</v>
      </c>
      <c r="FO103" s="92"/>
      <c r="FP103" s="92">
        <f t="shared" si="397"/>
        <v>51.288115720502951</v>
      </c>
      <c r="FQ103" s="1">
        <f t="shared" si="366"/>
        <v>0</v>
      </c>
      <c r="FS103">
        <f t="shared" si="296"/>
        <v>2040</v>
      </c>
      <c r="FT103" s="5">
        <f t="shared" si="241"/>
        <v>1982.6214825252523</v>
      </c>
      <c r="FU103" s="214">
        <f t="shared" si="297"/>
        <v>5500.7262030489201</v>
      </c>
      <c r="FV103" s="213">
        <f t="shared" si="331"/>
        <v>3170.0535062359895</v>
      </c>
      <c r="FW103" s="5">
        <f t="shared" si="332"/>
        <v>2330.6726968129306</v>
      </c>
      <c r="FX103" s="1">
        <f t="shared" si="333"/>
        <v>0.423702727745492</v>
      </c>
      <c r="FY103">
        <f t="shared" si="298"/>
        <v>59954.093743432561</v>
      </c>
      <c r="FZ103" s="26">
        <f t="shared" si="334"/>
        <v>3.8874287830732747E-2</v>
      </c>
      <c r="GA103" s="106">
        <f t="shared" si="299"/>
        <v>1.2958095943577583E-3</v>
      </c>
      <c r="GB103" s="61">
        <f t="shared" si="335"/>
        <v>1386.4888217050673</v>
      </c>
      <c r="GC103" s="61">
        <f t="shared" si="417"/>
        <v>2469.4051076993669</v>
      </c>
      <c r="GD103" s="61">
        <f t="shared" si="247"/>
        <v>2474.2540658166486</v>
      </c>
      <c r="GE103" s="61">
        <f t="shared" si="418"/>
        <v>1486.6113897595685</v>
      </c>
      <c r="GF103" s="61">
        <f t="shared" si="336"/>
        <v>982.7937179397984</v>
      </c>
      <c r="GG103" s="61">
        <f t="shared" si="245"/>
        <v>984.72354531456131</v>
      </c>
      <c r="GH103" s="6">
        <f t="shared" si="337"/>
        <v>0.39798804775917179</v>
      </c>
      <c r="GI103">
        <f t="shared" si="300"/>
        <v>9248.6922093424037</v>
      </c>
      <c r="GJ103" s="26">
        <f t="shared" si="367"/>
        <v>0.10626299326374454</v>
      </c>
      <c r="GK103">
        <f t="shared" si="301"/>
        <v>3.5420997754581512E-3</v>
      </c>
    </row>
    <row r="104" spans="1:193" x14ac:dyDescent="0.35">
      <c r="B104" t="s">
        <v>332</v>
      </c>
      <c r="C104" s="72">
        <f>SUM(C84:C87)</f>
        <v>2.6818224066662686</v>
      </c>
      <c r="AH104" s="61">
        <v>2041</v>
      </c>
      <c r="AI104" s="74">
        <f t="shared" si="401"/>
        <v>0.2</v>
      </c>
      <c r="AQ104" s="81">
        <f t="shared" ref="AQ104:AS104" si="424">AVERAGE(AQ$69:AQ$79)</f>
        <v>-0.32415585725700674</v>
      </c>
      <c r="AR104" s="81">
        <f t="shared" si="424"/>
        <v>0.22014268301210291</v>
      </c>
      <c r="AS104" s="81">
        <f t="shared" si="424"/>
        <v>-0.37888123210058833</v>
      </c>
      <c r="AT104" t="s">
        <v>354</v>
      </c>
      <c r="AU104" s="129">
        <f>AVERAGE($AU$60:$AU$79)</f>
        <v>0.7959846428153432</v>
      </c>
      <c r="AV104" s="129"/>
      <c r="AY104" t="s">
        <v>315</v>
      </c>
      <c r="AZ104" s="72">
        <f>SUM(AZ86:AZ89)</f>
        <v>36.786036922673759</v>
      </c>
      <c r="BN104" t="s">
        <v>354</v>
      </c>
      <c r="BO104" s="128">
        <f>AVERAGE(BO$62:BO$81)</f>
        <v>0.70534238386420578</v>
      </c>
      <c r="BR104" s="199"/>
      <c r="CA104" s="78">
        <v>2041</v>
      </c>
      <c r="CB104" s="91">
        <f t="shared" si="389"/>
        <v>0.13799999999999998</v>
      </c>
      <c r="CO104" t="s">
        <v>354</v>
      </c>
      <c r="CP104" s="128">
        <f>AVERAGE(CP$62:CP$81)</f>
        <v>0.70534238386420578</v>
      </c>
      <c r="CU104" t="s">
        <v>354</v>
      </c>
      <c r="CV104" s="128">
        <f>AVERAGE(CV$62:CV$81)</f>
        <v>2.1800422333136753</v>
      </c>
      <c r="CZ104" t="s">
        <v>354</v>
      </c>
      <c r="DA104" s="130">
        <f t="shared" ref="DA104" si="425">AVERAGE($DA$60:$DA$79)</f>
        <v>1.2366113750272465</v>
      </c>
      <c r="DB104" t="s">
        <v>315</v>
      </c>
      <c r="DC104" s="72">
        <f>SUM(DC86:DC89)</f>
        <v>43.35444327627215</v>
      </c>
      <c r="DF104" s="61">
        <v>2041</v>
      </c>
      <c r="DG104" s="26">
        <v>7.6142131979695434E-3</v>
      </c>
      <c r="DH104" s="26">
        <v>0.29512169725367693</v>
      </c>
      <c r="DI104" s="26">
        <v>0.6060236886632826</v>
      </c>
      <c r="DJ104" s="26">
        <v>8.8702329819081091E-2</v>
      </c>
      <c r="DK104" s="26">
        <v>2.5380710659898475E-3</v>
      </c>
      <c r="DO104" s="76" t="e">
        <f>NA()</f>
        <v>#N/A</v>
      </c>
      <c r="DP104" s="119">
        <f t="shared" si="359"/>
        <v>2.5024884869999999</v>
      </c>
      <c r="DQ104" s="109">
        <f t="shared" si="378"/>
        <v>1.1144526043</v>
      </c>
      <c r="DR104" s="109">
        <f t="shared" si="378"/>
        <v>-0.57392922950000003</v>
      </c>
      <c r="DS104" s="109">
        <f t="shared" si="378"/>
        <v>-0.15482546589999999</v>
      </c>
      <c r="DT104" s="113" cm="1">
        <f t="array" ref="DT104">IF(alphaV=1,$DN$11+SUMPRODUCT(DP$11:$DS$11*DP104:DS104),0)+IF(alphaV=2,$DY$104,0)+IF(alphaV=3,$DY$105,0)+IF(alphaV=4,$DY$106,0)+IF(alphaV=5,DY132,0)</f>
        <v>0.11617906224428368</v>
      </c>
      <c r="DU104" s="76" t="e">
        <f>NA()</f>
        <v>#N/A</v>
      </c>
      <c r="DV104" s="76" t="e">
        <f>NA()</f>
        <v>#N/A</v>
      </c>
      <c r="DW104" s="199"/>
      <c r="DX104" t="s">
        <v>354</v>
      </c>
      <c r="DY104" s="128">
        <f>AVERAGE($DT$61:$DT$80)</f>
        <v>0.11617906224428368</v>
      </c>
      <c r="EE104" s="72">
        <f t="shared" si="414"/>
        <v>1.8766336221867335E-2</v>
      </c>
      <c r="EF104" s="19">
        <v>2041</v>
      </c>
      <c r="EG104">
        <f t="shared" ref="EG104:EG113" si="426">CB104</f>
        <v>0.13799999999999998</v>
      </c>
      <c r="EH104" s="97">
        <f t="shared" ref="EH104:EH113" si="427">DG104*EM100</f>
        <v>12.988275827649243</v>
      </c>
      <c r="EI104" s="97">
        <f t="shared" ref="EI104:EI113" si="428">DH104*EM99</f>
        <v>499.23142533844856</v>
      </c>
      <c r="EJ104" s="97">
        <f t="shared" ref="EJ104:EJ113" si="429">DI104*EM98</f>
        <v>1003.9127300242401</v>
      </c>
      <c r="EK104" s="97">
        <f t="shared" ref="EK104:EK113" si="430">DJ104*EM97</f>
        <v>144.71557614065981</v>
      </c>
      <c r="EL104" s="97">
        <f t="shared" ref="EL104:EL113" si="431">DK104*EM96</f>
        <v>4.1375655008719088</v>
      </c>
      <c r="EM104" s="111">
        <f t="shared" ref="EM104:EM113" si="432">SUM(EH104:EL104)</f>
        <v>1664.9855728318696</v>
      </c>
      <c r="EN104" s="209">
        <f t="shared" si="410"/>
        <v>26.933775353444918</v>
      </c>
      <c r="EO104" s="4">
        <v>0</v>
      </c>
      <c r="EP104" s="92">
        <f t="shared" ref="EP104:EP113" si="433">MAX(EM104*EG104,0)</f>
        <v>229.76800905079799</v>
      </c>
      <c r="EQ104" s="92">
        <f t="shared" ref="EQ104:EQ112" si="434">SUM(EN104:EP104)</f>
        <v>256.70178440424291</v>
      </c>
      <c r="ER104" s="128">
        <f>EQ104/EM104</f>
        <v>0.15417658182324964</v>
      </c>
      <c r="ES104" s="111">
        <f t="shared" ref="ES104:ES113" si="435">EM104-EQ104</f>
        <v>1408.2837884276266</v>
      </c>
      <c r="ET104" s="72">
        <f t="shared" si="364"/>
        <v>0.11617906224428368</v>
      </c>
      <c r="EU104" s="96">
        <f t="shared" ref="EU104:EU113" si="436">IF(SSLcontrol=0,$ES104/1000*EXP($ET104+$DO$11*$ES104/1000),$ES104/1000*EXP($ES115+$DO$11*$ES104/1000))</f>
        <v>1.6928135883400313</v>
      </c>
      <c r="EV104" s="92">
        <f t="shared" ref="EV104:EV113" si="437">EU104*1000</f>
        <v>1692.8135883400312</v>
      </c>
      <c r="EW104" s="120">
        <f t="shared" ref="EW104:EW113" si="438">IF(SSLcontrol =0,$EW$80*deltaPred,(1-SSLcontrol)*DP103+SSLcontrol*$EW$41)</f>
        <v>-0.87704872899999997</v>
      </c>
      <c r="EX104" s="127">
        <f t="shared" ref="EX104:EX113" si="439">DQ104</f>
        <v>1.1144526043</v>
      </c>
      <c r="EY104" s="9">
        <f t="shared" ref="EY104:EY113" si="440">DR104</f>
        <v>-0.57392922950000003</v>
      </c>
      <c r="EZ104" s="9">
        <f t="shared" ref="EZ104:EZ113" si="441">DS104</f>
        <v>-0.15482546589999999</v>
      </c>
      <c r="FA104" s="113" cm="1">
        <f t="array" ref="FA104">IF(alphaV=1,$DN$11+SUMPRODUCT($DP$11:$DS$11*EW104:EZ104),0)+IF(alphaV=2,$ES$115,0)+IF(alphaV=3,$ES$116,0)+IF(alphaV=4,$ES$117,0)+IF(alphaV=5,FA144,0)</f>
        <v>1.6239447871927648</v>
      </c>
      <c r="FB104" s="56">
        <v>2041</v>
      </c>
      <c r="FS104">
        <f t="shared" si="296"/>
        <v>2041</v>
      </c>
      <c r="FT104" s="5">
        <f t="shared" ref="FT104:FT113" si="442">BA104</f>
        <v>0</v>
      </c>
    </row>
    <row r="105" spans="1:193" x14ac:dyDescent="0.35">
      <c r="B105" t="s">
        <v>331</v>
      </c>
      <c r="C105" s="4">
        <v>4</v>
      </c>
      <c r="H105" t="s">
        <v>1</v>
      </c>
      <c r="I105" t="s">
        <v>292</v>
      </c>
      <c r="J105" t="s">
        <v>291</v>
      </c>
      <c r="L105" t="s">
        <v>102</v>
      </c>
      <c r="AH105" s="61">
        <v>2042</v>
      </c>
      <c r="AI105" s="74">
        <f t="shared" si="401"/>
        <v>0.2</v>
      </c>
      <c r="AT105" t="s">
        <v>355</v>
      </c>
      <c r="AU105" s="129">
        <f>AVERAGE($AU$70:$AU$79)</f>
        <v>0.6242658030757684</v>
      </c>
      <c r="AV105" s="129"/>
      <c r="AY105" t="s">
        <v>152</v>
      </c>
      <c r="AZ105" s="72">
        <f>AZ104/3</f>
        <v>12.262012307557919</v>
      </c>
      <c r="BN105" t="s">
        <v>355</v>
      </c>
      <c r="BO105" s="128">
        <f>AVERAGE(BO$72:BO$81)</f>
        <v>0.13038199704358572</v>
      </c>
      <c r="BR105" s="199"/>
      <c r="CA105" s="78">
        <v>2042</v>
      </c>
      <c r="CB105" s="91">
        <f t="shared" si="389"/>
        <v>0.13799999999999998</v>
      </c>
      <c r="CO105" t="s">
        <v>355</v>
      </c>
      <c r="CP105" s="128">
        <f>AVERAGE(CP$72:CP$81)</f>
        <v>0.13038199704358572</v>
      </c>
      <c r="CR105" s="26" t="s">
        <v>12</v>
      </c>
      <c r="CU105" t="s">
        <v>355</v>
      </c>
      <c r="CV105" s="128">
        <f>AVERAGE(CV$72:CV$81)</f>
        <v>2.0872963242769433</v>
      </c>
      <c r="CZ105" t="s">
        <v>355</v>
      </c>
      <c r="DA105" s="130">
        <f>AVERAGE($DA$70:$DA$79)</f>
        <v>1.2399693782703536</v>
      </c>
      <c r="DB105" t="s">
        <v>152</v>
      </c>
      <c r="DC105" s="72">
        <f>DC104/3</f>
        <v>14.451481092090717</v>
      </c>
      <c r="DF105" s="61">
        <v>2042</v>
      </c>
      <c r="DG105" s="26">
        <v>7.6142131979695434E-3</v>
      </c>
      <c r="DH105" s="26">
        <v>0.29512169725367693</v>
      </c>
      <c r="DI105" s="26">
        <v>0.6060236886632826</v>
      </c>
      <c r="DJ105" s="26">
        <v>8.8702329819081091E-2</v>
      </c>
      <c r="DK105" s="26">
        <v>2.5380710659898475E-3</v>
      </c>
      <c r="DO105" s="76" t="e">
        <f>NA()</f>
        <v>#N/A</v>
      </c>
      <c r="DP105" s="119">
        <f t="shared" si="359"/>
        <v>2.5024884869999999</v>
      </c>
      <c r="DQ105" s="109">
        <f t="shared" si="378"/>
        <v>1.1144526043</v>
      </c>
      <c r="DR105" s="109">
        <f t="shared" si="378"/>
        <v>-0.57392922950000003</v>
      </c>
      <c r="DS105" s="109">
        <f t="shared" si="378"/>
        <v>-0.15482546589999999</v>
      </c>
      <c r="DT105" s="113" cm="1">
        <f t="array" ref="DT105">IF(alphaV=1,$DN$11+SUMPRODUCT(DP$11:$DS$11*DP105:DS105),0)+IF(alphaV=2,$DY$104,0)+IF(alphaV=3,$DY$105,0)+IF(alphaV=4,$DY$106,0)+IF(alphaV=5,DY133,0)</f>
        <v>0.11617906224428368</v>
      </c>
      <c r="DU105" s="76" t="e">
        <f>NA()</f>
        <v>#N/A</v>
      </c>
      <c r="DV105" s="76" t="e">
        <f>NA()</f>
        <v>#N/A</v>
      </c>
      <c r="DW105" s="199"/>
      <c r="DX105" t="s">
        <v>355</v>
      </c>
      <c r="DY105" s="128">
        <f>AVERAGE($DT$71:$DT$80)</f>
        <v>-0.52057430388121728</v>
      </c>
      <c r="EE105" s="72">
        <f t="shared" si="414"/>
        <v>1.8766336221867335E-2</v>
      </c>
      <c r="EF105" s="19">
        <v>2042</v>
      </c>
      <c r="EG105">
        <f t="shared" si="426"/>
        <v>0.13799999999999998</v>
      </c>
      <c r="EH105" s="97">
        <f t="shared" si="427"/>
        <v>13.005001018017664</v>
      </c>
      <c r="EI105" s="97">
        <f t="shared" si="428"/>
        <v>503.41669020732382</v>
      </c>
      <c r="EJ105" s="97">
        <f t="shared" si="429"/>
        <v>1025.1569867469827</v>
      </c>
      <c r="EK105" s="97">
        <f t="shared" si="430"/>
        <v>146.94045753327254</v>
      </c>
      <c r="EL105" s="97">
        <f t="shared" si="431"/>
        <v>4.1407978499528477</v>
      </c>
      <c r="EM105" s="111">
        <f t="shared" si="432"/>
        <v>1692.6599333555498</v>
      </c>
      <c r="EN105" s="209">
        <f t="shared" si="410"/>
        <v>27.381451910862339</v>
      </c>
      <c r="EO105" s="4">
        <v>0</v>
      </c>
      <c r="EP105" s="92">
        <f t="shared" si="433"/>
        <v>233.58707080306584</v>
      </c>
      <c r="EQ105" s="92">
        <f t="shared" si="434"/>
        <v>260.96852271392817</v>
      </c>
      <c r="ER105" s="128">
        <f t="shared" ref="ER105:ER113" si="443">EQ105/EM105</f>
        <v>0.15417658182324961</v>
      </c>
      <c r="ES105" s="111">
        <f t="shared" si="435"/>
        <v>1431.6914106416216</v>
      </c>
      <c r="ET105" s="72">
        <f t="shared" si="364"/>
        <v>0.11617906224428368</v>
      </c>
      <c r="EU105" s="96">
        <f t="shared" si="436"/>
        <v>1.4657442544994055</v>
      </c>
      <c r="EV105" s="92">
        <f t="shared" si="437"/>
        <v>1465.7442544994055</v>
      </c>
      <c r="EW105" s="120">
        <f t="shared" si="438"/>
        <v>-0.87704872899999997</v>
      </c>
      <c r="EX105" s="127">
        <f t="shared" si="439"/>
        <v>1.1144526043</v>
      </c>
      <c r="EY105" s="9">
        <f t="shared" si="440"/>
        <v>-0.57392922950000003</v>
      </c>
      <c r="EZ105" s="9">
        <f t="shared" si="441"/>
        <v>-0.15482546589999999</v>
      </c>
      <c r="FA105" s="113" cm="1">
        <f t="array" ref="FA105">IF(alphaV=1,$DN$11+SUMPRODUCT($DP$11:$DS$11*EW105:EZ105),0)+IF(alphaV=2,$ES$115,0)+IF(alphaV=3,$ES$116,0)+IF(alphaV=4,$ES$117,0)+IF(alphaV=5,FA145,0)</f>
        <v>1.6239447871927648</v>
      </c>
      <c r="FB105" s="56">
        <v>2042</v>
      </c>
      <c r="FS105">
        <f t="shared" si="296"/>
        <v>2042</v>
      </c>
      <c r="FT105" s="5">
        <f t="shared" si="442"/>
        <v>0</v>
      </c>
    </row>
    <row r="106" spans="1:193" ht="15" thickBot="1" x14ac:dyDescent="0.4">
      <c r="B106" t="s">
        <v>152</v>
      </c>
      <c r="C106" s="72">
        <f>C104/(ndatachum-1)</f>
        <v>0.89394080222208949</v>
      </c>
      <c r="H106">
        <f>A60</f>
        <v>1997</v>
      </c>
      <c r="I106" s="26">
        <f>J60</f>
        <v>7.784457978504275E-2</v>
      </c>
      <c r="J106">
        <f>BV60</f>
        <v>0.10949999999999997</v>
      </c>
      <c r="AH106" s="61">
        <v>2043</v>
      </c>
      <c r="AI106" s="74">
        <f t="shared" si="401"/>
        <v>0.2</v>
      </c>
      <c r="AT106" t="s">
        <v>356</v>
      </c>
      <c r="AU106" s="129">
        <f>AVERAGE($AU$75:$AU$79)</f>
        <v>0.36703030379603002</v>
      </c>
      <c r="AV106" s="129"/>
      <c r="AY106" t="s">
        <v>316</v>
      </c>
      <c r="AZ106" s="72">
        <f>SQRT(AZ105)</f>
        <v>3.5017156234562963</v>
      </c>
      <c r="BN106" t="s">
        <v>356</v>
      </c>
      <c r="BO106" s="128">
        <f>AVERAGE(BO$77:BO$81)</f>
        <v>-0.24903030897187012</v>
      </c>
      <c r="BR106" s="199"/>
      <c r="CA106" s="78">
        <v>2043</v>
      </c>
      <c r="CB106" s="91">
        <f t="shared" si="389"/>
        <v>0.13799999999999998</v>
      </c>
      <c r="CO106" t="s">
        <v>356</v>
      </c>
      <c r="CP106" s="128">
        <f>AVERAGE(CP$77:CP$81)</f>
        <v>-0.24903030897187012</v>
      </c>
      <c r="CU106" t="s">
        <v>356</v>
      </c>
      <c r="CV106" s="128">
        <f>AVERAGE(CV$77:CV$81)</f>
        <v>2.0340892456300899</v>
      </c>
      <c r="CZ106" t="s">
        <v>356</v>
      </c>
      <c r="DA106" s="130">
        <f>AVERAGE($DA$75:$DA$79)</f>
        <v>1.0828419116795565</v>
      </c>
      <c r="DB106" t="s">
        <v>317</v>
      </c>
      <c r="DC106" s="72">
        <f>SQRT(DC105)</f>
        <v>3.8015103698517931</v>
      </c>
      <c r="DF106" s="61">
        <v>2043</v>
      </c>
      <c r="DG106" s="26">
        <v>7.6142131979695434E-3</v>
      </c>
      <c r="DH106" s="26">
        <v>0.29512169725367693</v>
      </c>
      <c r="DI106" s="26">
        <v>0.6060236886632826</v>
      </c>
      <c r="DJ106" s="26">
        <v>8.8702329819081091E-2</v>
      </c>
      <c r="DK106" s="26">
        <v>2.5380710659898475E-3</v>
      </c>
      <c r="DO106" s="76" t="e">
        <f>NA()</f>
        <v>#N/A</v>
      </c>
      <c r="DP106" s="119">
        <f t="shared" si="359"/>
        <v>2.5024884869999999</v>
      </c>
      <c r="DQ106" s="109">
        <f t="shared" si="378"/>
        <v>1.1144526043</v>
      </c>
      <c r="DR106" s="109">
        <f t="shared" si="378"/>
        <v>-0.57392922950000003</v>
      </c>
      <c r="DS106" s="109">
        <f t="shared" si="378"/>
        <v>-0.15482546589999999</v>
      </c>
      <c r="DT106" s="113" cm="1">
        <f t="array" ref="DT106">IF(alphaV=1,$DN$11+SUMPRODUCT(DP$11:$DS$11*DP106:DS106),0)+IF(alphaV=2,$DY$104,0)+IF(alphaV=3,$DY$105,0)+IF(alphaV=4,$DY$106,0)+IF(alphaV=5,DY134,0)</f>
        <v>0.11617906224428368</v>
      </c>
      <c r="DU106" s="76" t="e">
        <f>NA()</f>
        <v>#N/A</v>
      </c>
      <c r="DV106" s="76" t="e">
        <f>NA()</f>
        <v>#N/A</v>
      </c>
      <c r="DW106" s="199"/>
      <c r="DX106" t="s">
        <v>356</v>
      </c>
      <c r="DY106" s="128">
        <f>AVERAGE($DT$76:$DT$80)</f>
        <v>-1.0845110892856895</v>
      </c>
      <c r="EE106" s="72">
        <f t="shared" si="414"/>
        <v>1.8766336221867335E-2</v>
      </c>
      <c r="EF106" s="19">
        <v>2043</v>
      </c>
      <c r="EG106">
        <f t="shared" si="426"/>
        <v>0.13799999999999998</v>
      </c>
      <c r="EH106" s="97">
        <f t="shared" si="427"/>
        <v>13.003732179023835</v>
      </c>
      <c r="EI106" s="97">
        <f t="shared" si="428"/>
        <v>504.06494714997621</v>
      </c>
      <c r="EJ106" s="97">
        <f t="shared" si="429"/>
        <v>1033.7513045401895</v>
      </c>
      <c r="EK106" s="97">
        <f t="shared" si="430"/>
        <v>150.04993180273294</v>
      </c>
      <c r="EL106" s="97">
        <f t="shared" si="431"/>
        <v>4.2044591663959121</v>
      </c>
      <c r="EM106" s="111">
        <f t="shared" si="432"/>
        <v>1705.0743748383184</v>
      </c>
      <c r="EN106" s="209">
        <f t="shared" si="410"/>
        <v>27.582275139298289</v>
      </c>
      <c r="EO106" s="4">
        <v>0</v>
      </c>
      <c r="EP106" s="92">
        <f t="shared" si="433"/>
        <v>235.30026372768791</v>
      </c>
      <c r="EQ106" s="92">
        <f t="shared" si="434"/>
        <v>262.88253886698618</v>
      </c>
      <c r="ER106" s="128">
        <f t="shared" si="443"/>
        <v>0.15417658182324961</v>
      </c>
      <c r="ES106" s="111">
        <f t="shared" si="435"/>
        <v>1442.1918359713322</v>
      </c>
      <c r="ET106" s="72">
        <f t="shared" si="364"/>
        <v>0.11617906224428368</v>
      </c>
      <c r="EU106" s="96">
        <f t="shared" si="436"/>
        <v>1.1657345539424566</v>
      </c>
      <c r="EV106" s="92">
        <f t="shared" si="437"/>
        <v>1165.7345539424566</v>
      </c>
      <c r="EW106" s="120">
        <f t="shared" si="438"/>
        <v>-0.87704872899999997</v>
      </c>
      <c r="EX106" s="127">
        <f t="shared" si="439"/>
        <v>1.1144526043</v>
      </c>
      <c r="EY106" s="9">
        <f t="shared" si="440"/>
        <v>-0.57392922950000003</v>
      </c>
      <c r="EZ106" s="9">
        <f t="shared" si="441"/>
        <v>-0.15482546589999999</v>
      </c>
      <c r="FA106" s="113" cm="1">
        <f t="array" ref="FA106">IF(alphaV=1,$DN$11+SUMPRODUCT($DP$11:$DS$11*EW106:EZ106),0)+IF(alphaV=2,$ES$115,0)+IF(alphaV=3,$ES$116,0)+IF(alphaV=4,$ES$117,0)+IF(alphaV=5,FA146,0)</f>
        <v>1.6239447871927648</v>
      </c>
      <c r="FB106" s="56">
        <v>2043</v>
      </c>
      <c r="FS106">
        <f t="shared" si="296"/>
        <v>2043</v>
      </c>
      <c r="FT106" s="5">
        <f t="shared" si="442"/>
        <v>0</v>
      </c>
    </row>
    <row r="107" spans="1:193" x14ac:dyDescent="0.35">
      <c r="B107" t="s">
        <v>317</v>
      </c>
      <c r="C107" s="72">
        <f>SQRT(C106)</f>
        <v>0.94548442727635107</v>
      </c>
      <c r="H107">
        <f t="shared" ref="H107:H117" si="444">A61</f>
        <v>1998</v>
      </c>
      <c r="I107" s="26">
        <f t="shared" ref="I107:I117" si="445">J61</f>
        <v>0.12498210487046353</v>
      </c>
      <c r="J107">
        <f t="shared" ref="J107:J117" si="446">BV61</f>
        <v>0.23150000000000015</v>
      </c>
      <c r="L107" s="49" t="s">
        <v>103</v>
      </c>
      <c r="M107" s="49"/>
      <c r="AH107" s="61">
        <v>2044</v>
      </c>
      <c r="AI107" s="74">
        <f t="shared" si="401"/>
        <v>0.2</v>
      </c>
      <c r="AT107" t="s">
        <v>359</v>
      </c>
      <c r="AU107">
        <f>SLOPE(AU68:AU79,AH68:AH79)</f>
        <v>-5.7429775905912646E-2</v>
      </c>
      <c r="BN107" t="s">
        <v>359</v>
      </c>
      <c r="BO107">
        <f>SLOPE(BO72:BO81,BB72:BB81)</f>
        <v>-0.16676982442509919</v>
      </c>
      <c r="BR107" s="199"/>
      <c r="CA107" s="78">
        <v>2044</v>
      </c>
      <c r="CB107" s="91">
        <f t="shared" si="389"/>
        <v>0.13799999999999998</v>
      </c>
      <c r="CO107" t="s">
        <v>359</v>
      </c>
      <c r="CP107">
        <f>SLOPE(CP72:CP81,CA72:CA81)</f>
        <v>-0.16676982442509919</v>
      </c>
      <c r="CU107" t="s">
        <v>361</v>
      </c>
      <c r="CV107">
        <f>CP107</f>
        <v>-0.16676982442509919</v>
      </c>
      <c r="CZ107" t="s">
        <v>361</v>
      </c>
      <c r="DA107">
        <f>AU107</f>
        <v>-5.7429775905912646E-2</v>
      </c>
      <c r="DF107" s="61">
        <v>2044</v>
      </c>
      <c r="DG107" s="26">
        <v>7.6142131979695434E-3</v>
      </c>
      <c r="DH107" s="26">
        <v>0.29512169725367693</v>
      </c>
      <c r="DI107" s="26">
        <v>0.6060236886632826</v>
      </c>
      <c r="DJ107" s="26">
        <v>8.8702329819081091E-2</v>
      </c>
      <c r="DK107" s="26">
        <v>2.5380710659898475E-3</v>
      </c>
      <c r="DO107" s="76" t="e">
        <f>NA()</f>
        <v>#N/A</v>
      </c>
      <c r="DP107" s="119">
        <f t="shared" si="359"/>
        <v>2.5024884869999999</v>
      </c>
      <c r="DQ107" s="109">
        <f t="shared" si="378"/>
        <v>1.1144526043</v>
      </c>
      <c r="DR107" s="109">
        <f t="shared" si="378"/>
        <v>-0.57392922950000003</v>
      </c>
      <c r="DS107" s="109">
        <f t="shared" si="378"/>
        <v>-0.15482546589999999</v>
      </c>
      <c r="DT107" s="113" cm="1">
        <f t="array" ref="DT107">IF(alphaV=1,$DN$11+SUMPRODUCT(DP$11:$DS$11*DP107:DS107),0)+IF(alphaV=2,$DY$104,0)+IF(alphaV=3,$DY$105,0)+IF(alphaV=4,$DY$106,0)+IF(alphaV=5,DY135,0)</f>
        <v>0.11617906224428368</v>
      </c>
      <c r="DU107" s="76" t="e">
        <f>NA()</f>
        <v>#N/A</v>
      </c>
      <c r="DV107" s="76" t="e">
        <f>NA()</f>
        <v>#N/A</v>
      </c>
      <c r="DW107" s="199"/>
      <c r="DX107" t="s">
        <v>362</v>
      </c>
      <c r="DY107">
        <f>SLOPE(DT71:DT80,DF71:DF80)</f>
        <v>-0.22811992702633371</v>
      </c>
      <c r="EE107" s="72">
        <f t="shared" si="414"/>
        <v>1.8766336221867335E-2</v>
      </c>
      <c r="EF107" s="19">
        <v>2044</v>
      </c>
      <c r="EG107">
        <f t="shared" si="426"/>
        <v>0.13799999999999998</v>
      </c>
      <c r="EH107" s="97">
        <f t="shared" si="427"/>
        <v>12.481353977903082</v>
      </c>
      <c r="EI107" s="97">
        <f t="shared" si="428"/>
        <v>504.0157678181576</v>
      </c>
      <c r="EJ107" s="97">
        <f t="shared" si="429"/>
        <v>1035.082481025157</v>
      </c>
      <c r="EK107" s="97">
        <f t="shared" si="430"/>
        <v>151.30786284688818</v>
      </c>
      <c r="EL107" s="97">
        <f t="shared" si="431"/>
        <v>4.2934316509952923</v>
      </c>
      <c r="EM107" s="111">
        <f t="shared" si="432"/>
        <v>1707.1808973191009</v>
      </c>
      <c r="EN107" s="209">
        <f t="shared" si="410"/>
        <v>27.616351472571186</v>
      </c>
      <c r="EO107" s="4">
        <v>0</v>
      </c>
      <c r="EP107" s="92">
        <f t="shared" si="433"/>
        <v>235.59096383003589</v>
      </c>
      <c r="EQ107" s="92">
        <f t="shared" si="434"/>
        <v>263.20731530260707</v>
      </c>
      <c r="ER107" s="128">
        <f t="shared" si="443"/>
        <v>0.15417658182324961</v>
      </c>
      <c r="ES107" s="111">
        <f t="shared" si="435"/>
        <v>1443.9735820164938</v>
      </c>
      <c r="ET107" s="72">
        <f t="shared" si="364"/>
        <v>0.11617906224428368</v>
      </c>
      <c r="EU107" s="96">
        <f t="shared" si="436"/>
        <v>0.3007542011031758</v>
      </c>
      <c r="EV107" s="92">
        <f t="shared" si="437"/>
        <v>300.75420110317577</v>
      </c>
      <c r="EW107" s="120">
        <f t="shared" si="438"/>
        <v>-0.87704872899999997</v>
      </c>
      <c r="EX107" s="127">
        <f t="shared" si="439"/>
        <v>1.1144526043</v>
      </c>
      <c r="EY107" s="9">
        <f t="shared" si="440"/>
        <v>-0.57392922950000003</v>
      </c>
      <c r="EZ107" s="9">
        <f t="shared" si="441"/>
        <v>-0.15482546589999999</v>
      </c>
      <c r="FA107" s="113" cm="1">
        <f t="array" ref="FA107">IF(alphaV=1,$DN$11+SUMPRODUCT($DP$11:$DS$11*EW107:EZ107),0)+IF(alphaV=2,$ES$115,0)+IF(alphaV=3,$ES$116,0)+IF(alphaV=4,$ES$117,0)+IF(alphaV=5,FA147,0)</f>
        <v>1.6239447871927648</v>
      </c>
      <c r="FB107" s="56">
        <v>2044</v>
      </c>
      <c r="FS107">
        <f t="shared" si="296"/>
        <v>2044</v>
      </c>
      <c r="FT107" s="5">
        <f t="shared" si="442"/>
        <v>0</v>
      </c>
    </row>
    <row r="108" spans="1:193" x14ac:dyDescent="0.35">
      <c r="H108">
        <f t="shared" si="444"/>
        <v>1999</v>
      </c>
      <c r="I108" s="26">
        <f t="shared" si="445"/>
        <v>3.1268282941623295E-2</v>
      </c>
      <c r="J108">
        <f t="shared" si="446"/>
        <v>0.11349999999999981</v>
      </c>
      <c r="L108" s="46" t="s">
        <v>104</v>
      </c>
      <c r="M108" s="46">
        <v>0.92649945803576206</v>
      </c>
      <c r="AH108" s="61">
        <v>2045</v>
      </c>
      <c r="AI108" s="74">
        <f t="shared" si="401"/>
        <v>0.2</v>
      </c>
      <c r="AT108" t="s">
        <v>1</v>
      </c>
      <c r="AU108" t="s">
        <v>360</v>
      </c>
      <c r="AY108" t="s">
        <v>324</v>
      </c>
      <c r="AZ108" s="72">
        <f>AZ104+DC104+sumsqchum</f>
        <v>82.82230260561218</v>
      </c>
      <c r="BN108" t="s">
        <v>1</v>
      </c>
      <c r="BO108" t="s">
        <v>360</v>
      </c>
      <c r="BR108" s="199"/>
      <c r="CA108" s="78">
        <v>2045</v>
      </c>
      <c r="CB108" s="91">
        <f t="shared" si="389"/>
        <v>0.13799999999999998</v>
      </c>
      <c r="CO108" t="s">
        <v>1</v>
      </c>
      <c r="CP108" t="s">
        <v>360</v>
      </c>
      <c r="CU108" t="s">
        <v>1</v>
      </c>
      <c r="CV108" t="s">
        <v>360</v>
      </c>
      <c r="CZ108" t="str">
        <f>AT108</f>
        <v>Year</v>
      </c>
      <c r="DA108" t="str">
        <f t="shared" ref="DA108:DA132" si="447">AU108</f>
        <v>alpha</v>
      </c>
      <c r="DF108" s="61">
        <v>2045</v>
      </c>
      <c r="DG108" s="26">
        <v>7.6142131979695434E-3</v>
      </c>
      <c r="DH108" s="26">
        <v>0.29512169725367693</v>
      </c>
      <c r="DI108" s="26">
        <v>0.6060236886632826</v>
      </c>
      <c r="DJ108" s="26">
        <v>8.8702329819081091E-2</v>
      </c>
      <c r="DK108" s="26">
        <v>2.5380710659898475E-3</v>
      </c>
      <c r="DO108" s="76" t="e">
        <f>NA()</f>
        <v>#N/A</v>
      </c>
      <c r="DP108" s="119">
        <f t="shared" si="359"/>
        <v>2.5024884869999999</v>
      </c>
      <c r="DQ108" s="109">
        <f t="shared" si="378"/>
        <v>1.1144526043</v>
      </c>
      <c r="DR108" s="109">
        <f t="shared" si="378"/>
        <v>-0.57392922950000003</v>
      </c>
      <c r="DS108" s="109">
        <f t="shared" si="378"/>
        <v>-0.15482546589999999</v>
      </c>
      <c r="DT108" s="113" cm="1">
        <f t="array" ref="DT108">IF(alphaV=1,$DN$11+SUMPRODUCT(DP$11:$DS$11*DP108:DS108),0)+IF(alphaV=2,$DY$104,0)+IF(alphaV=3,$DY$105,0)+IF(alphaV=4,$DY$106,0)+IF(alphaV=5,DY136,0)</f>
        <v>0.11617906224428368</v>
      </c>
      <c r="DU108" s="76" t="e">
        <f>NA()</f>
        <v>#N/A</v>
      </c>
      <c r="DV108" s="76" t="e">
        <f>NA()</f>
        <v>#N/A</v>
      </c>
      <c r="DW108" s="199"/>
      <c r="DX108" t="s">
        <v>1</v>
      </c>
      <c r="DY108" s="26" t="s">
        <v>360</v>
      </c>
      <c r="EE108" s="72">
        <f t="shared" si="414"/>
        <v>1.8766336221867335E-2</v>
      </c>
      <c r="EF108" s="19">
        <v>2045</v>
      </c>
      <c r="EG108">
        <f t="shared" si="426"/>
        <v>0.13799999999999998</v>
      </c>
      <c r="EH108" s="97">
        <f t="shared" si="427"/>
        <v>12.677555123085302</v>
      </c>
      <c r="EI108" s="97">
        <f t="shared" si="428"/>
        <v>483.76874592439322</v>
      </c>
      <c r="EJ108" s="97">
        <f t="shared" si="429"/>
        <v>1034.981492719817</v>
      </c>
      <c r="EK108" s="97">
        <f t="shared" si="430"/>
        <v>151.50270416716305</v>
      </c>
      <c r="EL108" s="97">
        <f t="shared" si="431"/>
        <v>4.3294252758830805</v>
      </c>
      <c r="EM108" s="111">
        <f t="shared" si="432"/>
        <v>1687.2599232103416</v>
      </c>
      <c r="EN108" s="209">
        <f t="shared" si="410"/>
        <v>27.294098204901999</v>
      </c>
      <c r="EO108" s="4">
        <v>0</v>
      </c>
      <c r="EP108" s="92">
        <f t="shared" si="433"/>
        <v>232.84186940302712</v>
      </c>
      <c r="EQ108" s="92">
        <f t="shared" si="434"/>
        <v>260.1359676079291</v>
      </c>
      <c r="ER108" s="128">
        <f t="shared" si="443"/>
        <v>0.15417658182324961</v>
      </c>
      <c r="ES108" s="111">
        <f t="shared" si="435"/>
        <v>1427.1239556024125</v>
      </c>
      <c r="ET108" s="72">
        <f t="shared" si="364"/>
        <v>0.11617906224428368</v>
      </c>
      <c r="EU108" s="96" t="e">
        <f t="shared" si="436"/>
        <v>#VALUE!</v>
      </c>
      <c r="EV108" s="92" t="e">
        <f t="shared" si="437"/>
        <v>#VALUE!</v>
      </c>
      <c r="EW108" s="120">
        <f t="shared" si="438"/>
        <v>-0.87704872899999997</v>
      </c>
      <c r="EX108" s="127">
        <f t="shared" si="439"/>
        <v>1.1144526043</v>
      </c>
      <c r="EY108" s="9">
        <f t="shared" si="440"/>
        <v>-0.57392922950000003</v>
      </c>
      <c r="EZ108" s="9">
        <f t="shared" si="441"/>
        <v>-0.15482546589999999</v>
      </c>
      <c r="FA108" s="113" cm="1">
        <f t="array" ref="FA108">IF(alphaV=1,$DN$11+SUMPRODUCT($DP$11:$DS$11*EW108:EZ108),0)+IF(alphaV=2,$ES$115,0)+IF(alphaV=3,$ES$116,0)+IF(alphaV=4,$ES$117,0)+IF(alphaV=5,FA148,0)</f>
        <v>1.6239447871927648</v>
      </c>
      <c r="FB108" s="56">
        <v>2045</v>
      </c>
      <c r="FS108">
        <f t="shared" si="296"/>
        <v>2045</v>
      </c>
      <c r="FT108" s="5">
        <f t="shared" si="442"/>
        <v>0</v>
      </c>
    </row>
    <row r="109" spans="1:193" x14ac:dyDescent="0.35">
      <c r="H109">
        <f t="shared" si="444"/>
        <v>2000</v>
      </c>
      <c r="I109" s="26">
        <f t="shared" si="445"/>
        <v>0.14774669942731095</v>
      </c>
      <c r="J109">
        <f t="shared" si="446"/>
        <v>9.4499999999999973E-2</v>
      </c>
      <c r="L109" s="46" t="s">
        <v>105</v>
      </c>
      <c r="M109" s="46">
        <v>0.85840124574056076</v>
      </c>
      <c r="AH109" s="61">
        <v>2046</v>
      </c>
      <c r="AI109" s="74">
        <f t="shared" si="401"/>
        <v>0.2</v>
      </c>
      <c r="AT109" s="61">
        <f>AH80</f>
        <v>2017</v>
      </c>
      <c r="AU109" s="26">
        <f>AU79+$AU$107</f>
        <v>0.11628511892860444</v>
      </c>
      <c r="AV109" s="26"/>
      <c r="AY109" t="s">
        <v>333</v>
      </c>
      <c r="AZ109" s="92">
        <f>COUNT(BA86:BA89)+COUNT(DE86:DE89)+ndatachum</f>
        <v>12</v>
      </c>
      <c r="BN109">
        <f>BB82</f>
        <v>2019</v>
      </c>
      <c r="BO109" s="26">
        <f>BO81+BO107</f>
        <v>-0.77295176979394786</v>
      </c>
      <c r="BR109" s="199"/>
      <c r="CA109" s="78">
        <v>2046</v>
      </c>
      <c r="CB109" s="91">
        <f t="shared" si="389"/>
        <v>0.13799999999999998</v>
      </c>
      <c r="CO109">
        <f>CA82</f>
        <v>2019</v>
      </c>
      <c r="CP109" s="26">
        <f>CP81+CP107</f>
        <v>-0.77295176979394786</v>
      </c>
      <c r="CU109">
        <f>CO109</f>
        <v>2019</v>
      </c>
      <c r="CV109" s="26">
        <f>CP109</f>
        <v>-0.77295176979394786</v>
      </c>
      <c r="CZ109">
        <f t="shared" ref="CZ109:CZ132" si="448">AT109</f>
        <v>2017</v>
      </c>
      <c r="DA109" s="26">
        <f t="shared" si="447"/>
        <v>0.11628511892860444</v>
      </c>
      <c r="DF109" s="61">
        <v>2046</v>
      </c>
      <c r="DG109" s="26">
        <v>7.6142131979695434E-3</v>
      </c>
      <c r="DH109" s="26">
        <v>0.29512169725367693</v>
      </c>
      <c r="DI109" s="26">
        <v>0.6060236886632826</v>
      </c>
      <c r="DJ109" s="26">
        <v>8.8702329819081091E-2</v>
      </c>
      <c r="DK109" s="26">
        <v>2.5380710659898475E-3</v>
      </c>
      <c r="DO109" s="76" t="e">
        <f>NA()</f>
        <v>#N/A</v>
      </c>
      <c r="DP109" s="119">
        <f t="shared" si="359"/>
        <v>2.5024884869999999</v>
      </c>
      <c r="DQ109" s="109">
        <f t="shared" si="378"/>
        <v>1.1144526043</v>
      </c>
      <c r="DR109" s="109">
        <f t="shared" si="378"/>
        <v>-0.57392922950000003</v>
      </c>
      <c r="DS109" s="109">
        <f t="shared" si="378"/>
        <v>-0.15482546589999999</v>
      </c>
      <c r="DT109" s="113" cm="1">
        <f t="array" ref="DT109">IF(alphaV=1,$DN$11+SUMPRODUCT(DP$11:$DS$11*DP109:DS109),0)+IF(alphaV=2,$DY$104,0)+IF(alphaV=3,$DY$105,0)+IF(alphaV=4,$DY$106,0)+IF(alphaV=5,DY137,0)</f>
        <v>0.11617906224428368</v>
      </c>
      <c r="DU109" s="76" t="e">
        <f>NA()</f>
        <v>#N/A</v>
      </c>
      <c r="DV109" s="76" t="e">
        <f>NA()</f>
        <v>#N/A</v>
      </c>
      <c r="DW109" s="199"/>
      <c r="DX109" s="61">
        <f t="shared" ref="DX109:DX131" si="449">DF81</f>
        <v>2018</v>
      </c>
      <c r="DY109" s="26">
        <f>$DT$80+DY107</f>
        <v>-1.7575424325999265</v>
      </c>
      <c r="EE109" s="72">
        <f t="shared" si="414"/>
        <v>1.8766336221867335E-2</v>
      </c>
      <c r="EF109" s="19">
        <v>2046</v>
      </c>
      <c r="EG109">
        <f t="shared" si="426"/>
        <v>0.13799999999999998</v>
      </c>
      <c r="EH109" s="97">
        <f t="shared" si="427"/>
        <v>12.888273604230076</v>
      </c>
      <c r="EI109" s="97">
        <f t="shared" si="428"/>
        <v>491.3733681570269</v>
      </c>
      <c r="EJ109" s="97">
        <f t="shared" si="429"/>
        <v>993.40483127239281</v>
      </c>
      <c r="EK109" s="97">
        <f t="shared" si="430"/>
        <v>151.48792273512382</v>
      </c>
      <c r="EL109" s="97">
        <f t="shared" si="431"/>
        <v>4.3350003393392207</v>
      </c>
      <c r="EM109" s="111">
        <f t="shared" si="432"/>
        <v>1653.4893961081129</v>
      </c>
      <c r="EN109" s="209">
        <f t="shared" si="410"/>
        <v>26.747806510018528</v>
      </c>
      <c r="EO109" s="4">
        <v>0</v>
      </c>
      <c r="EP109" s="92">
        <f t="shared" si="433"/>
        <v>228.18153666291957</v>
      </c>
      <c r="EQ109" s="92">
        <f t="shared" si="434"/>
        <v>254.9293431729381</v>
      </c>
      <c r="ER109" s="128">
        <f t="shared" si="443"/>
        <v>0.15417658182324964</v>
      </c>
      <c r="ES109" s="111">
        <f t="shared" si="435"/>
        <v>1398.5600529351748</v>
      </c>
      <c r="ET109" s="72">
        <f t="shared" si="364"/>
        <v>0.11617906224428368</v>
      </c>
      <c r="EU109" s="96">
        <f t="shared" si="436"/>
        <v>0.96337956243452494</v>
      </c>
      <c r="EV109" s="92">
        <f t="shared" si="437"/>
        <v>963.37956243452493</v>
      </c>
      <c r="EW109" s="120">
        <f t="shared" si="438"/>
        <v>-0.87704872899999997</v>
      </c>
      <c r="EX109" s="127">
        <f t="shared" si="439"/>
        <v>1.1144526043</v>
      </c>
      <c r="EY109" s="9">
        <f t="shared" si="440"/>
        <v>-0.57392922950000003</v>
      </c>
      <c r="EZ109" s="9">
        <f t="shared" si="441"/>
        <v>-0.15482546589999999</v>
      </c>
      <c r="FA109" s="113" cm="1">
        <f t="array" ref="FA109">IF(alphaV=1,$DN$11+SUMPRODUCT($DP$11:$DS$11*EW109:EZ109),0)+IF(alphaV=2,$ES$115,0)+IF(alphaV=3,$ES$116,0)+IF(alphaV=4,$ES$117,0)+IF(alphaV=5,FA149,0)</f>
        <v>1.6239447871927648</v>
      </c>
      <c r="FB109" s="56">
        <v>2046</v>
      </c>
      <c r="FS109">
        <f t="shared" si="296"/>
        <v>2046</v>
      </c>
      <c r="FT109" s="5">
        <f t="shared" si="442"/>
        <v>0</v>
      </c>
    </row>
    <row r="110" spans="1:193" x14ac:dyDescent="0.35">
      <c r="B110" t="s">
        <v>410</v>
      </c>
      <c r="C110" s="5">
        <f>AVERAGE(I54:I86)</f>
        <v>325849.62718562211</v>
      </c>
      <c r="H110">
        <f t="shared" si="444"/>
        <v>2001</v>
      </c>
      <c r="I110" s="26">
        <f t="shared" si="445"/>
        <v>7.1918279353250375E-2</v>
      </c>
      <c r="J110">
        <f t="shared" si="446"/>
        <v>6.1499999999999937E-2</v>
      </c>
      <c r="L110" s="46" t="s">
        <v>106</v>
      </c>
      <c r="M110" s="46">
        <v>0.80284569018500518</v>
      </c>
      <c r="AH110" s="61">
        <v>2047</v>
      </c>
      <c r="AI110" s="74">
        <f t="shared" si="401"/>
        <v>0.2</v>
      </c>
      <c r="AT110" s="61">
        <f t="shared" ref="AT110:AT132" si="450">AH81</f>
        <v>2018</v>
      </c>
      <c r="AU110" s="26">
        <f>AU109+$AU$107</f>
        <v>5.885534302269179E-2</v>
      </c>
      <c r="AV110" s="26"/>
      <c r="AY110" t="s">
        <v>322</v>
      </c>
      <c r="AZ110" s="72">
        <f>AZ108/(ndatatot-3)</f>
        <v>9.202478067290242</v>
      </c>
      <c r="BN110">
        <f t="shared" ref="BN110:BN130" si="451">BB83</f>
        <v>2020</v>
      </c>
      <c r="BO110" s="26">
        <f>BO109+$BO$107</f>
        <v>-0.93972159421904711</v>
      </c>
      <c r="BR110" s="199"/>
      <c r="CA110" s="78">
        <v>2047</v>
      </c>
      <c r="CB110" s="91">
        <f t="shared" si="389"/>
        <v>0.13799999999999998</v>
      </c>
      <c r="CO110">
        <f t="shared" ref="CO110:CO130" si="452">CA83</f>
        <v>2020</v>
      </c>
      <c r="CP110" s="26">
        <f>CP109+$CP$107</f>
        <v>-0.93972159421904711</v>
      </c>
      <c r="CU110">
        <f t="shared" ref="CU110:CU130" si="453">CO110</f>
        <v>2020</v>
      </c>
      <c r="CV110" s="26">
        <f t="shared" ref="CV110:CV130" si="454">CP110</f>
        <v>-0.93972159421904711</v>
      </c>
      <c r="CZ110">
        <f t="shared" si="448"/>
        <v>2018</v>
      </c>
      <c r="DA110" s="26">
        <f t="shared" si="447"/>
        <v>5.885534302269179E-2</v>
      </c>
      <c r="DF110" s="61">
        <v>2047</v>
      </c>
      <c r="DG110" s="26">
        <v>7.6142131979695434E-3</v>
      </c>
      <c r="DH110" s="26">
        <v>0.29512169725367693</v>
      </c>
      <c r="DI110" s="26">
        <v>0.6060236886632826</v>
      </c>
      <c r="DJ110" s="26">
        <v>8.8702329819081091E-2</v>
      </c>
      <c r="DK110" s="26">
        <v>2.5380710659898475E-3</v>
      </c>
      <c r="DO110" s="76" t="e">
        <f>NA()</f>
        <v>#N/A</v>
      </c>
      <c r="DP110" s="119">
        <f t="shared" si="359"/>
        <v>2.5024884869999999</v>
      </c>
      <c r="DQ110" s="109">
        <f t="shared" si="378"/>
        <v>1.1144526043</v>
      </c>
      <c r="DR110" s="109">
        <f t="shared" si="378"/>
        <v>-0.57392922950000003</v>
      </c>
      <c r="DS110" s="109">
        <f t="shared" si="378"/>
        <v>-0.15482546589999999</v>
      </c>
      <c r="DT110" s="113" cm="1">
        <f t="array" ref="DT110">IF(alphaV=1,$DN$11+SUMPRODUCT(DP$11:$DS$11*DP110:DS110),0)+IF(alphaV=2,$DY$104,0)+IF(alphaV=3,$DY$105,0)+IF(alphaV=4,$DY$106,0)+IF(alphaV=5,DY138,0)</f>
        <v>0.11617906224428368</v>
      </c>
      <c r="DU110" s="76" t="e">
        <f>NA()</f>
        <v>#N/A</v>
      </c>
      <c r="DV110" s="76" t="e">
        <f>NA()</f>
        <v>#N/A</v>
      </c>
      <c r="DW110" s="199"/>
      <c r="DX110" s="61">
        <f t="shared" si="449"/>
        <v>2019</v>
      </c>
      <c r="DY110" s="26">
        <f t="shared" ref="DY110:DY131" si="455">DY109+$DY$107</f>
        <v>-1.9856623596262601</v>
      </c>
      <c r="EE110" s="72">
        <f t="shared" si="414"/>
        <v>1.8766336221867335E-2</v>
      </c>
      <c r="EF110" s="19">
        <v>2047</v>
      </c>
      <c r="EG110">
        <f t="shared" si="426"/>
        <v>0.13799999999999998</v>
      </c>
      <c r="EH110" s="97">
        <f t="shared" si="427"/>
        <v>12.982799808413592</v>
      </c>
      <c r="EI110" s="97">
        <f t="shared" si="428"/>
        <v>499.54067240518555</v>
      </c>
      <c r="EJ110" s="97">
        <f t="shared" si="429"/>
        <v>1009.0206984187182</v>
      </c>
      <c r="EK110" s="97">
        <f t="shared" si="430"/>
        <v>145.40243993061452</v>
      </c>
      <c r="EL110" s="97">
        <f t="shared" si="431"/>
        <v>4.3345773930079448</v>
      </c>
      <c r="EM110" s="111">
        <f t="shared" si="432"/>
        <v>1671.2811879559397</v>
      </c>
      <c r="EN110" s="209">
        <f t="shared" si="410"/>
        <v>27.035616886627125</v>
      </c>
      <c r="EO110" s="4">
        <v>0</v>
      </c>
      <c r="EP110" s="92">
        <f t="shared" si="433"/>
        <v>230.63680393791964</v>
      </c>
      <c r="EQ110" s="92">
        <f t="shared" si="434"/>
        <v>257.67242082454675</v>
      </c>
      <c r="ER110" s="128">
        <f t="shared" si="443"/>
        <v>0.15417658182324961</v>
      </c>
      <c r="ES110" s="111">
        <f t="shared" si="435"/>
        <v>1413.6087671313931</v>
      </c>
      <c r="ET110" s="72">
        <f t="shared" si="364"/>
        <v>0.11617906224428368</v>
      </c>
      <c r="EU110" s="96">
        <f t="shared" si="436"/>
        <v>0.8742084725510173</v>
      </c>
      <c r="EV110" s="92">
        <f t="shared" si="437"/>
        <v>874.20847255101728</v>
      </c>
      <c r="EW110" s="120">
        <f t="shared" si="438"/>
        <v>-0.87704872899999997</v>
      </c>
      <c r="EX110" s="127">
        <f t="shared" si="439"/>
        <v>1.1144526043</v>
      </c>
      <c r="EY110" s="9">
        <f t="shared" si="440"/>
        <v>-0.57392922950000003</v>
      </c>
      <c r="EZ110" s="9">
        <f t="shared" si="441"/>
        <v>-0.15482546589999999</v>
      </c>
      <c r="FA110" s="113" cm="1">
        <f t="array" ref="FA110">IF(alphaV=1,$DN$11+SUMPRODUCT($DP$11:$DS$11*EW110:EZ110),0)+IF(alphaV=2,$ES$115,0)+IF(alphaV=3,$ES$116,0)+IF(alphaV=4,$ES$117,0)+IF(alphaV=5,FA150,0)</f>
        <v>1.6239447871927648</v>
      </c>
      <c r="FB110" s="56">
        <v>2047</v>
      </c>
      <c r="FS110">
        <f t="shared" si="296"/>
        <v>2047</v>
      </c>
      <c r="FT110" s="5">
        <f t="shared" si="442"/>
        <v>0</v>
      </c>
    </row>
    <row r="111" spans="1:193" x14ac:dyDescent="0.35">
      <c r="H111">
        <f t="shared" si="444"/>
        <v>2002</v>
      </c>
      <c r="I111" s="26">
        <f t="shared" si="445"/>
        <v>0.14792153507775563</v>
      </c>
      <c r="J111">
        <f t="shared" si="446"/>
        <v>0.10250000000000008</v>
      </c>
      <c r="L111" s="46" t="s">
        <v>107</v>
      </c>
      <c r="M111" s="46">
        <v>6.0924534834332647E-2</v>
      </c>
      <c r="AH111" s="61">
        <v>2048</v>
      </c>
      <c r="AI111" s="74">
        <f t="shared" si="401"/>
        <v>0.2</v>
      </c>
      <c r="AT111" s="61">
        <f t="shared" si="450"/>
        <v>2019</v>
      </c>
      <c r="AU111" s="26">
        <f t="shared" ref="AU111:AU132" si="456">AU110+$AU$107</f>
        <v>1.4255671167791445E-3</v>
      </c>
      <c r="AV111" s="26"/>
      <c r="AY111" t="s">
        <v>323</v>
      </c>
      <c r="AZ111" s="72">
        <f>SQRT(AZ110)</f>
        <v>3.0335586474123493</v>
      </c>
      <c r="BN111">
        <f t="shared" si="451"/>
        <v>2021</v>
      </c>
      <c r="BO111" s="26">
        <f t="shared" ref="BO111:BO130" si="457">BO110+$BO$107</f>
        <v>-1.1064914186441464</v>
      </c>
      <c r="BR111" s="199"/>
      <c r="CA111" s="78">
        <v>2048</v>
      </c>
      <c r="CB111" s="91">
        <f t="shared" si="389"/>
        <v>0.13799999999999998</v>
      </c>
      <c r="CO111">
        <f t="shared" si="452"/>
        <v>2021</v>
      </c>
      <c r="CP111" s="26">
        <f t="shared" ref="CP111:CP130" si="458">CP110+$CP$107</f>
        <v>-1.1064914186441464</v>
      </c>
      <c r="CU111">
        <f t="shared" si="453"/>
        <v>2021</v>
      </c>
      <c r="CV111" s="26">
        <f t="shared" si="454"/>
        <v>-1.1064914186441464</v>
      </c>
      <c r="CZ111">
        <f t="shared" si="448"/>
        <v>2019</v>
      </c>
      <c r="DA111" s="26">
        <f t="shared" si="447"/>
        <v>1.4255671167791445E-3</v>
      </c>
      <c r="DF111" s="61">
        <v>2048</v>
      </c>
      <c r="DG111" s="26">
        <v>7.6142131979695434E-3</v>
      </c>
      <c r="DH111" s="26">
        <v>0.29512169725367693</v>
      </c>
      <c r="DI111" s="26">
        <v>0.6060236886632826</v>
      </c>
      <c r="DJ111" s="26">
        <v>8.8702329819081091E-2</v>
      </c>
      <c r="DK111" s="26">
        <v>2.5380710659898475E-3</v>
      </c>
      <c r="DO111" s="76" t="e">
        <f>NA()</f>
        <v>#N/A</v>
      </c>
      <c r="DP111" s="119">
        <f t="shared" si="359"/>
        <v>2.5024884869999999</v>
      </c>
      <c r="DQ111" s="109">
        <f t="shared" si="378"/>
        <v>1.1144526043</v>
      </c>
      <c r="DR111" s="109">
        <f t="shared" si="378"/>
        <v>-0.57392922950000003</v>
      </c>
      <c r="DS111" s="109">
        <f t="shared" si="378"/>
        <v>-0.15482546589999999</v>
      </c>
      <c r="DT111" s="113" cm="1">
        <f t="array" ref="DT111">IF(alphaV=1,$DN$11+SUMPRODUCT(DP$11:$DS$11*DP111:DS111),0)+IF(alphaV=2,$DY$104,0)+IF(alphaV=3,$DY$105,0)+IF(alphaV=4,$DY$106,0)+IF(alphaV=5,DY139,0)</f>
        <v>0.11617906224428368</v>
      </c>
      <c r="DU111" s="76" t="e">
        <f>NA()</f>
        <v>#N/A</v>
      </c>
      <c r="DV111" s="76" t="e">
        <f>NA()</f>
        <v>#N/A</v>
      </c>
      <c r="DW111" s="199"/>
      <c r="DX111" s="61">
        <f t="shared" si="449"/>
        <v>2020</v>
      </c>
      <c r="DY111" s="26">
        <f t="shared" si="455"/>
        <v>-2.2137822866525938</v>
      </c>
      <c r="EE111" s="72">
        <f t="shared" si="414"/>
        <v>1.8766336221867335E-2</v>
      </c>
      <c r="EF111" s="19">
        <v>2048</v>
      </c>
      <c r="EG111">
        <f t="shared" si="426"/>
        <v>0.13799999999999998</v>
      </c>
      <c r="EH111" s="97">
        <f t="shared" si="427"/>
        <v>12.998839319688587</v>
      </c>
      <c r="EI111" s="97">
        <f t="shared" si="428"/>
        <v>503.20444344603663</v>
      </c>
      <c r="EJ111" s="97">
        <f t="shared" si="429"/>
        <v>1025.7920164646764</v>
      </c>
      <c r="EK111" s="97">
        <f t="shared" si="430"/>
        <v>147.68809942534415</v>
      </c>
      <c r="EL111" s="97">
        <f t="shared" si="431"/>
        <v>4.160451325967693</v>
      </c>
      <c r="EM111" s="111">
        <f t="shared" si="432"/>
        <v>1693.8438499817134</v>
      </c>
      <c r="EN111" s="209">
        <f t="shared" si="410"/>
        <v>27.400603635037381</v>
      </c>
      <c r="EO111" s="4">
        <v>0</v>
      </c>
      <c r="EP111" s="92">
        <f t="shared" si="433"/>
        <v>233.75045129747642</v>
      </c>
      <c r="EQ111" s="92">
        <f t="shared" si="434"/>
        <v>261.15105493251377</v>
      </c>
      <c r="ER111" s="128">
        <f t="shared" si="443"/>
        <v>0.15417658182324961</v>
      </c>
      <c r="ES111" s="111">
        <f t="shared" si="435"/>
        <v>1432.6927950491997</v>
      </c>
      <c r="ET111" s="72">
        <f t="shared" si="364"/>
        <v>0.11617906224428368</v>
      </c>
      <c r="EU111" s="96">
        <f t="shared" si="436"/>
        <v>0.79216644167789763</v>
      </c>
      <c r="EV111" s="92">
        <f t="shared" si="437"/>
        <v>792.16644167789764</v>
      </c>
      <c r="EW111" s="120">
        <f t="shared" si="438"/>
        <v>-0.87704872899999997</v>
      </c>
      <c r="EX111" s="127">
        <f t="shared" si="439"/>
        <v>1.1144526043</v>
      </c>
      <c r="EY111" s="9">
        <f t="shared" si="440"/>
        <v>-0.57392922950000003</v>
      </c>
      <c r="EZ111" s="9">
        <f t="shared" si="441"/>
        <v>-0.15482546589999999</v>
      </c>
      <c r="FA111" s="113" cm="1">
        <f t="array" ref="FA111">IF(alphaV=1,$DN$11+SUMPRODUCT($DP$11:$DS$11*EW111:EZ111),0)+IF(alphaV=2,$ES$115,0)+IF(alphaV=3,$ES$116,0)+IF(alphaV=4,$ES$117,0)+IF(alphaV=5,FA151,0)</f>
        <v>1.6239447871927648</v>
      </c>
      <c r="FB111" s="56">
        <v>2048</v>
      </c>
      <c r="FS111">
        <f t="shared" si="296"/>
        <v>2048</v>
      </c>
      <c r="FT111" s="5">
        <f t="shared" si="442"/>
        <v>0</v>
      </c>
    </row>
    <row r="112" spans="1:193" ht="15" thickBot="1" x14ac:dyDescent="0.4">
      <c r="H112">
        <f t="shared" si="444"/>
        <v>2003</v>
      </c>
      <c r="I112" s="26">
        <f t="shared" si="445"/>
        <v>0.25509588830895696</v>
      </c>
      <c r="J112">
        <f t="shared" si="446"/>
        <v>0.13850000000000012</v>
      </c>
      <c r="L112" s="47" t="s">
        <v>108</v>
      </c>
      <c r="M112" s="47">
        <v>19</v>
      </c>
      <c r="AH112" s="61">
        <v>2049</v>
      </c>
      <c r="AI112" s="74">
        <f t="shared" si="401"/>
        <v>0.2</v>
      </c>
      <c r="AT112" s="61">
        <f t="shared" si="450"/>
        <v>2020</v>
      </c>
      <c r="AU112" s="26">
        <f t="shared" si="456"/>
        <v>-5.6004208789133501E-2</v>
      </c>
      <c r="AV112" s="26"/>
      <c r="BN112">
        <f t="shared" si="451"/>
        <v>2022</v>
      </c>
      <c r="BO112" s="26">
        <f t="shared" si="457"/>
        <v>-1.2732612430692456</v>
      </c>
      <c r="BR112" s="199"/>
      <c r="CA112" s="78">
        <v>2049</v>
      </c>
      <c r="CB112" s="91">
        <f t="shared" si="389"/>
        <v>0.13799999999999998</v>
      </c>
      <c r="CO112">
        <f t="shared" si="452"/>
        <v>2022</v>
      </c>
      <c r="CP112" s="26">
        <f t="shared" si="458"/>
        <v>-1.2732612430692456</v>
      </c>
      <c r="CU112">
        <f t="shared" si="453"/>
        <v>2022</v>
      </c>
      <c r="CV112" s="26">
        <f t="shared" si="454"/>
        <v>-1.2732612430692456</v>
      </c>
      <c r="CZ112">
        <f t="shared" si="448"/>
        <v>2020</v>
      </c>
      <c r="DA112" s="26">
        <f t="shared" si="447"/>
        <v>-5.6004208789133501E-2</v>
      </c>
      <c r="DF112" s="61">
        <v>2049</v>
      </c>
      <c r="DG112" s="26">
        <v>7.6142131979695434E-3</v>
      </c>
      <c r="DH112" s="26">
        <v>0.29512169725367693</v>
      </c>
      <c r="DI112" s="26">
        <v>0.6060236886632826</v>
      </c>
      <c r="DJ112" s="26">
        <v>8.8702329819081091E-2</v>
      </c>
      <c r="DK112" s="26">
        <v>2.5380710659898475E-3</v>
      </c>
      <c r="DO112" s="76" t="e">
        <f>NA()</f>
        <v>#N/A</v>
      </c>
      <c r="DP112" s="119">
        <f t="shared" si="359"/>
        <v>2.5024884869999999</v>
      </c>
      <c r="DQ112" s="109">
        <f t="shared" si="378"/>
        <v>1.1144526043</v>
      </c>
      <c r="DR112" s="109">
        <f t="shared" si="378"/>
        <v>-0.57392922950000003</v>
      </c>
      <c r="DS112" s="109">
        <f t="shared" si="378"/>
        <v>-0.15482546589999999</v>
      </c>
      <c r="DT112" s="113" cm="1">
        <f t="array" ref="DT112">IF(alphaV=1,$DN$11+SUMPRODUCT(DP$11:$DS$11*DP112:DS112),0)+IF(alphaV=2,$DY$104,0)+IF(alphaV=3,$DY$105,0)+IF(alphaV=4,$DY$106,0)+IF(alphaV=5,DY140,0)</f>
        <v>0.11617906224428368</v>
      </c>
      <c r="DU112" s="76" t="e">
        <f>NA()</f>
        <v>#N/A</v>
      </c>
      <c r="DV112" s="76" t="e">
        <f>NA()</f>
        <v>#N/A</v>
      </c>
      <c r="DW112" s="199"/>
      <c r="DX112" s="61">
        <f t="shared" si="449"/>
        <v>2021</v>
      </c>
      <c r="DY112" s="26">
        <f t="shared" si="455"/>
        <v>-2.4419022136789277</v>
      </c>
      <c r="EE112" s="72">
        <f t="shared" si="414"/>
        <v>1.8766336221867335E-2</v>
      </c>
      <c r="EF112" s="19">
        <v>2049</v>
      </c>
      <c r="EG112">
        <f t="shared" si="426"/>
        <v>0.13799999999999998</v>
      </c>
      <c r="EH112" s="97">
        <f t="shared" si="427"/>
        <v>12.847156775713263</v>
      </c>
      <c r="EI112" s="97">
        <f t="shared" si="428"/>
        <v>503.82612393586822</v>
      </c>
      <c r="EJ112" s="97">
        <f t="shared" si="429"/>
        <v>1033.3154620847583</v>
      </c>
      <c r="EK112" s="97">
        <f t="shared" si="430"/>
        <v>150.1428796800478</v>
      </c>
      <c r="EL112" s="97">
        <f t="shared" si="431"/>
        <v>4.2258517076951003</v>
      </c>
      <c r="EM112" s="111">
        <f t="shared" si="432"/>
        <v>1704.3574741840828</v>
      </c>
      <c r="EN112" s="209">
        <f t="shared" si="410"/>
        <v>27.57067813720591</v>
      </c>
      <c r="EO112" s="4">
        <v>0</v>
      </c>
      <c r="EP112" s="92">
        <f t="shared" si="433"/>
        <v>235.20133143740338</v>
      </c>
      <c r="EQ112" s="92">
        <f t="shared" si="434"/>
        <v>262.77200957460929</v>
      </c>
      <c r="ER112" s="128">
        <f t="shared" si="443"/>
        <v>0.15417658182324961</v>
      </c>
      <c r="ES112" s="111">
        <f t="shared" si="435"/>
        <v>1441.5854646094735</v>
      </c>
      <c r="ET112" s="72">
        <f t="shared" si="364"/>
        <v>0.11617906224428368</v>
      </c>
      <c r="EU112" s="96">
        <f t="shared" si="436"/>
        <v>0.7201232527017718</v>
      </c>
      <c r="EV112" s="92">
        <f t="shared" si="437"/>
        <v>720.12325270177178</v>
      </c>
      <c r="EW112" s="120">
        <f t="shared" si="438"/>
        <v>-0.87704872899999997</v>
      </c>
      <c r="EX112" s="127">
        <f t="shared" si="439"/>
        <v>1.1144526043</v>
      </c>
      <c r="EY112" s="9">
        <f t="shared" si="440"/>
        <v>-0.57392922950000003</v>
      </c>
      <c r="EZ112" s="9">
        <f t="shared" si="441"/>
        <v>-0.15482546589999999</v>
      </c>
      <c r="FA112" s="113" cm="1">
        <f t="array" ref="FA112">IF(alphaV=1,$DN$11+SUMPRODUCT($DP$11:$DS$11*EW112:EZ112),0)+IF(alphaV=2,$ES$115,0)+IF(alphaV=3,$ES$116,0)+IF(alphaV=4,$ES$117,0)+IF(alphaV=5,FA152,0)</f>
        <v>1.6239447871927648</v>
      </c>
      <c r="FB112" s="56">
        <v>2049</v>
      </c>
      <c r="FS112">
        <f t="shared" si="296"/>
        <v>2049</v>
      </c>
      <c r="FT112" s="5">
        <f t="shared" si="442"/>
        <v>0</v>
      </c>
    </row>
    <row r="113" spans="8:176" x14ac:dyDescent="0.35">
      <c r="H113">
        <f t="shared" si="444"/>
        <v>2004</v>
      </c>
      <c r="I113" s="26">
        <f t="shared" si="445"/>
        <v>0.18975647470329315</v>
      </c>
      <c r="J113">
        <f t="shared" si="446"/>
        <v>0.14549999999999985</v>
      </c>
      <c r="AH113" s="61">
        <v>2050</v>
      </c>
      <c r="AI113" s="74">
        <f t="shared" si="401"/>
        <v>0.2</v>
      </c>
      <c r="AT113" s="61">
        <f t="shared" si="450"/>
        <v>2021</v>
      </c>
      <c r="AU113" s="26">
        <f t="shared" si="456"/>
        <v>-0.11343398469504615</v>
      </c>
      <c r="AV113" s="26"/>
      <c r="BN113">
        <f t="shared" si="451"/>
        <v>2023</v>
      </c>
      <c r="BO113" s="26">
        <f t="shared" si="457"/>
        <v>-1.4400310674943448</v>
      </c>
      <c r="BR113" s="199"/>
      <c r="CA113" s="78">
        <v>2050</v>
      </c>
      <c r="CB113" s="91">
        <f t="shared" si="389"/>
        <v>0.13799999999999998</v>
      </c>
      <c r="CO113">
        <f t="shared" si="452"/>
        <v>2023</v>
      </c>
      <c r="CP113" s="26">
        <f t="shared" si="458"/>
        <v>-1.4400310674943448</v>
      </c>
      <c r="CU113">
        <f t="shared" si="453"/>
        <v>2023</v>
      </c>
      <c r="CV113" s="26">
        <f t="shared" si="454"/>
        <v>-1.4400310674943448</v>
      </c>
      <c r="CZ113">
        <f t="shared" si="448"/>
        <v>2021</v>
      </c>
      <c r="DA113" s="26">
        <f t="shared" si="447"/>
        <v>-0.11343398469504615</v>
      </c>
      <c r="DF113" s="61">
        <v>2050</v>
      </c>
      <c r="DG113" s="26">
        <v>7.6142131979695434E-3</v>
      </c>
      <c r="DH113" s="26">
        <v>0.29512169725367693</v>
      </c>
      <c r="DI113" s="26">
        <v>0.6060236886632826</v>
      </c>
      <c r="DJ113" s="26">
        <v>8.8702329819081091E-2</v>
      </c>
      <c r="DK113" s="26">
        <v>2.5380710659898475E-3</v>
      </c>
      <c r="DO113" s="76" t="e">
        <f>NA()</f>
        <v>#N/A</v>
      </c>
      <c r="DP113" s="119">
        <f t="shared" si="359"/>
        <v>2.5024884869999999</v>
      </c>
      <c r="DQ113" s="109">
        <f t="shared" si="378"/>
        <v>1.1144526043</v>
      </c>
      <c r="DR113" s="109">
        <f t="shared" si="378"/>
        <v>-0.57392922950000003</v>
      </c>
      <c r="DS113" s="109">
        <f t="shared" si="378"/>
        <v>-0.15482546589999999</v>
      </c>
      <c r="DT113" s="113" cm="1">
        <f t="array" ref="DT113">IF(alphaV=1,$DN$11+SUMPRODUCT(DP$11:$DS$11*DP113:DS113),0)+IF(alphaV=2,$DY$104,0)+IF(alphaV=3,$DY$105,0)+IF(alphaV=4,$DY$106,0)+IF(alphaV=5,DY141,0)</f>
        <v>0.11617906224428368</v>
      </c>
      <c r="DU113" s="76" t="e">
        <f>NA()</f>
        <v>#N/A</v>
      </c>
      <c r="DV113" s="76" t="e">
        <f>NA()</f>
        <v>#N/A</v>
      </c>
      <c r="DW113" s="199"/>
      <c r="DX113" s="61">
        <f t="shared" si="449"/>
        <v>2022</v>
      </c>
      <c r="DY113" s="26">
        <f t="shared" si="455"/>
        <v>-2.6700221407052616</v>
      </c>
      <c r="EE113" s="72">
        <f t="shared" si="414"/>
        <v>1.8766336221867335E-2</v>
      </c>
      <c r="EF113" s="19">
        <v>2050</v>
      </c>
      <c r="EG113">
        <f t="shared" si="426"/>
        <v>0.13799999999999998</v>
      </c>
      <c r="EH113" s="97">
        <f t="shared" si="427"/>
        <v>12.590020782549084</v>
      </c>
      <c r="EI113" s="97">
        <f t="shared" si="428"/>
        <v>497.94701224594462</v>
      </c>
      <c r="EJ113" s="97">
        <f t="shared" si="429"/>
        <v>1034.5920646088143</v>
      </c>
      <c r="EK113" s="97">
        <f t="shared" si="430"/>
        <v>151.24406956297202</v>
      </c>
      <c r="EL113" s="97">
        <f t="shared" si="431"/>
        <v>4.2960912014100243</v>
      </c>
      <c r="EM113" s="111">
        <f t="shared" si="432"/>
        <v>1700.6692584016901</v>
      </c>
      <c r="EN113" s="209">
        <f t="shared" si="410"/>
        <v>27.511015412820232</v>
      </c>
      <c r="EO113" s="4">
        <v>0</v>
      </c>
      <c r="EP113" s="92">
        <f t="shared" si="433"/>
        <v>234.69235765943321</v>
      </c>
      <c r="EQ113" s="92">
        <f>SUM(EN113:EP113)</f>
        <v>262.20337307225344</v>
      </c>
      <c r="ER113" s="128">
        <f t="shared" si="443"/>
        <v>0.15417658182324964</v>
      </c>
      <c r="ES113" s="111">
        <f t="shared" si="435"/>
        <v>1438.4658853294366</v>
      </c>
      <c r="ET113" s="72">
        <f t="shared" si="364"/>
        <v>0.11617906224428368</v>
      </c>
      <c r="EU113" s="96">
        <f t="shared" si="436"/>
        <v>0.65720846128593324</v>
      </c>
      <c r="EV113" s="92">
        <f t="shared" si="437"/>
        <v>657.20846128593325</v>
      </c>
      <c r="EW113" s="120">
        <f t="shared" si="438"/>
        <v>-0.87704872899999997</v>
      </c>
      <c r="EX113" s="127">
        <f t="shared" si="439"/>
        <v>1.1144526043</v>
      </c>
      <c r="EY113" s="9">
        <f t="shared" si="440"/>
        <v>-0.57392922950000003</v>
      </c>
      <c r="EZ113" s="9">
        <f t="shared" si="441"/>
        <v>-0.15482546589999999</v>
      </c>
      <c r="FA113" s="113" cm="1">
        <f t="array" ref="FA113">IF(alphaV=1,$DN$11+SUMPRODUCT($DP$11:$DS$11*EW113:EZ113),0)+IF(alphaV=2,$ES$115,0)+IF(alphaV=3,$ES$116,0)+IF(alphaV=4,$ES$117,0)+IF(alphaV=5,FA153,0)</f>
        <v>1.6239447871927648</v>
      </c>
      <c r="FB113" s="56">
        <v>2050</v>
      </c>
      <c r="FS113">
        <f t="shared" si="296"/>
        <v>2050</v>
      </c>
      <c r="FT113" s="5">
        <f t="shared" si="442"/>
        <v>0</v>
      </c>
    </row>
    <row r="114" spans="8:176" ht="15" thickBot="1" x14ac:dyDescent="0.4">
      <c r="H114">
        <f t="shared" si="444"/>
        <v>2005</v>
      </c>
      <c r="I114" s="26">
        <f t="shared" si="445"/>
        <v>0.2621207108581336</v>
      </c>
      <c r="J114">
        <f t="shared" si="446"/>
        <v>0.21200000000000005</v>
      </c>
      <c r="L114" t="s">
        <v>109</v>
      </c>
      <c r="AH114" s="61"/>
      <c r="AT114" s="61">
        <f t="shared" si="450"/>
        <v>2022</v>
      </c>
      <c r="AU114" s="26">
        <f t="shared" si="456"/>
        <v>-0.17086376060095879</v>
      </c>
      <c r="AV114" s="26"/>
      <c r="BN114">
        <f t="shared" si="451"/>
        <v>2024</v>
      </c>
      <c r="BO114" s="26">
        <f t="shared" si="457"/>
        <v>-1.6068008919194441</v>
      </c>
      <c r="BR114" s="199"/>
      <c r="CO114">
        <f t="shared" si="452"/>
        <v>2024</v>
      </c>
      <c r="CP114" s="26">
        <f t="shared" si="458"/>
        <v>-1.6068008919194441</v>
      </c>
      <c r="CU114">
        <f t="shared" si="453"/>
        <v>2024</v>
      </c>
      <c r="CV114" s="26">
        <f t="shared" si="454"/>
        <v>-1.6068008919194441</v>
      </c>
      <c r="CZ114">
        <f t="shared" si="448"/>
        <v>2022</v>
      </c>
      <c r="DA114" s="26">
        <f t="shared" si="447"/>
        <v>-0.17086376060095879</v>
      </c>
      <c r="DO114" s="76" t="e">
        <f>NA()</f>
        <v>#N/A</v>
      </c>
      <c r="DP114" s="119">
        <f t="shared" si="359"/>
        <v>2.5024884869999999</v>
      </c>
      <c r="DQ114" s="109">
        <f t="shared" si="378"/>
        <v>1.1144526043</v>
      </c>
      <c r="DR114" s="109">
        <f t="shared" si="378"/>
        <v>-0.57392922950000003</v>
      </c>
      <c r="DS114" s="109">
        <f t="shared" si="378"/>
        <v>-0.15482546589999999</v>
      </c>
      <c r="DT114" s="113" cm="1">
        <f t="array" ref="DT114">IF(alphaV=1,$DN$11+SUMPRODUCT(DP$11:$DS$11*DP114:DS114),0)+IF(alphaV=2,$DY$104,0)+IF(alphaV=3,$DY$105,0)+IF(alphaV=4,$DY$106,0)+IF(alphaV=5,DY142,0)</f>
        <v>0.11617906224428368</v>
      </c>
      <c r="DU114" s="76" t="e">
        <f>NA()</f>
        <v>#N/A</v>
      </c>
      <c r="DV114" s="76" t="e">
        <f>NA()</f>
        <v>#N/A</v>
      </c>
      <c r="DW114" s="199"/>
      <c r="DX114" s="61">
        <f t="shared" si="449"/>
        <v>2023</v>
      </c>
      <c r="DY114" s="26">
        <f t="shared" si="455"/>
        <v>-2.8981420677315954</v>
      </c>
    </row>
    <row r="115" spans="8:176" x14ac:dyDescent="0.35">
      <c r="H115">
        <f t="shared" si="444"/>
        <v>2006</v>
      </c>
      <c r="I115" s="26">
        <f t="shared" si="445"/>
        <v>0.26569915366442842</v>
      </c>
      <c r="J115">
        <f t="shared" si="446"/>
        <v>0.11999999999999991</v>
      </c>
      <c r="L115" s="48"/>
      <c r="M115" s="48" t="s">
        <v>113</v>
      </c>
      <c r="N115" s="48" t="s">
        <v>114</v>
      </c>
      <c r="O115" s="48" t="s">
        <v>115</v>
      </c>
      <c r="P115" s="48" t="s">
        <v>116</v>
      </c>
      <c r="Q115" s="48" t="s">
        <v>117</v>
      </c>
      <c r="AH115" s="61"/>
      <c r="AT115" s="61">
        <f t="shared" si="450"/>
        <v>2023</v>
      </c>
      <c r="AU115" s="26">
        <f t="shared" si="456"/>
        <v>-0.22829353650687143</v>
      </c>
      <c r="AV115" s="26"/>
      <c r="BN115">
        <f t="shared" si="451"/>
        <v>2025</v>
      </c>
      <c r="BO115" s="26">
        <f t="shared" si="457"/>
        <v>-1.7735707163445433</v>
      </c>
      <c r="BR115" s="199"/>
      <c r="CO115">
        <f t="shared" si="452"/>
        <v>2025</v>
      </c>
      <c r="CP115" s="26">
        <f t="shared" si="458"/>
        <v>-1.7735707163445433</v>
      </c>
      <c r="CU115">
        <f t="shared" si="453"/>
        <v>2025</v>
      </c>
      <c r="CV115" s="26">
        <f t="shared" si="454"/>
        <v>-1.7735707163445433</v>
      </c>
      <c r="CZ115">
        <f t="shared" si="448"/>
        <v>2023</v>
      </c>
      <c r="DA115" s="26">
        <f t="shared" si="447"/>
        <v>-0.22829353650687143</v>
      </c>
      <c r="DO115" s="76" t="e">
        <f>NA()</f>
        <v>#N/A</v>
      </c>
      <c r="DP115" s="119">
        <f t="shared" si="359"/>
        <v>2.5024884869999999</v>
      </c>
      <c r="DQ115" s="109">
        <f t="shared" si="378"/>
        <v>1.1144526043</v>
      </c>
      <c r="DR115" s="109">
        <f t="shared" si="378"/>
        <v>-0.57392922950000003</v>
      </c>
      <c r="DS115" s="109">
        <f t="shared" si="378"/>
        <v>-0.15482546589999999</v>
      </c>
      <c r="DT115" s="113" cm="1">
        <f t="array" ref="DT115">IF(alphaV=1,$DN$11+SUMPRODUCT(DP$11:$DS$11*DP115:DS115),0)+IF(alphaV=2,$DY$104,0)+IF(alphaV=3,$DY$105,0)+IF(alphaV=4,$DY$106,0)+IF(alphaV=5,DY143,0)</f>
        <v>0.11617906224428368</v>
      </c>
      <c r="DU115" s="76" t="e">
        <f>NA()</f>
        <v>#N/A</v>
      </c>
      <c r="DV115" s="76" t="e">
        <f>NA()</f>
        <v>#N/A</v>
      </c>
      <c r="DW115" s="199"/>
      <c r="DX115" s="61">
        <f t="shared" si="449"/>
        <v>2024</v>
      </c>
      <c r="DY115" s="26">
        <f t="shared" si="455"/>
        <v>-3.1262619947579293</v>
      </c>
      <c r="ER115" t="s">
        <v>354</v>
      </c>
      <c r="ES115" s="128">
        <f>AVERAGE(FA$61:FA$80)</f>
        <v>1.6239447871927648</v>
      </c>
    </row>
    <row r="116" spans="8:176" x14ac:dyDescent="0.35">
      <c r="H116">
        <f t="shared" si="444"/>
        <v>2007</v>
      </c>
      <c r="I116" s="26">
        <f t="shared" si="445"/>
        <v>0.23533793702535574</v>
      </c>
      <c r="J116">
        <f t="shared" si="446"/>
        <v>0.16300000000000003</v>
      </c>
      <c r="L116" s="46" t="s">
        <v>110</v>
      </c>
      <c r="M116" s="46">
        <v>1</v>
      </c>
      <c r="N116" s="46">
        <v>0.40503061899396342</v>
      </c>
      <c r="O116" s="46">
        <v>0.40503061899396342</v>
      </c>
      <c r="P116" s="46">
        <v>109.11976241697818</v>
      </c>
      <c r="Q116" s="46">
        <v>8.1364161575705476E-9</v>
      </c>
      <c r="AH116" s="61"/>
      <c r="AT116" s="61">
        <f t="shared" si="450"/>
        <v>2024</v>
      </c>
      <c r="AU116" s="26">
        <f t="shared" si="456"/>
        <v>-0.28572331241278409</v>
      </c>
      <c r="AV116" s="26"/>
      <c r="BN116">
        <f t="shared" si="451"/>
        <v>2026</v>
      </c>
      <c r="BO116" s="26">
        <f t="shared" si="457"/>
        <v>-1.9403405407696426</v>
      </c>
      <c r="BR116" s="199"/>
      <c r="CO116">
        <f t="shared" si="452"/>
        <v>2026</v>
      </c>
      <c r="CP116" s="26">
        <f t="shared" si="458"/>
        <v>-1.9403405407696426</v>
      </c>
      <c r="CU116">
        <f t="shared" si="453"/>
        <v>2026</v>
      </c>
      <c r="CV116" s="26">
        <f t="shared" si="454"/>
        <v>-1.9403405407696426</v>
      </c>
      <c r="CZ116">
        <f t="shared" si="448"/>
        <v>2024</v>
      </c>
      <c r="DA116" s="26">
        <f t="shared" si="447"/>
        <v>-0.28572331241278409</v>
      </c>
      <c r="DX116" s="61">
        <f t="shared" si="449"/>
        <v>2025</v>
      </c>
      <c r="DY116" s="26">
        <f t="shared" si="455"/>
        <v>-3.3543819217842632</v>
      </c>
      <c r="ER116" t="s">
        <v>355</v>
      </c>
      <c r="ES116" s="128">
        <f>AVERAGE(FA$71:FA$80)</f>
        <v>1.4873647122115197</v>
      </c>
    </row>
    <row r="117" spans="8:176" x14ac:dyDescent="0.35">
      <c r="H117">
        <f t="shared" si="444"/>
        <v>2008</v>
      </c>
      <c r="I117" s="26">
        <f t="shared" si="445"/>
        <v>0.20287027983265396</v>
      </c>
      <c r="J117">
        <f t="shared" si="446"/>
        <v>0.10499999999999994</v>
      </c>
      <c r="L117" s="46" t="s">
        <v>111</v>
      </c>
      <c r="M117" s="46">
        <v>18</v>
      </c>
      <c r="N117" s="46">
        <v>6.681238100603662E-2</v>
      </c>
      <c r="O117" s="46">
        <v>3.7117989447798122E-3</v>
      </c>
      <c r="P117" s="46"/>
      <c r="Q117" s="46"/>
      <c r="AH117" s="61"/>
      <c r="AT117" s="61">
        <f t="shared" si="450"/>
        <v>2025</v>
      </c>
      <c r="AU117" s="26">
        <f t="shared" si="456"/>
        <v>-0.34315308831869673</v>
      </c>
      <c r="AV117" s="26"/>
      <c r="BN117">
        <f t="shared" si="451"/>
        <v>2027</v>
      </c>
      <c r="BO117" s="26">
        <f t="shared" si="457"/>
        <v>-2.1071103651947416</v>
      </c>
      <c r="BR117" s="199"/>
      <c r="CO117">
        <f t="shared" si="452"/>
        <v>2027</v>
      </c>
      <c r="CP117" s="26">
        <f t="shared" si="458"/>
        <v>-2.1071103651947416</v>
      </c>
      <c r="CU117">
        <f t="shared" si="453"/>
        <v>2027</v>
      </c>
      <c r="CV117" s="26">
        <f t="shared" si="454"/>
        <v>-2.1071103651947416</v>
      </c>
      <c r="CZ117">
        <f t="shared" si="448"/>
        <v>2025</v>
      </c>
      <c r="DA117" s="26">
        <f t="shared" si="447"/>
        <v>-0.34315308831869673</v>
      </c>
      <c r="DX117" s="61">
        <f t="shared" si="449"/>
        <v>2026</v>
      </c>
      <c r="DY117" s="26">
        <f t="shared" si="455"/>
        <v>-3.5825018488105971</v>
      </c>
      <c r="ER117" t="s">
        <v>356</v>
      </c>
      <c r="ES117" s="128">
        <f>AVERAGE(FA$76:FA$80)</f>
        <v>1.2617818122217788</v>
      </c>
    </row>
    <row r="118" spans="8:176" ht="15" thickBot="1" x14ac:dyDescent="0.4">
      <c r="H118">
        <f t="shared" ref="H118:H124" si="459">A73</f>
        <v>2010</v>
      </c>
      <c r="I118" s="26">
        <f t="shared" ref="I118:I124" si="460">J73</f>
        <v>8.0120544316124434E-2</v>
      </c>
      <c r="J118">
        <f t="shared" ref="J118:J124" si="461">BV73</f>
        <v>0.10000000000000007</v>
      </c>
      <c r="L118" s="47" t="s">
        <v>9</v>
      </c>
      <c r="M118" s="47">
        <v>19</v>
      </c>
      <c r="N118" s="47">
        <v>0.47184300000000001</v>
      </c>
      <c r="O118" s="47"/>
      <c r="P118" s="47"/>
      <c r="Q118" s="47"/>
      <c r="AH118" s="61"/>
      <c r="AT118" s="61">
        <f t="shared" si="450"/>
        <v>2026</v>
      </c>
      <c r="AU118" s="26">
        <f t="shared" si="456"/>
        <v>-0.40058286422460937</v>
      </c>
      <c r="AV118" s="26"/>
      <c r="BN118">
        <f t="shared" si="451"/>
        <v>2028</v>
      </c>
      <c r="BO118" s="26">
        <f t="shared" si="457"/>
        <v>-2.2738801896198408</v>
      </c>
      <c r="BR118" s="199"/>
      <c r="CO118">
        <f t="shared" si="452"/>
        <v>2028</v>
      </c>
      <c r="CP118" s="26">
        <f t="shared" si="458"/>
        <v>-2.2738801896198408</v>
      </c>
      <c r="CU118">
        <f t="shared" si="453"/>
        <v>2028</v>
      </c>
      <c r="CV118" s="26">
        <f t="shared" si="454"/>
        <v>-2.2738801896198408</v>
      </c>
      <c r="CZ118">
        <f t="shared" si="448"/>
        <v>2026</v>
      </c>
      <c r="DA118" s="26">
        <f t="shared" si="447"/>
        <v>-0.40058286422460937</v>
      </c>
      <c r="DX118" s="61">
        <f t="shared" si="449"/>
        <v>2027</v>
      </c>
      <c r="DY118" s="26">
        <f t="shared" si="455"/>
        <v>-3.810621775836931</v>
      </c>
      <c r="ER118" t="s">
        <v>362</v>
      </c>
      <c r="ES118">
        <f>SLOPE(FA71:FA80,FB71:FB80)</f>
        <v>-9.2444452951923495E-2</v>
      </c>
    </row>
    <row r="119" spans="8:176" ht="15" thickBot="1" x14ac:dyDescent="0.4">
      <c r="H119">
        <f t="shared" si="459"/>
        <v>2011</v>
      </c>
      <c r="I119" s="26">
        <f t="shared" si="460"/>
        <v>0.24058744294460993</v>
      </c>
      <c r="J119">
        <f t="shared" si="461"/>
        <v>0.10000000000000005</v>
      </c>
      <c r="AT119" s="61">
        <f t="shared" si="450"/>
        <v>2027</v>
      </c>
      <c r="AU119" s="26">
        <f t="shared" si="456"/>
        <v>-0.45801264013052201</v>
      </c>
      <c r="AV119" s="26"/>
      <c r="BN119">
        <f t="shared" si="451"/>
        <v>2029</v>
      </c>
      <c r="BO119" s="26">
        <f t="shared" si="457"/>
        <v>-2.4406500140449401</v>
      </c>
      <c r="BR119" s="199"/>
      <c r="CO119">
        <f t="shared" si="452"/>
        <v>2029</v>
      </c>
      <c r="CP119" s="26">
        <f t="shared" si="458"/>
        <v>-2.4406500140449401</v>
      </c>
      <c r="CU119">
        <f t="shared" si="453"/>
        <v>2029</v>
      </c>
      <c r="CV119" s="26">
        <f t="shared" si="454"/>
        <v>-2.4406500140449401</v>
      </c>
      <c r="CZ119">
        <f t="shared" si="448"/>
        <v>2027</v>
      </c>
      <c r="DA119" s="26">
        <f t="shared" si="447"/>
        <v>-0.45801264013052201</v>
      </c>
      <c r="DX119" s="61">
        <f t="shared" si="449"/>
        <v>2028</v>
      </c>
      <c r="DY119" s="26">
        <f t="shared" si="455"/>
        <v>-4.0387417028632644</v>
      </c>
      <c r="ER119" t="s">
        <v>1</v>
      </c>
      <c r="ES119" t="s">
        <v>360</v>
      </c>
    </row>
    <row r="120" spans="8:176" x14ac:dyDescent="0.35">
      <c r="H120">
        <f t="shared" si="459"/>
        <v>2012</v>
      </c>
      <c r="I120" s="26">
        <f t="shared" si="460"/>
        <v>0.18856883391753071</v>
      </c>
      <c r="J120">
        <f t="shared" si="461"/>
        <v>0.2</v>
      </c>
      <c r="L120" s="48"/>
      <c r="M120" s="48" t="s">
        <v>118</v>
      </c>
      <c r="N120" s="48" t="s">
        <v>107</v>
      </c>
      <c r="O120" s="48" t="s">
        <v>119</v>
      </c>
      <c r="P120" s="48" t="s">
        <v>120</v>
      </c>
      <c r="Q120" s="48" t="s">
        <v>121</v>
      </c>
      <c r="R120" s="48" t="s">
        <v>122</v>
      </c>
      <c r="S120" s="48" t="s">
        <v>123</v>
      </c>
      <c r="T120" s="48" t="s">
        <v>124</v>
      </c>
      <c r="AT120" s="61">
        <f t="shared" si="450"/>
        <v>2028</v>
      </c>
      <c r="AU120" s="26">
        <f t="shared" si="456"/>
        <v>-0.5154424160364347</v>
      </c>
      <c r="AV120" s="26"/>
      <c r="BN120">
        <f t="shared" si="451"/>
        <v>2030</v>
      </c>
      <c r="BO120" s="26">
        <f t="shared" si="457"/>
        <v>-2.6074198384700393</v>
      </c>
      <c r="BR120" s="199"/>
      <c r="CO120">
        <f t="shared" si="452"/>
        <v>2030</v>
      </c>
      <c r="CP120" s="26">
        <f t="shared" si="458"/>
        <v>-2.6074198384700393</v>
      </c>
      <c r="CU120">
        <f t="shared" si="453"/>
        <v>2030</v>
      </c>
      <c r="CV120" s="26">
        <f t="shared" si="454"/>
        <v>-2.6074198384700393</v>
      </c>
      <c r="CZ120">
        <f t="shared" si="448"/>
        <v>2028</v>
      </c>
      <c r="DA120" s="26">
        <f t="shared" si="447"/>
        <v>-0.5154424160364347</v>
      </c>
      <c r="DX120" s="61">
        <f t="shared" si="449"/>
        <v>2029</v>
      </c>
      <c r="DY120" s="26">
        <f t="shared" si="455"/>
        <v>-4.2668616298895978</v>
      </c>
      <c r="ER120">
        <f t="shared" ref="ER120:ER142" si="462">FB81</f>
        <v>2018</v>
      </c>
      <c r="ES120" s="26">
        <f>FA80+ES118</f>
        <v>1.0572314116088104</v>
      </c>
    </row>
    <row r="121" spans="8:176" x14ac:dyDescent="0.35">
      <c r="H121">
        <f t="shared" si="459"/>
        <v>2013</v>
      </c>
      <c r="I121" s="26">
        <f t="shared" si="460"/>
        <v>0.27069681105165166</v>
      </c>
      <c r="J121">
        <f t="shared" si="461"/>
        <v>0.11299999999999998</v>
      </c>
      <c r="L121" s="46" t="s">
        <v>112</v>
      </c>
      <c r="M121" s="46">
        <v>0</v>
      </c>
      <c r="N121" s="46" t="e">
        <v>#N/A</v>
      </c>
      <c r="O121" s="46" t="e">
        <v>#N/A</v>
      </c>
      <c r="P121" s="46" t="e">
        <v>#N/A</v>
      </c>
      <c r="Q121" s="46" t="e">
        <v>#N/A</v>
      </c>
      <c r="R121" s="46" t="e">
        <v>#N/A</v>
      </c>
      <c r="S121" s="46" t="e">
        <v>#N/A</v>
      </c>
      <c r="T121" s="46" t="e">
        <v>#N/A</v>
      </c>
      <c r="AT121" s="61">
        <f t="shared" si="450"/>
        <v>2029</v>
      </c>
      <c r="AU121" s="26">
        <f t="shared" si="456"/>
        <v>-0.5728721919423474</v>
      </c>
      <c r="AV121" s="26"/>
      <c r="BN121">
        <f t="shared" si="451"/>
        <v>2031</v>
      </c>
      <c r="BO121" s="26">
        <f t="shared" si="457"/>
        <v>-2.7741896628951386</v>
      </c>
      <c r="BR121" s="199"/>
      <c r="CO121">
        <f t="shared" si="452"/>
        <v>2031</v>
      </c>
      <c r="CP121" s="26">
        <f t="shared" si="458"/>
        <v>-2.7741896628951386</v>
      </c>
      <c r="CU121">
        <f t="shared" si="453"/>
        <v>2031</v>
      </c>
      <c r="CV121" s="26">
        <f t="shared" si="454"/>
        <v>-2.7741896628951386</v>
      </c>
      <c r="CZ121">
        <f t="shared" si="448"/>
        <v>2029</v>
      </c>
      <c r="DA121" s="26">
        <f t="shared" si="447"/>
        <v>-0.5728721919423474</v>
      </c>
      <c r="DX121" s="61">
        <f t="shared" si="449"/>
        <v>2030</v>
      </c>
      <c r="DY121" s="26">
        <f t="shared" si="455"/>
        <v>-4.4949815569159313</v>
      </c>
      <c r="ER121">
        <f t="shared" si="462"/>
        <v>2019</v>
      </c>
      <c r="ES121" s="26">
        <f t="shared" ref="ES121:ES142" si="463">ES120+$ES$118</f>
        <v>0.96478695865688691</v>
      </c>
    </row>
    <row r="122" spans="8:176" ht="15" thickBot="1" x14ac:dyDescent="0.4">
      <c r="H122">
        <f t="shared" si="459"/>
        <v>2014</v>
      </c>
      <c r="I122" s="26">
        <f t="shared" si="460"/>
        <v>0.22700035149764725</v>
      </c>
      <c r="J122">
        <f t="shared" si="461"/>
        <v>0.25</v>
      </c>
      <c r="L122" s="47" t="s">
        <v>292</v>
      </c>
      <c r="M122" s="47">
        <v>0.68593141740490493</v>
      </c>
      <c r="N122" s="47">
        <v>6.5664250152534812E-2</v>
      </c>
      <c r="O122" s="47">
        <v>10.446040513849166</v>
      </c>
      <c r="P122" s="47">
        <v>4.5440853783924062E-9</v>
      </c>
      <c r="Q122" s="47">
        <v>0.54797594700354368</v>
      </c>
      <c r="R122" s="47">
        <v>0.82388688780626618</v>
      </c>
      <c r="S122" s="47">
        <v>0.54797594700354368</v>
      </c>
      <c r="T122" s="47">
        <v>0.82388688780626618</v>
      </c>
      <c r="AT122" s="61">
        <f t="shared" si="450"/>
        <v>2030</v>
      </c>
      <c r="AU122" s="26">
        <f t="shared" si="456"/>
        <v>-0.63030196784826009</v>
      </c>
      <c r="AV122" s="26"/>
      <c r="BN122">
        <f t="shared" si="451"/>
        <v>2032</v>
      </c>
      <c r="BO122" s="26">
        <f t="shared" si="457"/>
        <v>-2.9409594873202378</v>
      </c>
      <c r="BR122" s="199"/>
      <c r="CO122">
        <f t="shared" si="452"/>
        <v>2032</v>
      </c>
      <c r="CP122" s="26">
        <f t="shared" si="458"/>
        <v>-2.9409594873202378</v>
      </c>
      <c r="CU122">
        <f t="shared" si="453"/>
        <v>2032</v>
      </c>
      <c r="CV122" s="26">
        <f t="shared" si="454"/>
        <v>-2.9409594873202378</v>
      </c>
      <c r="CZ122">
        <f t="shared" si="448"/>
        <v>2030</v>
      </c>
      <c r="DA122" s="26">
        <f t="shared" si="447"/>
        <v>-0.63030196784826009</v>
      </c>
      <c r="DX122" s="61">
        <f t="shared" si="449"/>
        <v>2031</v>
      </c>
      <c r="DY122" s="26">
        <f t="shared" si="455"/>
        <v>-4.7231014839422647</v>
      </c>
      <c r="ER122">
        <f t="shared" si="462"/>
        <v>2020</v>
      </c>
      <c r="ES122" s="26">
        <f t="shared" si="463"/>
        <v>0.87234250570496341</v>
      </c>
    </row>
    <row r="123" spans="8:176" x14ac:dyDescent="0.35">
      <c r="H123">
        <f t="shared" si="459"/>
        <v>2015</v>
      </c>
      <c r="I123" s="26">
        <f t="shared" si="460"/>
        <v>0.34545149017060434</v>
      </c>
      <c r="J123">
        <f t="shared" si="461"/>
        <v>0.24</v>
      </c>
      <c r="AT123" s="61">
        <f t="shared" si="450"/>
        <v>2031</v>
      </c>
      <c r="AU123" s="26">
        <f t="shared" si="456"/>
        <v>-0.68773174375417279</v>
      </c>
      <c r="AV123" s="26"/>
      <c r="BN123">
        <f t="shared" si="451"/>
        <v>2033</v>
      </c>
      <c r="BO123" s="26">
        <f t="shared" si="457"/>
        <v>-3.1077293117453371</v>
      </c>
      <c r="BR123" s="199"/>
      <c r="CO123">
        <f t="shared" si="452"/>
        <v>2033</v>
      </c>
      <c r="CP123" s="26">
        <f t="shared" si="458"/>
        <v>-3.1077293117453371</v>
      </c>
      <c r="CU123">
        <f t="shared" si="453"/>
        <v>2033</v>
      </c>
      <c r="CV123" s="26">
        <f t="shared" si="454"/>
        <v>-3.1077293117453371</v>
      </c>
      <c r="CZ123">
        <f t="shared" si="448"/>
        <v>2031</v>
      </c>
      <c r="DA123" s="26">
        <f t="shared" si="447"/>
        <v>-0.68773174375417279</v>
      </c>
      <c r="DX123" s="61">
        <f t="shared" si="449"/>
        <v>2032</v>
      </c>
      <c r="DY123" s="26">
        <f t="shared" si="455"/>
        <v>-4.9512214109685981</v>
      </c>
      <c r="ER123">
        <f t="shared" si="462"/>
        <v>2021</v>
      </c>
      <c r="ES123" s="26">
        <f t="shared" si="463"/>
        <v>0.77989805275303992</v>
      </c>
    </row>
    <row r="124" spans="8:176" x14ac:dyDescent="0.35">
      <c r="H124">
        <f t="shared" si="459"/>
        <v>2016</v>
      </c>
      <c r="I124" s="26">
        <f t="shared" si="460"/>
        <v>0.32921171050971271</v>
      </c>
      <c r="J124">
        <f t="shared" si="461"/>
        <v>0.2</v>
      </c>
      <c r="AT124" s="61">
        <f t="shared" si="450"/>
        <v>2032</v>
      </c>
      <c r="AU124" s="26">
        <f t="shared" si="456"/>
        <v>-0.74516151966008548</v>
      </c>
      <c r="AV124" s="26"/>
      <c r="BN124">
        <f t="shared" si="451"/>
        <v>2034</v>
      </c>
      <c r="BO124" s="26">
        <f t="shared" si="457"/>
        <v>-3.2744991361704363</v>
      </c>
      <c r="BR124" s="199"/>
      <c r="CO124">
        <f t="shared" si="452"/>
        <v>2034</v>
      </c>
      <c r="CP124" s="26">
        <f t="shared" si="458"/>
        <v>-3.2744991361704363</v>
      </c>
      <c r="CU124">
        <f t="shared" si="453"/>
        <v>2034</v>
      </c>
      <c r="CV124" s="26">
        <f t="shared" si="454"/>
        <v>-3.2744991361704363</v>
      </c>
      <c r="CZ124">
        <f t="shared" si="448"/>
        <v>2032</v>
      </c>
      <c r="DA124" s="26">
        <f t="shared" si="447"/>
        <v>-0.74516151966008548</v>
      </c>
      <c r="DX124" s="61">
        <f t="shared" si="449"/>
        <v>2033</v>
      </c>
      <c r="DY124" s="26">
        <f t="shared" si="455"/>
        <v>-5.1793413379949316</v>
      </c>
      <c r="ER124">
        <f t="shared" si="462"/>
        <v>2022</v>
      </c>
      <c r="ES124" s="26">
        <f t="shared" si="463"/>
        <v>0.68745359980111642</v>
      </c>
    </row>
    <row r="125" spans="8:176" x14ac:dyDescent="0.35">
      <c r="AT125" s="61">
        <f t="shared" si="450"/>
        <v>2033</v>
      </c>
      <c r="AU125" s="26">
        <f t="shared" si="456"/>
        <v>-0.80259129556599818</v>
      </c>
      <c r="AV125" s="26"/>
      <c r="BN125">
        <f t="shared" si="451"/>
        <v>2035</v>
      </c>
      <c r="BO125" s="26">
        <f t="shared" si="457"/>
        <v>-3.4412689605955356</v>
      </c>
      <c r="BR125" s="199"/>
      <c r="CO125">
        <f t="shared" si="452"/>
        <v>2035</v>
      </c>
      <c r="CP125" s="26">
        <f t="shared" si="458"/>
        <v>-3.4412689605955356</v>
      </c>
      <c r="CU125">
        <f t="shared" si="453"/>
        <v>2035</v>
      </c>
      <c r="CV125" s="26">
        <f t="shared" si="454"/>
        <v>-3.4412689605955356</v>
      </c>
      <c r="CZ125">
        <f t="shared" si="448"/>
        <v>2033</v>
      </c>
      <c r="DA125" s="26">
        <f t="shared" si="447"/>
        <v>-0.80259129556599818</v>
      </c>
      <c r="DX125" s="61">
        <f t="shared" si="449"/>
        <v>2034</v>
      </c>
      <c r="DY125" s="26">
        <f t="shared" si="455"/>
        <v>-5.407461265021265</v>
      </c>
      <c r="ER125">
        <f t="shared" si="462"/>
        <v>2023</v>
      </c>
      <c r="ES125" s="26">
        <f t="shared" si="463"/>
        <v>0.59500914684919293</v>
      </c>
    </row>
    <row r="126" spans="8:176" x14ac:dyDescent="0.35">
      <c r="AT126" s="61">
        <f t="shared" si="450"/>
        <v>2034</v>
      </c>
      <c r="AU126" s="26">
        <f t="shared" si="456"/>
        <v>-0.86002107147191087</v>
      </c>
      <c r="AV126" s="26"/>
      <c r="BN126">
        <f t="shared" si="451"/>
        <v>2036</v>
      </c>
      <c r="BO126" s="26">
        <f t="shared" si="457"/>
        <v>-3.6080387850206348</v>
      </c>
      <c r="BR126" s="199"/>
      <c r="CO126">
        <f t="shared" si="452"/>
        <v>2036</v>
      </c>
      <c r="CP126" s="26">
        <f t="shared" si="458"/>
        <v>-3.6080387850206348</v>
      </c>
      <c r="CU126">
        <f t="shared" si="453"/>
        <v>2036</v>
      </c>
      <c r="CV126" s="26">
        <f t="shared" si="454"/>
        <v>-3.6080387850206348</v>
      </c>
      <c r="CZ126">
        <f t="shared" si="448"/>
        <v>2034</v>
      </c>
      <c r="DA126" s="26">
        <f t="shared" si="447"/>
        <v>-0.86002107147191087</v>
      </c>
      <c r="DX126" s="61">
        <f t="shared" si="449"/>
        <v>2035</v>
      </c>
      <c r="DY126" s="26">
        <f t="shared" si="455"/>
        <v>-5.6355811920475984</v>
      </c>
      <c r="ER126">
        <f t="shared" si="462"/>
        <v>2024</v>
      </c>
      <c r="ES126" s="26">
        <f t="shared" si="463"/>
        <v>0.50256469389726943</v>
      </c>
    </row>
    <row r="127" spans="8:176" x14ac:dyDescent="0.35">
      <c r="AT127" s="61">
        <f t="shared" si="450"/>
        <v>2035</v>
      </c>
      <c r="AU127" s="26">
        <f t="shared" si="456"/>
        <v>-0.91745084737782356</v>
      </c>
      <c r="AV127" s="26"/>
      <c r="BN127">
        <f t="shared" si="451"/>
        <v>2037</v>
      </c>
      <c r="BO127" s="26">
        <f t="shared" si="457"/>
        <v>-3.774808609445734</v>
      </c>
      <c r="BR127" s="199"/>
      <c r="CO127">
        <f t="shared" si="452"/>
        <v>2037</v>
      </c>
      <c r="CP127" s="26">
        <f t="shared" si="458"/>
        <v>-3.774808609445734</v>
      </c>
      <c r="CU127">
        <f t="shared" si="453"/>
        <v>2037</v>
      </c>
      <c r="CV127" s="26">
        <f t="shared" si="454"/>
        <v>-3.774808609445734</v>
      </c>
      <c r="CZ127">
        <f t="shared" si="448"/>
        <v>2035</v>
      </c>
      <c r="DA127" s="26">
        <f t="shared" si="447"/>
        <v>-0.91745084737782356</v>
      </c>
      <c r="DX127" s="61">
        <f t="shared" si="449"/>
        <v>2036</v>
      </c>
      <c r="DY127" s="26">
        <f t="shared" si="455"/>
        <v>-5.8637011190739319</v>
      </c>
      <c r="ER127">
        <f t="shared" si="462"/>
        <v>2025</v>
      </c>
      <c r="ES127" s="26">
        <f t="shared" si="463"/>
        <v>0.41012024094534594</v>
      </c>
    </row>
    <row r="128" spans="8:176" x14ac:dyDescent="0.35">
      <c r="AT128" s="61">
        <f t="shared" si="450"/>
        <v>2036</v>
      </c>
      <c r="AU128" s="26">
        <f t="shared" si="456"/>
        <v>-0.97488062328373626</v>
      </c>
      <c r="AV128" s="26"/>
      <c r="BN128">
        <f t="shared" si="451"/>
        <v>2038</v>
      </c>
      <c r="BO128" s="26">
        <f t="shared" si="457"/>
        <v>-3.9415784338708333</v>
      </c>
      <c r="BR128" s="199"/>
      <c r="CO128">
        <f t="shared" si="452"/>
        <v>2038</v>
      </c>
      <c r="CP128" s="26">
        <f t="shared" si="458"/>
        <v>-3.9415784338708333</v>
      </c>
      <c r="CU128">
        <f t="shared" si="453"/>
        <v>2038</v>
      </c>
      <c r="CV128" s="26">
        <f t="shared" si="454"/>
        <v>-3.9415784338708333</v>
      </c>
      <c r="CZ128">
        <f t="shared" si="448"/>
        <v>2036</v>
      </c>
      <c r="DA128" s="26">
        <f t="shared" si="447"/>
        <v>-0.97488062328373626</v>
      </c>
      <c r="DX128" s="61">
        <f t="shared" si="449"/>
        <v>2037</v>
      </c>
      <c r="DY128" s="26">
        <f t="shared" si="455"/>
        <v>-6.0918210461002653</v>
      </c>
      <c r="ER128">
        <f t="shared" si="462"/>
        <v>2026</v>
      </c>
      <c r="ES128" s="26">
        <f t="shared" si="463"/>
        <v>0.31767578799342244</v>
      </c>
    </row>
    <row r="129" spans="46:149" x14ac:dyDescent="0.35">
      <c r="AT129" s="61">
        <f t="shared" si="450"/>
        <v>2037</v>
      </c>
      <c r="AU129" s="26">
        <f t="shared" si="456"/>
        <v>-1.032310399189649</v>
      </c>
      <c r="AV129" s="26"/>
      <c r="BN129">
        <f t="shared" si="451"/>
        <v>2039</v>
      </c>
      <c r="BO129" s="26">
        <f t="shared" si="457"/>
        <v>-4.1083482582959325</v>
      </c>
      <c r="BR129" s="199"/>
      <c r="CO129">
        <f t="shared" si="452"/>
        <v>2039</v>
      </c>
      <c r="CP129" s="26">
        <f t="shared" si="458"/>
        <v>-4.1083482582959325</v>
      </c>
      <c r="CU129">
        <f t="shared" si="453"/>
        <v>2039</v>
      </c>
      <c r="CV129" s="26">
        <f t="shared" si="454"/>
        <v>-4.1083482582959325</v>
      </c>
      <c r="CZ129">
        <f t="shared" si="448"/>
        <v>2037</v>
      </c>
      <c r="DA129" s="26">
        <f t="shared" si="447"/>
        <v>-1.032310399189649</v>
      </c>
      <c r="DX129" s="61">
        <f t="shared" si="449"/>
        <v>2038</v>
      </c>
      <c r="DY129" s="26">
        <f t="shared" si="455"/>
        <v>-6.3199409731265987</v>
      </c>
      <c r="ER129">
        <f t="shared" si="462"/>
        <v>2027</v>
      </c>
      <c r="ES129" s="26">
        <f t="shared" si="463"/>
        <v>0.22523133504149895</v>
      </c>
    </row>
    <row r="130" spans="46:149" x14ac:dyDescent="0.35">
      <c r="AT130" s="61">
        <f t="shared" si="450"/>
        <v>2038</v>
      </c>
      <c r="AU130" s="26">
        <f t="shared" si="456"/>
        <v>-1.0897401750955615</v>
      </c>
      <c r="AV130" s="26"/>
      <c r="BN130">
        <f t="shared" si="451"/>
        <v>2040</v>
      </c>
      <c r="BO130" s="26">
        <f t="shared" si="457"/>
        <v>-4.2751180827210318</v>
      </c>
      <c r="BR130" s="199"/>
      <c r="CO130">
        <f t="shared" si="452"/>
        <v>2040</v>
      </c>
      <c r="CP130" s="26">
        <f t="shared" si="458"/>
        <v>-4.2751180827210318</v>
      </c>
      <c r="CU130">
        <f t="shared" si="453"/>
        <v>2040</v>
      </c>
      <c r="CV130" s="26">
        <f t="shared" si="454"/>
        <v>-4.2751180827210318</v>
      </c>
      <c r="CZ130">
        <f t="shared" si="448"/>
        <v>2038</v>
      </c>
      <c r="DA130" s="26">
        <f t="shared" si="447"/>
        <v>-1.0897401750955615</v>
      </c>
      <c r="DX130" s="61">
        <f t="shared" si="449"/>
        <v>2039</v>
      </c>
      <c r="DY130" s="26">
        <f t="shared" si="455"/>
        <v>-6.5480609001529322</v>
      </c>
      <c r="ER130">
        <f t="shared" si="462"/>
        <v>2028</v>
      </c>
      <c r="ES130" s="26">
        <f t="shared" si="463"/>
        <v>0.13278688208957545</v>
      </c>
    </row>
    <row r="131" spans="46:149" x14ac:dyDescent="0.35">
      <c r="AT131" s="61">
        <f t="shared" si="450"/>
        <v>2039</v>
      </c>
      <c r="AU131" s="26">
        <f t="shared" si="456"/>
        <v>-1.1471699510014741</v>
      </c>
      <c r="AV131" s="26"/>
      <c r="BN131" t="s">
        <v>12</v>
      </c>
      <c r="CO131" t="s">
        <v>12</v>
      </c>
      <c r="CZ131">
        <f t="shared" si="448"/>
        <v>2039</v>
      </c>
      <c r="DA131" s="26">
        <f t="shared" si="447"/>
        <v>-1.1471699510014741</v>
      </c>
      <c r="DX131" s="61">
        <f t="shared" si="449"/>
        <v>2040</v>
      </c>
      <c r="DY131" s="26">
        <f t="shared" si="455"/>
        <v>-6.7761808271792656</v>
      </c>
      <c r="ER131">
        <f t="shared" si="462"/>
        <v>2029</v>
      </c>
      <c r="ES131" s="26">
        <f t="shared" si="463"/>
        <v>4.0342429137651958E-2</v>
      </c>
    </row>
    <row r="132" spans="46:149" x14ac:dyDescent="0.35">
      <c r="AT132" s="61">
        <f t="shared" si="450"/>
        <v>2040</v>
      </c>
      <c r="AU132" s="26">
        <f t="shared" si="456"/>
        <v>-1.2045997269073867</v>
      </c>
      <c r="AV132" s="26"/>
      <c r="BN132" t="s">
        <v>12</v>
      </c>
      <c r="CO132" t="s">
        <v>12</v>
      </c>
      <c r="CZ132">
        <f t="shared" si="448"/>
        <v>2040</v>
      </c>
      <c r="DA132" s="26">
        <f t="shared" si="447"/>
        <v>-1.2045997269073867</v>
      </c>
      <c r="ER132">
        <f t="shared" si="462"/>
        <v>2030</v>
      </c>
      <c r="ES132" s="26">
        <f t="shared" si="463"/>
        <v>-5.2102023814271536E-2</v>
      </c>
    </row>
    <row r="133" spans="46:149" x14ac:dyDescent="0.35">
      <c r="AT133" s="61"/>
      <c r="ER133">
        <f t="shared" si="462"/>
        <v>2031</v>
      </c>
      <c r="ES133" s="26">
        <f t="shared" si="463"/>
        <v>-0.14454647676619503</v>
      </c>
    </row>
    <row r="134" spans="46:149" x14ac:dyDescent="0.35">
      <c r="AT134" s="61"/>
      <c r="BN134" s="61" t="s">
        <v>409</v>
      </c>
      <c r="BO134" s="6">
        <f>(AVERAGE(BO82:BO84)-AVERAGE(BO72:BO81))/AVERAGE(BO72:BO81)</f>
        <v>4.4098142370715125</v>
      </c>
      <c r="ER134">
        <f t="shared" si="462"/>
        <v>2032</v>
      </c>
      <c r="ES134" s="26">
        <f t="shared" si="463"/>
        <v>-0.23699092971811853</v>
      </c>
    </row>
    <row r="135" spans="46:149" x14ac:dyDescent="0.35">
      <c r="AT135" s="61" t="s">
        <v>409</v>
      </c>
      <c r="AU135" s="6">
        <f>(AVERAGE(AU80:AU82)-AVERAGE(AU70:AU79))/AVERAGE(AU70:AU79)</f>
        <v>0.2750732763087666</v>
      </c>
      <c r="AV135" s="6"/>
      <c r="DS135" s="61" t="s">
        <v>409</v>
      </c>
      <c r="DT135" s="6">
        <f>(AVERAGE(DT81:DT83)-AVERAGE(DT71:DT80))/AVERAGE(DT71:DT80)</f>
        <v>-1.2231747924899361</v>
      </c>
      <c r="ER135">
        <f t="shared" si="462"/>
        <v>2033</v>
      </c>
      <c r="ES135" s="26">
        <f t="shared" si="463"/>
        <v>-0.32943538267004202</v>
      </c>
    </row>
    <row r="136" spans="46:149" x14ac:dyDescent="0.35">
      <c r="AT136" s="61"/>
      <c r="ER136">
        <f t="shared" si="462"/>
        <v>2034</v>
      </c>
      <c r="ES136" s="26">
        <f t="shared" si="463"/>
        <v>-0.42187983562196552</v>
      </c>
    </row>
    <row r="137" spans="46:149" x14ac:dyDescent="0.35">
      <c r="AT137" s="61"/>
      <c r="ER137">
        <f t="shared" si="462"/>
        <v>2035</v>
      </c>
      <c r="ES137" s="26">
        <f t="shared" si="463"/>
        <v>-0.51432428857388901</v>
      </c>
    </row>
    <row r="138" spans="46:149" x14ac:dyDescent="0.35">
      <c r="ER138">
        <f t="shared" si="462"/>
        <v>2036</v>
      </c>
      <c r="ES138" s="26">
        <f t="shared" si="463"/>
        <v>-0.6067687415258125</v>
      </c>
    </row>
    <row r="139" spans="46:149" x14ac:dyDescent="0.35">
      <c r="ER139">
        <f t="shared" si="462"/>
        <v>2037</v>
      </c>
      <c r="ES139" s="26">
        <f t="shared" si="463"/>
        <v>-0.699213194477736</v>
      </c>
    </row>
    <row r="140" spans="46:149" x14ac:dyDescent="0.35">
      <c r="ER140">
        <f t="shared" si="462"/>
        <v>2038</v>
      </c>
      <c r="ES140" s="26">
        <f t="shared" si="463"/>
        <v>-0.79165764742965949</v>
      </c>
    </row>
    <row r="141" spans="46:149" x14ac:dyDescent="0.35">
      <c r="ER141">
        <f t="shared" si="462"/>
        <v>2039</v>
      </c>
      <c r="ES141" s="26">
        <f t="shared" si="463"/>
        <v>-0.88410210038158299</v>
      </c>
    </row>
    <row r="142" spans="46:149" x14ac:dyDescent="0.35">
      <c r="ER142">
        <f t="shared" si="462"/>
        <v>2040</v>
      </c>
      <c r="ES142" s="26">
        <f t="shared" si="463"/>
        <v>-0.97654655333350648</v>
      </c>
    </row>
  </sheetData>
  <sortState xmlns:xlrd2="http://schemas.microsoft.com/office/spreadsheetml/2017/richdata2" ref="GU10:GU26">
    <sortCondition ref="GU10"/>
  </sortState>
  <phoneticPr fontId="1" type="noConversion"/>
  <conditionalFormatting sqref="AY9:BE9">
    <cfRule type="colorScale" priority="9">
      <colorScale>
        <cfvo type="min"/>
        <cfvo type="percentile" val="50"/>
        <cfvo type="max"/>
        <color rgb="FF63BE7B"/>
        <color rgb="FFFFEB84"/>
        <color rgb="FFF8696B"/>
      </colorScale>
    </cfRule>
  </conditionalFormatting>
  <conditionalFormatting sqref="AZ12:BE12">
    <cfRule type="colorScale" priority="8">
      <colorScale>
        <cfvo type="min"/>
        <cfvo type="percentile" val="50"/>
        <cfvo type="max"/>
        <color rgb="FF63BE7B"/>
        <color rgb="FFFFEB84"/>
        <color rgb="FFF8696B"/>
      </colorScale>
    </cfRule>
  </conditionalFormatting>
  <conditionalFormatting sqref="FI14:FI79">
    <cfRule type="colorScale" priority="5">
      <colorScale>
        <cfvo type="min"/>
        <cfvo type="percentile" val="50"/>
        <cfvo type="max"/>
        <color rgb="FF63BE7B"/>
        <color rgb="FFFFEB84"/>
        <color rgb="FFF8696B"/>
      </colorScale>
    </cfRule>
  </conditionalFormatting>
  <conditionalFormatting sqref="FM14:FN14 FM15:FM79 FN15:FN103">
    <cfRule type="colorScale" priority="4">
      <colorScale>
        <cfvo type="min"/>
        <cfvo type="percentile" val="50"/>
        <cfvo type="max"/>
        <color rgb="FF63BE7B"/>
        <color rgb="FFFFEB84"/>
        <color rgb="FFF8696B"/>
      </colorScale>
    </cfRule>
  </conditionalFormatting>
  <conditionalFormatting sqref="FM14:FO14 FM15:FM79 FO15:FO79 FN15:FN103">
    <cfRule type="colorScale" priority="10">
      <colorScale>
        <cfvo type="min"/>
        <cfvo type="percentile" val="50"/>
        <cfvo type="max"/>
        <color rgb="FFF8696B"/>
        <color rgb="FFFFEB84"/>
        <color rgb="FF63BE7B"/>
      </colorScale>
    </cfRule>
  </conditionalFormatting>
  <conditionalFormatting sqref="FO14:FO79">
    <cfRule type="colorScale" priority="3">
      <colorScale>
        <cfvo type="min"/>
        <cfvo type="percentile" val="50"/>
        <cfvo type="max"/>
        <color rgb="FF63BE7B"/>
        <color rgb="FFFFEB84"/>
        <color rgb="FFF8696B"/>
      </colorScale>
    </cfRule>
  </conditionalFormatting>
  <conditionalFormatting sqref="FU41:FU81">
    <cfRule type="colorScale" priority="1">
      <colorScale>
        <cfvo type="min"/>
        <cfvo type="percentile" val="50"/>
        <cfvo type="max"/>
        <color rgb="FFF8696B"/>
        <color rgb="FFFFEB84"/>
        <color rgb="FF63BE7B"/>
      </colorScale>
    </cfRule>
  </conditionalFormatting>
  <conditionalFormatting sqref="FX41:FX81">
    <cfRule type="colorScale" priority="6">
      <colorScale>
        <cfvo type="min"/>
        <cfvo type="percentile" val="50"/>
        <cfvo type="max"/>
        <color rgb="FF63BE7B"/>
        <color rgb="FFFFEB84"/>
        <color rgb="FFF8696B"/>
      </colorScale>
    </cfRule>
  </conditionalFormatting>
  <conditionalFormatting sqref="GD42:GD103 GC36:GC103">
    <cfRule type="colorScale" priority="2">
      <colorScale>
        <cfvo type="min"/>
        <cfvo type="percentile" val="50"/>
        <cfvo type="max"/>
        <color rgb="FFF8696B"/>
        <color rgb="FFFFEB84"/>
        <color rgb="FF63BE7B"/>
      </colorScale>
    </cfRule>
  </conditionalFormatting>
  <conditionalFormatting sqref="GH36:GH80">
    <cfRule type="colorScale" priority="7">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ignoredErrors>
    <ignoredError sqref="HB14" evalError="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FF8A-653B-40C4-961E-C601FB6793AF}">
  <dimension ref="A1:AD83"/>
  <sheetViews>
    <sheetView zoomScale="70" zoomScaleNormal="70" workbookViewId="0">
      <selection activeCell="G5" sqref="G5"/>
    </sheetView>
  </sheetViews>
  <sheetFormatPr defaultRowHeight="14.5" x14ac:dyDescent="0.35"/>
  <cols>
    <col min="7" max="7" width="10" customWidth="1"/>
    <col min="8" max="8" width="11.54296875" customWidth="1"/>
    <col min="9" max="9" width="12" bestFit="1" customWidth="1"/>
  </cols>
  <sheetData>
    <row r="1" spans="1:30" x14ac:dyDescent="0.35"/>
    <row r="2" spans="1:30" x14ac:dyDescent="0.35">
      <c r="F2" t="s">
        <v>135</v>
      </c>
      <c r="G2" s="44">
        <v>1.1205077162580441</v>
      </c>
      <c r="H2" s="44"/>
      <c r="I2" s="44"/>
      <c r="J2" s="44"/>
      <c r="K2" s="44"/>
    </row>
    <row r="3" spans="1:30" x14ac:dyDescent="0.35">
      <c r="F3" t="s">
        <v>136</v>
      </c>
      <c r="G3" s="52">
        <v>6.1914531853761868E-4</v>
      </c>
      <c r="H3" s="52"/>
      <c r="I3" s="44"/>
      <c r="J3" s="44"/>
      <c r="K3" s="44"/>
    </row>
    <row r="4" spans="1:30" x14ac:dyDescent="0.35">
      <c r="F4" t="s">
        <v>137</v>
      </c>
      <c r="G4">
        <v>0.5</v>
      </c>
    </row>
    <row r="5" spans="1:30" x14ac:dyDescent="0.35">
      <c r="F5" t="s">
        <v>138</v>
      </c>
      <c r="G5">
        <v>0.5</v>
      </c>
    </row>
    <row r="6" spans="1:30" x14ac:dyDescent="0.35">
      <c r="F6" t="s">
        <v>145</v>
      </c>
      <c r="G6" s="44">
        <f>K80</f>
        <v>6.8886095479048333</v>
      </c>
      <c r="H6" s="44"/>
      <c r="M6" t="s">
        <v>12</v>
      </c>
    </row>
    <row r="7" spans="1:30" x14ac:dyDescent="0.35">
      <c r="F7" t="s">
        <v>185</v>
      </c>
      <c r="G7">
        <f>-V80</f>
        <v>8.2924162699661306</v>
      </c>
    </row>
    <row r="8" spans="1:30" x14ac:dyDescent="0.35">
      <c r="F8" t="s">
        <v>146</v>
      </c>
      <c r="G8">
        <f>negLL+G7</f>
        <v>15.181025817870964</v>
      </c>
    </row>
    <row r="9" spans="1:30" x14ac:dyDescent="0.35">
      <c r="F9" t="s">
        <v>147</v>
      </c>
      <c r="G9" s="26">
        <f>SQRT(sigr^2*(1-rho^2))</f>
        <v>0.4330127018922193</v>
      </c>
    </row>
    <row r="10" spans="1:30" x14ac:dyDescent="0.35">
      <c r="F10" t="s">
        <v>199</v>
      </c>
      <c r="G10" s="26">
        <f>SQRT(K81+R81)</f>
        <v>0.39302906366854595</v>
      </c>
    </row>
    <row r="12" spans="1:30" ht="29" x14ac:dyDescent="0.35">
      <c r="A12" s="9" t="s">
        <v>51</v>
      </c>
      <c r="B12" s="9" t="s">
        <v>72</v>
      </c>
      <c r="C12" s="9" t="s">
        <v>83</v>
      </c>
      <c r="D12" s="9" t="s">
        <v>88</v>
      </c>
      <c r="E12" s="9" t="s">
        <v>62</v>
      </c>
      <c r="F12" s="9" t="s">
        <v>134</v>
      </c>
      <c r="G12" s="9" t="s">
        <v>139</v>
      </c>
      <c r="H12" s="9" t="s">
        <v>160</v>
      </c>
      <c r="I12" s="9" t="s">
        <v>200</v>
      </c>
      <c r="J12" s="9" t="s">
        <v>151</v>
      </c>
      <c r="K12" s="9" t="s">
        <v>150</v>
      </c>
      <c r="L12" s="9" t="s">
        <v>130</v>
      </c>
      <c r="M12" s="9" t="s">
        <v>148</v>
      </c>
      <c r="N12" s="9" t="s">
        <v>140</v>
      </c>
      <c r="O12" s="9" t="s">
        <v>141</v>
      </c>
      <c r="P12" s="9" t="s">
        <v>154</v>
      </c>
      <c r="Q12" s="9" t="s">
        <v>142</v>
      </c>
      <c r="R12" s="9" t="s">
        <v>149</v>
      </c>
      <c r="S12" s="9"/>
      <c r="T12" s="9"/>
      <c r="U12" s="9"/>
      <c r="V12" s="9" t="s">
        <v>143</v>
      </c>
      <c r="W12" s="9"/>
      <c r="X12" s="9"/>
      <c r="Y12" s="9"/>
      <c r="Z12" s="9"/>
      <c r="AA12" s="9"/>
      <c r="AB12" s="9"/>
      <c r="AC12" s="9"/>
      <c r="AD12" s="9"/>
    </row>
    <row r="13" spans="1:30" x14ac:dyDescent="0.35">
      <c r="A13" t="s">
        <v>52</v>
      </c>
      <c r="B13">
        <v>1951</v>
      </c>
      <c r="C13" s="5">
        <f>'Orig data'!G5/1000</f>
        <v>171.72499999999999</v>
      </c>
      <c r="D13" s="5">
        <f>'Orig data'!Q5/1000</f>
        <v>1187.739</v>
      </c>
      <c r="E13" s="5">
        <f>'Orig data'!W5/1000</f>
        <v>457.00721211789283</v>
      </c>
      <c r="F13" s="44">
        <f>LN(E13/C13)</f>
        <v>0.97880481210932424</v>
      </c>
      <c r="G13" s="44">
        <f>ar-br*C13</f>
        <v>1.0141849864321715</v>
      </c>
      <c r="H13" s="44">
        <f>EXP(G13)*C13</f>
        <v>473.46564120114033</v>
      </c>
      <c r="I13" s="44">
        <f>F13-G13</f>
        <v>-3.5380174322847235E-2</v>
      </c>
      <c r="J13" s="44">
        <f>I14</f>
        <v>-0.3614235230801921</v>
      </c>
      <c r="K13" s="44">
        <f>(F13-G13)^2</f>
        <v>1.2517567351150588E-3</v>
      </c>
      <c r="L13" s="44">
        <f>ar</f>
        <v>1.1205077162580441</v>
      </c>
      <c r="M13" s="44">
        <f>I13*rho</f>
        <v>-1.7690087161423618E-2</v>
      </c>
      <c r="N13" s="44">
        <v>-0.12087037186171738</v>
      </c>
      <c r="O13" s="44">
        <f t="shared" ref="O13:O44" si="0">N13*SQRT(1-rho^2)</f>
        <v>-0.10467681259711904</v>
      </c>
      <c r="P13" s="44">
        <f>O13^2</f>
        <v>1.0957235095492381E-2</v>
      </c>
      <c r="Q13" s="44">
        <f>M13+O13</f>
        <v>-0.12236689975854266</v>
      </c>
      <c r="R13" s="44">
        <f>Q13^2</f>
        <v>1.4973658156517227E-2</v>
      </c>
      <c r="V13">
        <f t="shared" ref="V13:V44" si="1">LN(NORMDIST(O13,0,sigev,0))</f>
        <v>-0.11116961000681663</v>
      </c>
    </row>
    <row r="14" spans="1:30" x14ac:dyDescent="0.35">
      <c r="A14" t="s">
        <v>52</v>
      </c>
      <c r="B14">
        <v>1952</v>
      </c>
      <c r="C14" s="5">
        <f>'Orig data'!G6/1000</f>
        <v>176.25</v>
      </c>
      <c r="D14" s="5">
        <f>'Orig data'!Q6/1000</f>
        <v>927</v>
      </c>
      <c r="E14" s="5">
        <f>'Orig data'!W6/1000</f>
        <v>298.71692108672789</v>
      </c>
      <c r="F14" s="44">
        <f t="shared" ref="F14:F77" si="2">LN(E14/C14)</f>
        <v>0.52759293102705407</v>
      </c>
      <c r="G14" s="44">
        <f>ar-br*C14+Q13</f>
        <v>0.88901645410724617</v>
      </c>
      <c r="H14" s="44">
        <f t="shared" ref="H14:H77" si="3">EXP(G14)*C14</f>
        <v>428.76967892732625</v>
      </c>
      <c r="I14" s="44">
        <f>F14-G14</f>
        <v>-0.3614235230801921</v>
      </c>
      <c r="J14" s="44">
        <f t="shared" ref="J14:J77" si="4">I15</f>
        <v>0.10914555794825931</v>
      </c>
      <c r="K14" s="44">
        <f t="shared" ref="K14:K44" si="5">(F14-G14)^2</f>
        <v>0.13062696303569815</v>
      </c>
      <c r="L14" s="44">
        <f t="shared" ref="L14:L45" si="6">ar+Q13</f>
        <v>0.99814081649950148</v>
      </c>
      <c r="M14" s="44">
        <f t="shared" ref="M14:M44" si="7">I14*rho</f>
        <v>-0.18071176154009605</v>
      </c>
      <c r="N14" s="44">
        <v>-7.1054190997034347E-2</v>
      </c>
      <c r="O14" s="44">
        <f t="shared" si="0"/>
        <v>-6.1534734448783289E-2</v>
      </c>
      <c r="P14" s="44">
        <f t="shared" ref="P14:P77" si="8">O14^2</f>
        <v>3.7865235436822767E-3</v>
      </c>
      <c r="Q14" s="44">
        <f t="shared" ref="Q14:Q77" si="9">M14+O14</f>
        <v>-0.24224649598887935</v>
      </c>
      <c r="R14" s="44">
        <f t="shared" ref="R14:R77" si="10">Q14^2</f>
        <v>5.8683364818890138E-2</v>
      </c>
      <c r="V14">
        <f t="shared" si="1"/>
        <v>-9.2047712535322859E-2</v>
      </c>
    </row>
    <row r="15" spans="1:30" x14ac:dyDescent="0.35">
      <c r="A15" t="s">
        <v>52</v>
      </c>
      <c r="B15">
        <v>1953</v>
      </c>
      <c r="C15" s="5">
        <f>'Orig data'!G7/1000</f>
        <v>137.625</v>
      </c>
      <c r="D15" s="5">
        <f>'Orig data'!Q7/1000</f>
        <v>918.12199999999996</v>
      </c>
      <c r="E15" s="5">
        <f>'Orig data'!W7/1000</f>
        <v>339.24735388798553</v>
      </c>
      <c r="F15" s="44">
        <f t="shared" si="2"/>
        <v>0.90219690375368433</v>
      </c>
      <c r="G15" s="44">
        <f t="shared" ref="G15:G45" si="11">ar-br*C15+Q14</f>
        <v>0.79305134580542502</v>
      </c>
      <c r="H15" s="44">
        <f t="shared" si="3"/>
        <v>304.16914382825559</v>
      </c>
      <c r="I15" s="44">
        <f t="shared" ref="I15:I44" si="12">F15-G15</f>
        <v>0.10914555794825931</v>
      </c>
      <c r="J15" s="44">
        <f t="shared" si="4"/>
        <v>0.5143833245896503</v>
      </c>
      <c r="K15" s="44">
        <f t="shared" si="5"/>
        <v>1.1912752819836831E-2</v>
      </c>
      <c r="L15" s="44">
        <f t="shared" si="6"/>
        <v>0.87826122026916476</v>
      </c>
      <c r="M15" s="44">
        <f t="shared" si="7"/>
        <v>5.4572778974129654E-2</v>
      </c>
      <c r="N15" s="44">
        <v>0.23729719225068074</v>
      </c>
      <c r="O15" s="44">
        <f t="shared" si="0"/>
        <v>0.20550539673580934</v>
      </c>
      <c r="P15" s="44">
        <f t="shared" si="8"/>
        <v>4.2232468087542392E-2</v>
      </c>
      <c r="Q15" s="44">
        <f t="shared" si="9"/>
        <v>0.26007817570993896</v>
      </c>
      <c r="R15" s="44">
        <f t="shared" si="10"/>
        <v>6.7640657480609892E-2</v>
      </c>
      <c r="V15">
        <f t="shared" si="1"/>
        <v>-0.19457023131894988</v>
      </c>
    </row>
    <row r="16" spans="1:30" x14ac:dyDescent="0.35">
      <c r="A16" t="s">
        <v>52</v>
      </c>
      <c r="B16">
        <v>1954</v>
      </c>
      <c r="C16" s="5">
        <f>'Orig data'!G8/1000</f>
        <v>86.375</v>
      </c>
      <c r="D16" s="5">
        <f>'Orig data'!Q8/1000</f>
        <v>1096.5170000000001</v>
      </c>
      <c r="E16" s="5">
        <f>'Orig data'!W8/1000</f>
        <v>544.67474685929324</v>
      </c>
      <c r="F16" s="44">
        <f t="shared" si="2"/>
        <v>1.8414905396689467</v>
      </c>
      <c r="G16" s="44">
        <f t="shared" si="11"/>
        <v>1.3271072150792964</v>
      </c>
      <c r="H16" s="44">
        <f t="shared" si="3"/>
        <v>325.6442400106385</v>
      </c>
      <c r="I16" s="44">
        <f t="shared" si="12"/>
        <v>0.5143833245896503</v>
      </c>
      <c r="J16" s="44">
        <f t="shared" si="4"/>
        <v>0.41881054228703407</v>
      </c>
      <c r="K16" s="44">
        <f t="shared" si="5"/>
        <v>0.26459020461590155</v>
      </c>
      <c r="L16" s="44">
        <f t="shared" si="6"/>
        <v>1.380585891967983</v>
      </c>
      <c r="M16" s="44">
        <f t="shared" si="7"/>
        <v>0.25719166229482515</v>
      </c>
      <c r="N16" s="44">
        <v>-2.8784678108932066E-2</v>
      </c>
      <c r="O16" s="44">
        <f t="shared" si="0"/>
        <v>-2.4928262482092983E-2</v>
      </c>
      <c r="P16" s="44">
        <f t="shared" si="8"/>
        <v>6.2141827037612458E-4</v>
      </c>
      <c r="Q16" s="44">
        <f t="shared" si="9"/>
        <v>0.23226339981273217</v>
      </c>
      <c r="R16" s="44">
        <f t="shared" si="10"/>
        <v>5.394628689256907E-2</v>
      </c>
      <c r="V16">
        <f t="shared" si="1"/>
        <v>-8.3607431806506483E-2</v>
      </c>
    </row>
    <row r="17" spans="1:22" x14ac:dyDescent="0.35">
      <c r="A17" t="s">
        <v>52</v>
      </c>
      <c r="B17">
        <v>1955</v>
      </c>
      <c r="C17" s="5">
        <f>'Orig data'!G9/1000</f>
        <v>110.5</v>
      </c>
      <c r="D17" s="5">
        <f>'Orig data'!Q9/1000</f>
        <v>397.09899999999999</v>
      </c>
      <c r="E17" s="5">
        <f>'Orig data'!W9/1000</f>
        <v>606.78930472412844</v>
      </c>
      <c r="F17" s="44">
        <f t="shared" si="2"/>
        <v>1.7031661006594034</v>
      </c>
      <c r="G17" s="44">
        <f t="shared" si="11"/>
        <v>1.2843555583723694</v>
      </c>
      <c r="H17" s="44">
        <f t="shared" si="3"/>
        <v>399.1634887990088</v>
      </c>
      <c r="I17" s="44">
        <f t="shared" si="12"/>
        <v>0.41881054228703407</v>
      </c>
      <c r="J17" s="44">
        <f t="shared" si="4"/>
        <v>0.82359305385097814</v>
      </c>
      <c r="K17" s="44">
        <f t="shared" si="5"/>
        <v>0.17540227033075956</v>
      </c>
      <c r="L17" s="44">
        <f t="shared" si="6"/>
        <v>1.3527711160707763</v>
      </c>
      <c r="M17" s="44">
        <f t="shared" si="7"/>
        <v>0.20940527114351704</v>
      </c>
      <c r="N17" s="44">
        <v>0.420920206762049</v>
      </c>
      <c r="O17" s="44">
        <f t="shared" si="0"/>
        <v>0.36452759202213286</v>
      </c>
      <c r="P17" s="44">
        <f t="shared" si="8"/>
        <v>0.13288036534545455</v>
      </c>
      <c r="Q17" s="44">
        <f t="shared" si="9"/>
        <v>0.57393286316564995</v>
      </c>
      <c r="R17" s="44">
        <f t="shared" si="10"/>
        <v>0.32939893142152066</v>
      </c>
      <c r="V17">
        <f t="shared" si="1"/>
        <v>-0.43629795734004906</v>
      </c>
    </row>
    <row r="18" spans="1:22" x14ac:dyDescent="0.35">
      <c r="A18" t="s">
        <v>52</v>
      </c>
      <c r="B18">
        <v>1956</v>
      </c>
      <c r="C18" s="5">
        <f>'Orig data'!G10/1000</f>
        <v>32.950000000000003</v>
      </c>
      <c r="D18" s="5">
        <f>'Orig data'!Q10/1000</f>
        <v>282.62700000000001</v>
      </c>
      <c r="E18" s="5">
        <f>'Orig data'!W10/1000</f>
        <v>400.46407254387827</v>
      </c>
      <c r="F18" s="44">
        <f t="shared" si="2"/>
        <v>2.4976327950288577</v>
      </c>
      <c r="G18" s="44">
        <f t="shared" si="11"/>
        <v>1.6740397411778796</v>
      </c>
      <c r="H18" s="44">
        <f t="shared" si="3"/>
        <v>175.74445894216174</v>
      </c>
      <c r="I18" s="44">
        <f t="shared" si="12"/>
        <v>0.82359305385097814</v>
      </c>
      <c r="J18" s="44">
        <f t="shared" si="4"/>
        <v>-0.21652968633429381</v>
      </c>
      <c r="K18" s="44">
        <f t="shared" si="5"/>
        <v>0.67830551835158015</v>
      </c>
      <c r="L18" s="44">
        <f t="shared" si="6"/>
        <v>1.6944405794236941</v>
      </c>
      <c r="M18" s="44">
        <f t="shared" si="7"/>
        <v>0.41179652692548907</v>
      </c>
      <c r="N18" s="44">
        <v>-0.12850506460784589</v>
      </c>
      <c r="O18" s="44">
        <f t="shared" si="0"/>
        <v>-0.1112886504653551</v>
      </c>
      <c r="P18" s="44">
        <f t="shared" si="8"/>
        <v>1.2385163722399983E-2</v>
      </c>
      <c r="Q18" s="44">
        <f t="shared" si="9"/>
        <v>0.30050787646013399</v>
      </c>
      <c r="R18" s="44">
        <f t="shared" si="10"/>
        <v>9.0304983814579159E-2</v>
      </c>
      <c r="V18">
        <f t="shared" si="1"/>
        <v>-0.11497741967857017</v>
      </c>
    </row>
    <row r="19" spans="1:22" x14ac:dyDescent="0.35">
      <c r="A19" t="s">
        <v>52</v>
      </c>
      <c r="B19">
        <v>1957</v>
      </c>
      <c r="C19" s="5">
        <f>'Orig data'!G11/1000</f>
        <v>84.655000000000001</v>
      </c>
      <c r="D19" s="5">
        <f>'Orig data'!Q11/1000</f>
        <v>308.363</v>
      </c>
      <c r="E19" s="5">
        <f>'Orig data'!W11/1000</f>
        <v>267.91140112163424</v>
      </c>
      <c r="F19" s="44">
        <f t="shared" si="2"/>
        <v>1.1520721594430823</v>
      </c>
      <c r="G19" s="44">
        <f t="shared" si="11"/>
        <v>1.3686018457773761</v>
      </c>
      <c r="H19" s="44">
        <f t="shared" si="3"/>
        <v>332.68164755423447</v>
      </c>
      <c r="I19" s="44">
        <f t="shared" si="12"/>
        <v>-0.21652968633429381</v>
      </c>
      <c r="J19" s="44">
        <f t="shared" si="4"/>
        <v>5.756094519038446E-2</v>
      </c>
      <c r="K19" s="44">
        <f t="shared" si="5"/>
        <v>4.6885105064027668E-2</v>
      </c>
      <c r="L19" s="44">
        <f t="shared" si="6"/>
        <v>1.4210155927181782</v>
      </c>
      <c r="M19" s="44">
        <f t="shared" si="7"/>
        <v>-0.10826484316714691</v>
      </c>
      <c r="N19" s="44">
        <v>6.9464829100270298E-2</v>
      </c>
      <c r="O19" s="44">
        <f t="shared" si="0"/>
        <v>6.0158306670378608E-2</v>
      </c>
      <c r="P19" s="44">
        <f t="shared" si="8"/>
        <v>3.6190218614473193E-3</v>
      </c>
      <c r="Q19" s="44">
        <f t="shared" si="9"/>
        <v>-4.8106536496768298E-2</v>
      </c>
      <c r="R19" s="44">
        <f t="shared" si="10"/>
        <v>2.3142388537149001E-3</v>
      </c>
      <c r="V19">
        <f t="shared" si="1"/>
        <v>-9.1601041382696397E-2</v>
      </c>
    </row>
    <row r="20" spans="1:22" x14ac:dyDescent="0.35">
      <c r="A20" t="s">
        <v>52</v>
      </c>
      <c r="B20">
        <v>1958</v>
      </c>
      <c r="C20" s="5">
        <f>'Orig data'!G12/1000</f>
        <v>89.4</v>
      </c>
      <c r="D20" s="5">
        <f>'Orig data'!Q12/1000</f>
        <v>559.82899999999995</v>
      </c>
      <c r="E20" s="5">
        <f>'Orig data'!W12/1000</f>
        <v>261.83936777785595</v>
      </c>
      <c r="F20" s="44">
        <f t="shared" si="2"/>
        <v>1.0746105334743972</v>
      </c>
      <c r="G20" s="44">
        <f t="shared" si="11"/>
        <v>1.0170495882840127</v>
      </c>
      <c r="H20" s="44">
        <f t="shared" si="3"/>
        <v>247.19321318748933</v>
      </c>
      <c r="I20" s="44">
        <f t="shared" si="12"/>
        <v>5.756094519038446E-2</v>
      </c>
      <c r="J20" s="44">
        <f t="shared" si="4"/>
        <v>-0.1921648216494537</v>
      </c>
      <c r="K20" s="44">
        <f t="shared" si="5"/>
        <v>3.3132624112104441E-3</v>
      </c>
      <c r="L20" s="44">
        <f t="shared" si="6"/>
        <v>1.0724011797612758</v>
      </c>
      <c r="M20" s="44">
        <f t="shared" si="7"/>
        <v>2.878047259519223E-2</v>
      </c>
      <c r="N20" s="44">
        <v>-8.9265100465133654E-2</v>
      </c>
      <c r="O20" s="44">
        <f t="shared" si="0"/>
        <v>-7.7305844674175853E-2</v>
      </c>
      <c r="P20" s="44">
        <f t="shared" si="8"/>
        <v>5.9761936207878034E-3</v>
      </c>
      <c r="Q20" s="44">
        <f t="shared" si="9"/>
        <v>-4.8525372078983622E-2</v>
      </c>
      <c r="R20" s="44">
        <f t="shared" si="10"/>
        <v>2.3547117354038032E-3</v>
      </c>
      <c r="V20">
        <f t="shared" si="1"/>
        <v>-9.7886832740937665E-2</v>
      </c>
    </row>
    <row r="21" spans="1:22" x14ac:dyDescent="0.35">
      <c r="A21" t="s">
        <v>52</v>
      </c>
      <c r="B21">
        <v>1959</v>
      </c>
      <c r="C21" s="5">
        <f>'Orig data'!G13/1000</f>
        <v>152.30000000000001</v>
      </c>
      <c r="D21" s="5">
        <f>'Orig data'!Q13/1000</f>
        <v>651.62199999999996</v>
      </c>
      <c r="E21" s="5">
        <f>'Orig data'!W13/1000</f>
        <v>334.07781684886322</v>
      </c>
      <c r="F21" s="44">
        <f t="shared" si="2"/>
        <v>0.78552169051632736</v>
      </c>
      <c r="G21" s="44">
        <f t="shared" si="11"/>
        <v>0.97768651216578106</v>
      </c>
      <c r="H21" s="44">
        <f t="shared" si="3"/>
        <v>404.85896507125386</v>
      </c>
      <c r="I21" s="44">
        <f t="shared" si="12"/>
        <v>-0.1921648216494537</v>
      </c>
      <c r="J21" s="44">
        <f t="shared" si="4"/>
        <v>-8.6712799626261994E-2</v>
      </c>
      <c r="K21" s="44">
        <f t="shared" si="5"/>
        <v>3.6927318679566348E-2</v>
      </c>
      <c r="L21" s="44">
        <f t="shared" si="6"/>
        <v>1.0719823441790606</v>
      </c>
      <c r="M21" s="44">
        <f t="shared" si="7"/>
        <v>-9.6082410824726849E-2</v>
      </c>
      <c r="N21" s="44">
        <v>1.232324849456291E-2</v>
      </c>
      <c r="O21" s="44">
        <f t="shared" si="0"/>
        <v>1.0672246253439819E-2</v>
      </c>
      <c r="P21" s="44">
        <f t="shared" si="8"/>
        <v>1.1389684009406026E-4</v>
      </c>
      <c r="Q21" s="44">
        <f t="shared" si="9"/>
        <v>-8.5410164571287028E-2</v>
      </c>
      <c r="R21" s="44">
        <f t="shared" si="10"/>
        <v>7.2948962120943338E-3</v>
      </c>
      <c r="V21">
        <f t="shared" si="1"/>
        <v>-8.2254041325754271E-2</v>
      </c>
    </row>
    <row r="22" spans="1:22" x14ac:dyDescent="0.35">
      <c r="A22" t="s">
        <v>52</v>
      </c>
      <c r="B22">
        <v>1960</v>
      </c>
      <c r="C22" s="5">
        <f>'Orig data'!G14/1000</f>
        <v>144.78200000000001</v>
      </c>
      <c r="D22" s="5">
        <f>'Orig data'!Q14/1000</f>
        <v>390.714</v>
      </c>
      <c r="E22" s="5">
        <f>'Orig data'!W14/1000</f>
        <v>341.71355149719119</v>
      </c>
      <c r="F22" s="44">
        <f t="shared" si="2"/>
        <v>0.85874365455198154</v>
      </c>
      <c r="G22" s="44">
        <f t="shared" si="11"/>
        <v>0.94545645417824353</v>
      </c>
      <c r="H22" s="44">
        <f t="shared" si="3"/>
        <v>372.66713323206284</v>
      </c>
      <c r="I22" s="44">
        <f t="shared" si="12"/>
        <v>-8.6712799626261994E-2</v>
      </c>
      <c r="J22" s="44">
        <f t="shared" si="4"/>
        <v>-0.1527088821751591</v>
      </c>
      <c r="K22" s="44">
        <f t="shared" si="5"/>
        <v>7.5191096190242619E-3</v>
      </c>
      <c r="L22" s="44">
        <f t="shared" si="6"/>
        <v>1.0350975516867571</v>
      </c>
      <c r="M22" s="44">
        <f t="shared" si="7"/>
        <v>-4.3356399813130997E-2</v>
      </c>
      <c r="N22" s="44">
        <v>-0.10037094978810877</v>
      </c>
      <c r="O22" s="44">
        <f t="shared" si="0"/>
        <v>-8.692379231847451E-2</v>
      </c>
      <c r="P22" s="44">
        <f t="shared" si="8"/>
        <v>7.5557456710252883E-3</v>
      </c>
      <c r="Q22" s="44">
        <f t="shared" si="9"/>
        <v>-0.13028019213160552</v>
      </c>
      <c r="R22" s="44">
        <f t="shared" si="10"/>
        <v>1.6972928461848048E-2</v>
      </c>
      <c r="V22">
        <f t="shared" si="1"/>
        <v>-0.10209897154157095</v>
      </c>
    </row>
    <row r="23" spans="1:22" x14ac:dyDescent="0.35">
      <c r="A23" t="s">
        <v>52</v>
      </c>
      <c r="B23">
        <v>1961</v>
      </c>
      <c r="C23" s="5">
        <f>'Orig data'!G15/1000</f>
        <v>103.92</v>
      </c>
      <c r="D23" s="5">
        <f>'Orig data'!Q15/1000</f>
        <v>253.64400000000001</v>
      </c>
      <c r="E23" s="5">
        <f>'Orig data'!W15/1000</f>
        <v>225.15711171453759</v>
      </c>
      <c r="F23" s="44">
        <f t="shared" si="2"/>
        <v>0.77317706044885026</v>
      </c>
      <c r="G23" s="44">
        <f t="shared" si="11"/>
        <v>0.92588594262400936</v>
      </c>
      <c r="H23" s="44">
        <f t="shared" si="3"/>
        <v>262.3048337387159</v>
      </c>
      <c r="I23" s="44">
        <f t="shared" si="12"/>
        <v>-0.1527088821751591</v>
      </c>
      <c r="J23" s="44">
        <f t="shared" si="4"/>
        <v>5.1097396216281732E-2</v>
      </c>
      <c r="K23" s="44">
        <f t="shared" si="5"/>
        <v>2.3320002695186623E-2</v>
      </c>
      <c r="L23" s="44">
        <f t="shared" si="6"/>
        <v>0.99022752412643866</v>
      </c>
      <c r="M23" s="44">
        <f t="shared" si="7"/>
        <v>-7.635444108757955E-2</v>
      </c>
      <c r="N23" s="44">
        <v>6.7820600840254736E-2</v>
      </c>
      <c r="O23" s="44">
        <f t="shared" si="0"/>
        <v>5.8734363227584845E-2</v>
      </c>
      <c r="P23" s="44">
        <f t="shared" si="8"/>
        <v>3.449725423749871E-3</v>
      </c>
      <c r="Q23" s="44">
        <f t="shared" si="9"/>
        <v>-1.7620077859994705E-2</v>
      </c>
      <c r="R23" s="44">
        <f t="shared" si="10"/>
        <v>3.1046714379227559E-4</v>
      </c>
      <c r="V23">
        <f t="shared" si="1"/>
        <v>-9.1149584215503177E-2</v>
      </c>
    </row>
    <row r="24" spans="1:22" x14ac:dyDescent="0.35">
      <c r="A24" t="s">
        <v>52</v>
      </c>
      <c r="B24">
        <v>1962</v>
      </c>
      <c r="C24" s="5">
        <f>'Orig data'!G16/1000</f>
        <v>130.357</v>
      </c>
      <c r="D24" s="5">
        <f>'Orig data'!Q16/1000</f>
        <v>249.239</v>
      </c>
      <c r="E24" s="5">
        <f>'Orig data'!W16/1000</f>
        <v>381.28683850328019</v>
      </c>
      <c r="F24" s="44">
        <f t="shared" si="2"/>
        <v>1.0732751083257228</v>
      </c>
      <c r="G24" s="44">
        <f t="shared" si="11"/>
        <v>1.0221777121094411</v>
      </c>
      <c r="H24" s="44">
        <f t="shared" si="3"/>
        <v>362.29346225358427</v>
      </c>
      <c r="I24" s="44">
        <f t="shared" si="12"/>
        <v>5.1097396216281732E-2</v>
      </c>
      <c r="J24" s="44">
        <f t="shared" si="4"/>
        <v>-0.11223976253195556</v>
      </c>
      <c r="K24" s="44">
        <f t="shared" si="5"/>
        <v>2.6109439000836826E-3</v>
      </c>
      <c r="L24" s="44">
        <f t="shared" si="6"/>
        <v>1.1028876383980495</v>
      </c>
      <c r="M24" s="44">
        <f t="shared" si="7"/>
        <v>2.5548698108140866E-2</v>
      </c>
      <c r="N24" s="44">
        <v>-9.1783208715459461E-2</v>
      </c>
      <c r="O24" s="44">
        <f t="shared" si="0"/>
        <v>-7.9486590388437181E-2</v>
      </c>
      <c r="P24" s="44">
        <f t="shared" si="8"/>
        <v>6.3181180515791942E-3</v>
      </c>
      <c r="Q24" s="44">
        <f t="shared" si="9"/>
        <v>-5.3937892280296315E-2</v>
      </c>
      <c r="R24" s="44">
        <f t="shared" si="10"/>
        <v>2.9092962236408489E-3</v>
      </c>
      <c r="V24">
        <f t="shared" si="1"/>
        <v>-9.8798631223048133E-2</v>
      </c>
    </row>
    <row r="25" spans="1:22" x14ac:dyDescent="0.35">
      <c r="A25" t="s">
        <v>52</v>
      </c>
      <c r="B25">
        <v>1963</v>
      </c>
      <c r="C25" s="5">
        <f>'Orig data'!G17/1000</f>
        <v>192.245</v>
      </c>
      <c r="D25" s="5">
        <f>'Orig data'!Q17/1000</f>
        <v>339.88400000000001</v>
      </c>
      <c r="E25" s="5">
        <f>'Orig data'!W17/1000</f>
        <v>443.22301796618348</v>
      </c>
      <c r="F25" s="44">
        <f t="shared" si="2"/>
        <v>0.83530246968352773</v>
      </c>
      <c r="G25" s="44">
        <f t="shared" si="11"/>
        <v>0.94754223221548328</v>
      </c>
      <c r="H25" s="44">
        <f t="shared" si="3"/>
        <v>495.86952240964223</v>
      </c>
      <c r="I25" s="44">
        <f t="shared" si="12"/>
        <v>-0.11223976253195556</v>
      </c>
      <c r="J25" s="44">
        <f t="shared" si="4"/>
        <v>0.40092816580460078</v>
      </c>
      <c r="K25" s="44">
        <f t="shared" si="5"/>
        <v>1.2597764293229775E-2</v>
      </c>
      <c r="L25" s="44">
        <f t="shared" si="6"/>
        <v>1.0665698239777479</v>
      </c>
      <c r="M25" s="44">
        <f t="shared" si="7"/>
        <v>-5.6119881265977778E-2</v>
      </c>
      <c r="N25" s="44">
        <v>8.6018480624261082E-2</v>
      </c>
      <c r="O25" s="44">
        <f t="shared" si="0"/>
        <v>7.4494189415549611E-2</v>
      </c>
      <c r="P25" s="44">
        <f t="shared" si="8"/>
        <v>5.5493842566797834E-3</v>
      </c>
      <c r="Q25" s="44">
        <f t="shared" si="9"/>
        <v>1.8374308149571833E-2</v>
      </c>
      <c r="R25" s="44">
        <f t="shared" si="10"/>
        <v>3.376151999754219E-4</v>
      </c>
      <c r="V25">
        <f t="shared" si="1"/>
        <v>-9.6748674436649709E-2</v>
      </c>
    </row>
    <row r="26" spans="1:22" x14ac:dyDescent="0.35">
      <c r="A26" t="s">
        <v>52</v>
      </c>
      <c r="B26">
        <v>1964</v>
      </c>
      <c r="C26" s="5">
        <f>'Orig data'!G18/1000</f>
        <v>246.74100000000001</v>
      </c>
      <c r="D26" s="5">
        <f>'Orig data'!Q18/1000</f>
        <v>371.55599999999998</v>
      </c>
      <c r="E26" s="5">
        <f>'Orig data'!W18/1000</f>
        <v>987.70182797867938</v>
      </c>
      <c r="F26" s="44">
        <f t="shared" si="2"/>
        <v>1.3870416551709261</v>
      </c>
      <c r="G26" s="44">
        <f t="shared" si="11"/>
        <v>0.98611348936632537</v>
      </c>
      <c r="H26" s="44">
        <f t="shared" si="3"/>
        <v>661.46210328459722</v>
      </c>
      <c r="I26" s="44">
        <f t="shared" si="12"/>
        <v>0.40092816580460078</v>
      </c>
      <c r="J26" s="44">
        <f t="shared" si="4"/>
        <v>0.23798751887064018</v>
      </c>
      <c r="K26" s="44">
        <f t="shared" si="5"/>
        <v>0.16074339413544145</v>
      </c>
      <c r="L26" s="44">
        <f t="shared" si="6"/>
        <v>1.1388820244076159</v>
      </c>
      <c r="M26" s="44">
        <f t="shared" si="7"/>
        <v>0.20046408290230039</v>
      </c>
      <c r="N26" s="44">
        <v>0.17529012248386194</v>
      </c>
      <c r="O26" s="44">
        <f t="shared" si="0"/>
        <v>0.15180569910351024</v>
      </c>
      <c r="P26" s="44">
        <f t="shared" si="8"/>
        <v>2.3044970280305492E-2</v>
      </c>
      <c r="Q26" s="44">
        <f t="shared" si="9"/>
        <v>0.35226978200581061</v>
      </c>
      <c r="R26" s="44">
        <f t="shared" si="10"/>
        <v>0.12409399931442132</v>
      </c>
      <c r="V26">
        <f t="shared" si="1"/>
        <v>-0.14340357049965155</v>
      </c>
    </row>
    <row r="27" spans="1:22" x14ac:dyDescent="0.35">
      <c r="A27" t="s">
        <v>52</v>
      </c>
      <c r="B27">
        <v>1965</v>
      </c>
      <c r="C27" s="5">
        <f>'Orig data'!G19/1000</f>
        <v>129.459</v>
      </c>
      <c r="D27" s="5">
        <f>'Orig data'!Q19/1000</f>
        <v>170.47200000000001</v>
      </c>
      <c r="E27" s="5">
        <f>'Orig data'!W19/1000</f>
        <v>661.14640932591669</v>
      </c>
      <c r="F27" s="44">
        <f t="shared" si="2"/>
        <v>1.6306110833419334</v>
      </c>
      <c r="G27" s="44">
        <f t="shared" si="11"/>
        <v>1.3926235644712932</v>
      </c>
      <c r="H27" s="44">
        <f t="shared" si="3"/>
        <v>521.12388321167998</v>
      </c>
      <c r="I27" s="44">
        <f t="shared" si="12"/>
        <v>0.23798751887064018</v>
      </c>
      <c r="J27" s="44">
        <f t="shared" si="4"/>
        <v>-0.26442096656301106</v>
      </c>
      <c r="K27" s="44">
        <f t="shared" si="5"/>
        <v>5.6638059138203314E-2</v>
      </c>
      <c r="L27" s="44">
        <f t="shared" si="6"/>
        <v>1.4727774982638548</v>
      </c>
      <c r="M27" s="44">
        <f t="shared" si="7"/>
        <v>0.11899375943532009</v>
      </c>
      <c r="N27" s="44">
        <v>-0.14453604960775904</v>
      </c>
      <c r="O27" s="44">
        <f t="shared" si="0"/>
        <v>-0.12517189072296717</v>
      </c>
      <c r="P27" s="44">
        <f t="shared" si="8"/>
        <v>1.5668002227162435E-2</v>
      </c>
      <c r="Q27" s="44">
        <f t="shared" si="9"/>
        <v>-6.1781312876470762E-3</v>
      </c>
      <c r="R27" s="44">
        <f t="shared" si="10"/>
        <v>3.8169306207403719E-5</v>
      </c>
      <c r="V27">
        <f t="shared" si="1"/>
        <v>-0.12373165569126995</v>
      </c>
    </row>
    <row r="28" spans="1:22" x14ac:dyDescent="0.35">
      <c r="A28" t="s">
        <v>52</v>
      </c>
      <c r="B28">
        <v>1966</v>
      </c>
      <c r="C28" s="5">
        <f>'Orig data'!G20/1000</f>
        <v>360.81</v>
      </c>
      <c r="D28" s="5">
        <f>'Orig data'!Q20/1000</f>
        <v>419.75900000000001</v>
      </c>
      <c r="E28" s="5">
        <f>'Orig data'!W20/1000</f>
        <v>675.10369413613466</v>
      </c>
      <c r="F28" s="44">
        <f t="shared" si="2"/>
        <v>0.62651479602582782</v>
      </c>
      <c r="G28" s="44">
        <f t="shared" si="11"/>
        <v>0.89093576258883889</v>
      </c>
      <c r="H28" s="44">
        <f t="shared" si="3"/>
        <v>879.44169319525872</v>
      </c>
      <c r="I28" s="44">
        <f t="shared" si="12"/>
        <v>-0.26442096656301106</v>
      </c>
      <c r="J28" s="44">
        <f t="shared" si="4"/>
        <v>2.8118914213152491E-2</v>
      </c>
      <c r="K28" s="44">
        <f t="shared" si="5"/>
        <v>6.991844755811702E-2</v>
      </c>
      <c r="L28" s="44">
        <f t="shared" si="6"/>
        <v>1.1143295849703971</v>
      </c>
      <c r="M28" s="44">
        <f t="shared" si="7"/>
        <v>-0.13221048328150553</v>
      </c>
      <c r="N28" s="44">
        <v>6.0050162626493285E-2</v>
      </c>
      <c r="O28" s="44">
        <f t="shared" si="0"/>
        <v>5.2004966335930054E-2</v>
      </c>
      <c r="P28" s="44">
        <f t="shared" si="8"/>
        <v>2.7045165236012181E-3</v>
      </c>
      <c r="Q28" s="44">
        <f t="shared" si="9"/>
        <v>-8.0205516945575484E-2</v>
      </c>
      <c r="R28" s="44">
        <f t="shared" si="10"/>
        <v>6.4329249485069956E-3</v>
      </c>
      <c r="V28">
        <f t="shared" si="1"/>
        <v>-8.9162360481773603E-2</v>
      </c>
    </row>
    <row r="29" spans="1:22" x14ac:dyDescent="0.35">
      <c r="A29" t="s">
        <v>52</v>
      </c>
      <c r="B29">
        <v>1967</v>
      </c>
      <c r="C29" s="5">
        <f>'Orig data'!G21/1000</f>
        <v>213.87299999999999</v>
      </c>
      <c r="D29" s="5">
        <f>'Orig data'!Q21/1000</f>
        <v>323.00299999999999</v>
      </c>
      <c r="E29" s="5">
        <f>'Orig data'!W21/1000</f>
        <v>545.3266798881674</v>
      </c>
      <c r="F29" s="44">
        <f t="shared" si="2"/>
        <v>0.9360026468140249</v>
      </c>
      <c r="G29" s="44">
        <f t="shared" si="11"/>
        <v>0.90788373260087241</v>
      </c>
      <c r="H29" s="44">
        <f t="shared" si="3"/>
        <v>530.20626681971078</v>
      </c>
      <c r="I29" s="44">
        <f t="shared" si="12"/>
        <v>2.8118914213152491E-2</v>
      </c>
      <c r="J29" s="44">
        <f t="shared" si="4"/>
        <v>-1.6206109232203003E-3</v>
      </c>
      <c r="K29" s="44">
        <f t="shared" si="5"/>
        <v>7.9067333652662914E-4</v>
      </c>
      <c r="L29" s="44">
        <f t="shared" si="6"/>
        <v>1.0403021993124686</v>
      </c>
      <c r="M29" s="44">
        <f t="shared" si="7"/>
        <v>1.4059457106576245E-2</v>
      </c>
      <c r="N29" s="44">
        <v>-9.5620157498434694E-2</v>
      </c>
      <c r="O29" s="44">
        <f t="shared" si="0"/>
        <v>-8.2809485507513519E-2</v>
      </c>
      <c r="P29" s="44">
        <f t="shared" si="8"/>
        <v>6.8574108900190918E-3</v>
      </c>
      <c r="Q29" s="44">
        <f t="shared" si="9"/>
        <v>-6.8750028400937274E-2</v>
      </c>
      <c r="R29" s="44">
        <f t="shared" si="10"/>
        <v>4.7265664051296822E-3</v>
      </c>
      <c r="V29">
        <f t="shared" si="1"/>
        <v>-0.10023674545888778</v>
      </c>
    </row>
    <row r="30" spans="1:22" x14ac:dyDescent="0.35">
      <c r="A30" t="s">
        <v>52</v>
      </c>
      <c r="B30">
        <v>1968</v>
      </c>
      <c r="C30" s="5">
        <f>'Orig data'!G22/1000</f>
        <v>670.32799999999997</v>
      </c>
      <c r="D30" s="5">
        <f>'Orig data'!Q22/1000</f>
        <v>1153.2570000000001</v>
      </c>
      <c r="E30" s="5">
        <f>'Orig data'!W22/1000</f>
        <v>1265.058668922991</v>
      </c>
      <c r="F30" s="44">
        <f t="shared" si="2"/>
        <v>0.63510663384920174</v>
      </c>
      <c r="G30" s="44">
        <f t="shared" si="11"/>
        <v>0.63672724477242204</v>
      </c>
      <c r="H30" s="44">
        <f t="shared" si="3"/>
        <v>1267.1104989803903</v>
      </c>
      <c r="I30" s="44">
        <f t="shared" si="12"/>
        <v>-1.6206109232203003E-3</v>
      </c>
      <c r="J30" s="44">
        <f t="shared" si="4"/>
        <v>0.40647350571031038</v>
      </c>
      <c r="K30" s="44">
        <f t="shared" si="5"/>
        <v>2.6263797644609543E-6</v>
      </c>
      <c r="L30" s="44">
        <f t="shared" si="6"/>
        <v>1.0517576878571069</v>
      </c>
      <c r="M30" s="44">
        <f t="shared" si="7"/>
        <v>-8.1030546161015016E-4</v>
      </c>
      <c r="N30" s="44">
        <v>0.18980311501686525</v>
      </c>
      <c r="O30" s="44">
        <f t="shared" si="0"/>
        <v>0.16437431932202498</v>
      </c>
      <c r="P30" s="44">
        <f t="shared" si="8"/>
        <v>2.7018916852579036E-2</v>
      </c>
      <c r="Q30" s="44">
        <f t="shared" si="9"/>
        <v>0.16356401386041483</v>
      </c>
      <c r="R30" s="44">
        <f t="shared" si="10"/>
        <v>2.6753186630129974E-2</v>
      </c>
      <c r="V30">
        <f t="shared" si="1"/>
        <v>-0.15400076135904769</v>
      </c>
    </row>
    <row r="31" spans="1:22" x14ac:dyDescent="0.35">
      <c r="A31" t="s">
        <v>52</v>
      </c>
      <c r="B31">
        <v>1969</v>
      </c>
      <c r="C31" s="5">
        <f>'Orig data'!G23/1000</f>
        <v>309.22000000000003</v>
      </c>
      <c r="D31" s="5">
        <f>'Orig data'!Q23/1000</f>
        <v>578.49300000000005</v>
      </c>
      <c r="E31" s="5">
        <f>'Orig data'!W23/1000</f>
        <v>1384.5716850271895</v>
      </c>
      <c r="F31" s="44">
        <f t="shared" si="2"/>
        <v>1.4990931204305669</v>
      </c>
      <c r="G31" s="44">
        <f t="shared" si="11"/>
        <v>1.0926196147202565</v>
      </c>
      <c r="H31" s="44">
        <f t="shared" si="3"/>
        <v>922.11745999012555</v>
      </c>
      <c r="I31" s="44">
        <f t="shared" si="12"/>
        <v>0.40647350571031038</v>
      </c>
      <c r="J31" s="44">
        <f t="shared" si="4"/>
        <v>-0.12407596114047315</v>
      </c>
      <c r="K31" s="44">
        <f t="shared" si="5"/>
        <v>0.16522071084442971</v>
      </c>
      <c r="L31" s="44">
        <f t="shared" si="6"/>
        <v>1.284071730118459</v>
      </c>
      <c r="M31" s="44">
        <f t="shared" si="7"/>
        <v>0.20323675285515519</v>
      </c>
      <c r="N31" s="44">
        <v>-2.7612187956873951E-2</v>
      </c>
      <c r="O31" s="44">
        <f t="shared" si="0"/>
        <v>-2.3912856224723576E-2</v>
      </c>
      <c r="P31" s="44">
        <f t="shared" si="8"/>
        <v>5.7182469282430104E-4</v>
      </c>
      <c r="Q31" s="44">
        <f t="shared" si="9"/>
        <v>0.17932389663043161</v>
      </c>
      <c r="R31" s="44">
        <f t="shared" si="10"/>
        <v>3.2157059902721719E-2</v>
      </c>
      <c r="V31">
        <f t="shared" si="1"/>
        <v>-8.3475182266368325E-2</v>
      </c>
    </row>
    <row r="32" spans="1:22" x14ac:dyDescent="0.35">
      <c r="A32" t="s">
        <v>52</v>
      </c>
      <c r="B32">
        <v>1970</v>
      </c>
      <c r="C32" s="5">
        <f>'Orig data'!G24/1000</f>
        <v>284.25</v>
      </c>
      <c r="D32" s="5">
        <f>'Orig data'!Q24/1000</f>
        <v>739.35500000000002</v>
      </c>
      <c r="E32" s="5">
        <f>'Orig data'!W24/1000</f>
        <v>772.48896786137789</v>
      </c>
      <c r="F32" s="44">
        <f t="shared" si="2"/>
        <v>0.9997635949536845</v>
      </c>
      <c r="G32" s="44">
        <f t="shared" si="11"/>
        <v>1.1238395560941576</v>
      </c>
      <c r="H32" s="44">
        <f t="shared" si="3"/>
        <v>874.53620003497679</v>
      </c>
      <c r="I32" s="44">
        <f t="shared" si="12"/>
        <v>-0.12407596114047315</v>
      </c>
      <c r="J32" s="44">
        <f t="shared" si="4"/>
        <v>-0.14141744529628142</v>
      </c>
      <c r="K32" s="44">
        <f t="shared" si="5"/>
        <v>1.5394844132932201E-2</v>
      </c>
      <c r="L32" s="44">
        <f t="shared" si="6"/>
        <v>1.2998316128884757</v>
      </c>
      <c r="M32" s="44">
        <f t="shared" si="7"/>
        <v>-6.2037980570236573E-2</v>
      </c>
      <c r="N32" s="44">
        <v>-5.2315078629044234E-2</v>
      </c>
      <c r="O32" s="44">
        <f t="shared" si="0"/>
        <v>-4.5306187093732686E-2</v>
      </c>
      <c r="P32" s="44">
        <f t="shared" si="8"/>
        <v>2.0526505889723102E-3</v>
      </c>
      <c r="Q32" s="44">
        <f t="shared" si="9"/>
        <v>-0.10734416766396926</v>
      </c>
      <c r="R32" s="44">
        <f t="shared" si="10"/>
        <v>1.1522770331470344E-2</v>
      </c>
      <c r="V32">
        <f t="shared" si="1"/>
        <v>-8.7424051322763083E-2</v>
      </c>
    </row>
    <row r="33" spans="1:22" x14ac:dyDescent="0.35">
      <c r="A33" t="s">
        <v>52</v>
      </c>
      <c r="B33">
        <v>1971</v>
      </c>
      <c r="C33" s="5">
        <f>'Orig data'!G25/1000</f>
        <v>290.125</v>
      </c>
      <c r="D33" s="5">
        <f>'Orig data'!Q25/1000</f>
        <v>376.36399999999998</v>
      </c>
      <c r="E33" s="5">
        <f>'Orig data'!W25/1000</f>
        <v>579.65229497526025</v>
      </c>
      <c r="F33" s="44">
        <f t="shared" si="2"/>
        <v>0.69211656775706687</v>
      </c>
      <c r="G33" s="44">
        <f t="shared" si="11"/>
        <v>0.83353401305334829</v>
      </c>
      <c r="H33" s="44">
        <f t="shared" si="3"/>
        <v>667.70461167568703</v>
      </c>
      <c r="I33" s="44">
        <f t="shared" si="12"/>
        <v>-0.14141744529628142</v>
      </c>
      <c r="J33" s="44">
        <f t="shared" si="4"/>
        <v>-5.1463200955014221E-3</v>
      </c>
      <c r="K33" s="44">
        <f t="shared" si="5"/>
        <v>1.9998893834126747E-2</v>
      </c>
      <c r="L33" s="44">
        <f t="shared" si="6"/>
        <v>1.0131635485940749</v>
      </c>
      <c r="M33" s="44">
        <f t="shared" si="7"/>
        <v>-7.0708722648140709E-2</v>
      </c>
      <c r="N33" s="44">
        <v>-1.8167362384701184E-2</v>
      </c>
      <c r="O33" s="44">
        <f t="shared" si="0"/>
        <v>-1.5733397344909063E-2</v>
      </c>
      <c r="P33" s="44">
        <f t="shared" si="8"/>
        <v>2.4753979201279152E-4</v>
      </c>
      <c r="Q33" s="44">
        <f t="shared" si="9"/>
        <v>-8.6442119993049765E-2</v>
      </c>
      <c r="R33" s="44">
        <f t="shared" si="10"/>
        <v>7.4722401088928138E-3</v>
      </c>
      <c r="V33">
        <f t="shared" si="1"/>
        <v>-8.2610422530870892E-2</v>
      </c>
    </row>
    <row r="34" spans="1:22" x14ac:dyDescent="0.35">
      <c r="A34" t="s">
        <v>52</v>
      </c>
      <c r="B34">
        <v>1972</v>
      </c>
      <c r="C34" s="5">
        <f>'Orig data'!G26/1000</f>
        <v>423.29</v>
      </c>
      <c r="D34" s="5">
        <f>'Orig data'!Q26/1000</f>
        <v>1349.82</v>
      </c>
      <c r="E34" s="5">
        <f>'Orig data'!W26/1000</f>
        <v>911.32426470989026</v>
      </c>
      <c r="F34" s="44">
        <f t="shared" si="2"/>
        <v>0.76684125428570438</v>
      </c>
      <c r="G34" s="44">
        <f t="shared" si="11"/>
        <v>0.7719875743812058</v>
      </c>
      <c r="H34" s="44">
        <f t="shared" si="3"/>
        <v>916.0263198496425</v>
      </c>
      <c r="I34" s="44">
        <f t="shared" si="12"/>
        <v>-5.1463200955014221E-3</v>
      </c>
      <c r="J34" s="44">
        <f t="shared" si="4"/>
        <v>0.13352329751751191</v>
      </c>
      <c r="K34" s="44">
        <f t="shared" si="5"/>
        <v>2.6484610525361765E-5</v>
      </c>
      <c r="L34" s="44">
        <f t="shared" si="6"/>
        <v>1.0340655962649943</v>
      </c>
      <c r="M34" s="44">
        <f t="shared" si="7"/>
        <v>-2.5731600477507111E-3</v>
      </c>
      <c r="N34" s="44">
        <v>3.1475325334864558E-2</v>
      </c>
      <c r="O34" s="44">
        <f t="shared" si="0"/>
        <v>2.725843133237265E-2</v>
      </c>
      <c r="P34" s="44">
        <f t="shared" si="8"/>
        <v>7.4302207870167503E-4</v>
      </c>
      <c r="Q34" s="44">
        <f t="shared" si="9"/>
        <v>2.4685271284621939E-2</v>
      </c>
      <c r="R34" s="44">
        <f t="shared" si="10"/>
        <v>6.0936261839538049E-4</v>
      </c>
      <c r="V34">
        <f t="shared" si="1"/>
        <v>-8.3931708628707885E-2</v>
      </c>
    </row>
    <row r="35" spans="1:22" x14ac:dyDescent="0.35">
      <c r="A35" t="s">
        <v>52</v>
      </c>
      <c r="B35">
        <v>1973</v>
      </c>
      <c r="C35" s="5">
        <f>'Orig data'!G27/1000</f>
        <v>267.08</v>
      </c>
      <c r="D35" s="5">
        <f>'Orig data'!Q27/1000</f>
        <v>1506.96</v>
      </c>
      <c r="E35" s="5">
        <f>'Orig data'!W27/1000</f>
        <v>813.13991537652919</v>
      </c>
      <c r="F35" s="44">
        <f t="shared" si="2"/>
        <v>1.1133549533851508</v>
      </c>
      <c r="G35" s="44">
        <f t="shared" si="11"/>
        <v>0.97983165586763887</v>
      </c>
      <c r="H35" s="44">
        <f t="shared" si="3"/>
        <v>711.50318562557641</v>
      </c>
      <c r="I35" s="44">
        <f t="shared" si="12"/>
        <v>0.13352329751751191</v>
      </c>
      <c r="J35" s="44">
        <f t="shared" si="4"/>
        <v>5.2475172404526926E-2</v>
      </c>
      <c r="K35" s="44">
        <f t="shared" si="5"/>
        <v>1.7828470979950002E-2</v>
      </c>
      <c r="L35" s="44">
        <f t="shared" si="6"/>
        <v>1.1451929875426661</v>
      </c>
      <c r="M35" s="44">
        <f t="shared" si="7"/>
        <v>6.6761648758755954E-2</v>
      </c>
      <c r="N35" s="44">
        <v>5.2488172753032192E-2</v>
      </c>
      <c r="O35" s="44">
        <f t="shared" si="0"/>
        <v>4.5456091002352074E-2</v>
      </c>
      <c r="P35" s="44">
        <f t="shared" si="8"/>
        <v>2.0662562092141133E-3</v>
      </c>
      <c r="Q35" s="44">
        <f t="shared" si="9"/>
        <v>0.11221773976110802</v>
      </c>
      <c r="R35" s="44">
        <f t="shared" si="10"/>
        <v>1.2592821117091764E-2</v>
      </c>
      <c r="V35">
        <f t="shared" si="1"/>
        <v>-8.7460332976741217E-2</v>
      </c>
    </row>
    <row r="36" spans="1:22" x14ac:dyDescent="0.35">
      <c r="A36" t="s">
        <v>52</v>
      </c>
      <c r="B36">
        <v>1974</v>
      </c>
      <c r="C36" s="5">
        <f>'Orig data'!G28/1000</f>
        <v>350.315</v>
      </c>
      <c r="D36" s="5">
        <f>'Orig data'!Q28/1000</f>
        <v>717.85400000000004</v>
      </c>
      <c r="E36" s="5">
        <f>'Orig data'!W28/1000</f>
        <v>1019.5712613318693</v>
      </c>
      <c r="F36" s="44">
        <f t="shared" si="2"/>
        <v>1.0683047361601732</v>
      </c>
      <c r="G36" s="44">
        <f t="shared" si="11"/>
        <v>1.0158295637556463</v>
      </c>
      <c r="H36" s="44">
        <f t="shared" si="3"/>
        <v>967.44861606376878</v>
      </c>
      <c r="I36" s="44">
        <f t="shared" si="12"/>
        <v>5.2475172404526926E-2</v>
      </c>
      <c r="J36" s="44">
        <f t="shared" si="4"/>
        <v>-5.2306154243649372E-2</v>
      </c>
      <c r="K36" s="44">
        <f t="shared" si="5"/>
        <v>2.7536437188848241E-3</v>
      </c>
      <c r="L36" s="44">
        <f t="shared" si="6"/>
        <v>1.2327254560191521</v>
      </c>
      <c r="M36" s="44">
        <f t="shared" si="7"/>
        <v>2.6237586202263463E-2</v>
      </c>
      <c r="N36" s="44">
        <v>-5.9745406396304518E-2</v>
      </c>
      <c r="O36" s="44">
        <f t="shared" si="0"/>
        <v>-5.1741039698625001E-2</v>
      </c>
      <c r="P36" s="44">
        <f t="shared" si="8"/>
        <v>2.6771351890946884E-3</v>
      </c>
      <c r="Q36" s="44">
        <f t="shared" si="9"/>
        <v>-2.5503453496361538E-2</v>
      </c>
      <c r="R36" s="44">
        <f t="shared" si="10"/>
        <v>6.5042614024107554E-4</v>
      </c>
      <c r="V36">
        <f t="shared" si="1"/>
        <v>-8.9089343589755968E-2</v>
      </c>
    </row>
    <row r="37" spans="1:22" x14ac:dyDescent="0.35">
      <c r="A37" t="s">
        <v>52</v>
      </c>
      <c r="B37">
        <v>1975</v>
      </c>
      <c r="C37" s="5">
        <f>'Orig data'!G29/1000</f>
        <v>191.42</v>
      </c>
      <c r="D37" s="5">
        <f>'Orig data'!Q29/1000</f>
        <v>486.19900000000001</v>
      </c>
      <c r="E37" s="5">
        <f>'Orig data'!W29/1000</f>
        <v>482.34097376990769</v>
      </c>
      <c r="F37" s="44">
        <f t="shared" si="2"/>
        <v>0.92418131164356232</v>
      </c>
      <c r="G37" s="44">
        <f t="shared" si="11"/>
        <v>0.97648746588721169</v>
      </c>
      <c r="H37" s="44">
        <f t="shared" si="3"/>
        <v>508.24185797468391</v>
      </c>
      <c r="I37" s="44">
        <f t="shared" si="12"/>
        <v>-5.2306154243649372E-2</v>
      </c>
      <c r="J37" s="44">
        <f t="shared" si="4"/>
        <v>-0.10579539502182345</v>
      </c>
      <c r="K37" s="44">
        <f t="shared" si="5"/>
        <v>2.7359337717604393E-3</v>
      </c>
      <c r="L37" s="44">
        <f t="shared" si="6"/>
        <v>1.0950042627616825</v>
      </c>
      <c r="M37" s="44">
        <f t="shared" si="7"/>
        <v>-2.6153077121824686E-2</v>
      </c>
      <c r="N37" s="44">
        <v>7.4645166544094629E-2</v>
      </c>
      <c r="O37" s="44">
        <f t="shared" si="0"/>
        <v>6.4644610496906216E-2</v>
      </c>
      <c r="P37" s="44">
        <f t="shared" si="8"/>
        <v>4.1789256662967175E-3</v>
      </c>
      <c r="Q37" s="44">
        <f t="shared" si="9"/>
        <v>3.849153337508153E-2</v>
      </c>
      <c r="R37" s="44">
        <f t="shared" si="10"/>
        <v>1.4815981415650153E-3</v>
      </c>
      <c r="V37">
        <f t="shared" si="1"/>
        <v>-9.3094118195628045E-2</v>
      </c>
    </row>
    <row r="38" spans="1:22" x14ac:dyDescent="0.35">
      <c r="A38" t="s">
        <v>52</v>
      </c>
      <c r="B38">
        <v>1976</v>
      </c>
      <c r="C38" s="5">
        <f>'Orig data'!G30/1000</f>
        <v>340.517</v>
      </c>
      <c r="D38" s="5">
        <f>'Orig data'!Q30/1000</f>
        <v>1003.722</v>
      </c>
      <c r="E38" s="5">
        <f>'Orig data'!W30/1000</f>
        <v>790.63735533950648</v>
      </c>
      <c r="F38" s="44">
        <f t="shared" si="2"/>
        <v>0.84237434817882784</v>
      </c>
      <c r="G38" s="44">
        <f t="shared" si="11"/>
        <v>0.94816974320065128</v>
      </c>
      <c r="H38" s="44">
        <f t="shared" si="3"/>
        <v>878.86806887031128</v>
      </c>
      <c r="I38" s="44">
        <f t="shared" si="12"/>
        <v>-0.10579539502182345</v>
      </c>
      <c r="J38" s="44">
        <f t="shared" si="4"/>
        <v>-0.53174597115018085</v>
      </c>
      <c r="K38" s="44">
        <f t="shared" si="5"/>
        <v>1.1192665607823666E-2</v>
      </c>
      <c r="L38" s="44">
        <f t="shared" si="6"/>
        <v>1.1589992496331256</v>
      </c>
      <c r="M38" s="44">
        <f t="shared" si="7"/>
        <v>-5.2897697510911723E-2</v>
      </c>
      <c r="N38" s="44">
        <v>-0.24083393178358048</v>
      </c>
      <c r="O38" s="44">
        <f t="shared" si="0"/>
        <v>-0.20856830301786922</v>
      </c>
      <c r="P38" s="44">
        <f t="shared" si="8"/>
        <v>4.3500737023753712E-2</v>
      </c>
      <c r="Q38" s="44">
        <f t="shared" si="9"/>
        <v>-0.26146600052878094</v>
      </c>
      <c r="R38" s="44">
        <f t="shared" si="10"/>
        <v>6.8364469432516478E-2</v>
      </c>
      <c r="V38">
        <f t="shared" si="1"/>
        <v>-0.19795228181551355</v>
      </c>
    </row>
    <row r="39" spans="1:22" x14ac:dyDescent="0.35">
      <c r="A39" t="s">
        <v>52</v>
      </c>
      <c r="B39">
        <v>1977</v>
      </c>
      <c r="C39" s="5">
        <f>'Orig data'!G31/1000</f>
        <v>599.34100000000001</v>
      </c>
      <c r="D39" s="5">
        <f>'Orig data'!Q31/1000</f>
        <v>722.53599999999994</v>
      </c>
      <c r="E39" s="5">
        <f>'Orig data'!W31/1000</f>
        <v>573.66596733916629</v>
      </c>
      <c r="F39" s="44">
        <f t="shared" si="2"/>
        <v>-4.3783429778572559E-2</v>
      </c>
      <c r="G39" s="44">
        <f t="shared" si="11"/>
        <v>0.48796254137160827</v>
      </c>
      <c r="H39" s="44">
        <f t="shared" si="3"/>
        <v>976.32279043984352</v>
      </c>
      <c r="I39" s="44">
        <f t="shared" si="12"/>
        <v>-0.53174597115018085</v>
      </c>
      <c r="J39" s="44">
        <f t="shared" si="4"/>
        <v>-3.2169456509434591E-2</v>
      </c>
      <c r="K39" s="44">
        <f t="shared" si="5"/>
        <v>0.28275377783444899</v>
      </c>
      <c r="L39" s="44">
        <f t="shared" si="6"/>
        <v>0.85904171572926313</v>
      </c>
      <c r="M39" s="44">
        <f t="shared" si="7"/>
        <v>-0.26587298557509043</v>
      </c>
      <c r="N39" s="44">
        <v>2.1143836549737768E-2</v>
      </c>
      <c r="O39" s="44">
        <f t="shared" si="0"/>
        <v>1.8311099585538823E-2</v>
      </c>
      <c r="P39" s="44">
        <f t="shared" si="8"/>
        <v>3.3529636803152004E-4</v>
      </c>
      <c r="Q39" s="44">
        <f t="shared" si="9"/>
        <v>-0.24756188598955159</v>
      </c>
      <c r="R39" s="44">
        <f t="shared" si="10"/>
        <v>6.128688739470374E-2</v>
      </c>
      <c r="V39">
        <f t="shared" si="1"/>
        <v>-8.2844440066920946E-2</v>
      </c>
    </row>
    <row r="40" spans="1:22" x14ac:dyDescent="0.35">
      <c r="A40" t="s">
        <v>52</v>
      </c>
      <c r="B40">
        <v>1978</v>
      </c>
      <c r="C40" s="5">
        <f>'Orig data'!G32/1000</f>
        <v>358.99</v>
      </c>
      <c r="D40" s="5">
        <f>'Orig data'!Q32/1000</f>
        <v>1185.223</v>
      </c>
      <c r="E40" s="5">
        <f>'Orig data'!W32/1000</f>
        <v>666.34258408459743</v>
      </c>
      <c r="F40" s="44">
        <f t="shared" si="2"/>
        <v>0.6185093958572383</v>
      </c>
      <c r="G40" s="44">
        <f t="shared" si="11"/>
        <v>0.65067885236667289</v>
      </c>
      <c r="H40" s="44">
        <f t="shared" si="3"/>
        <v>688.12698031432649</v>
      </c>
      <c r="I40" s="44">
        <f t="shared" si="12"/>
        <v>-3.2169456509434591E-2</v>
      </c>
      <c r="J40" s="44">
        <f t="shared" si="4"/>
        <v>-0.17877697422502348</v>
      </c>
      <c r="K40" s="44">
        <f t="shared" si="5"/>
        <v>1.0348739321124035E-3</v>
      </c>
      <c r="L40" s="44">
        <f t="shared" si="6"/>
        <v>0.87294583026849248</v>
      </c>
      <c r="M40" s="44">
        <f t="shared" si="7"/>
        <v>-1.6084728254717295E-2</v>
      </c>
      <c r="N40" s="44">
        <v>-7.0226949343284384E-2</v>
      </c>
      <c r="O40" s="44">
        <f t="shared" si="0"/>
        <v>-6.081832216156717E-2</v>
      </c>
      <c r="P40" s="44">
        <f t="shared" si="8"/>
        <v>3.6988683105481724E-3</v>
      </c>
      <c r="Q40" s="44">
        <f t="shared" si="9"/>
        <v>-7.6903050416284466E-2</v>
      </c>
      <c r="R40" s="44">
        <f t="shared" si="10"/>
        <v>5.9140791633295903E-3</v>
      </c>
      <c r="V40">
        <f t="shared" si="1"/>
        <v>-9.1813965246965251E-2</v>
      </c>
    </row>
    <row r="41" spans="1:22" x14ac:dyDescent="0.35">
      <c r="A41" t="s">
        <v>52</v>
      </c>
      <c r="B41">
        <v>1979</v>
      </c>
      <c r="C41" s="5">
        <f>'Orig data'!G33/1000</f>
        <v>255.63399999999999</v>
      </c>
      <c r="D41" s="5">
        <f>'Orig data'!Q33/1000</f>
        <v>308.73200000000003</v>
      </c>
      <c r="E41" s="5">
        <f>'Orig data'!W33/1000</f>
        <v>518.16816439239653</v>
      </c>
      <c r="F41" s="44">
        <f t="shared" si="2"/>
        <v>0.70655309725769067</v>
      </c>
      <c r="G41" s="44">
        <f t="shared" si="11"/>
        <v>0.88533007148271414</v>
      </c>
      <c r="H41" s="44">
        <f t="shared" si="3"/>
        <v>619.60167102704975</v>
      </c>
      <c r="I41" s="44">
        <f t="shared" si="12"/>
        <v>-0.17877697422502348</v>
      </c>
      <c r="J41" s="44">
        <f t="shared" si="4"/>
        <v>6.1343647812618363E-2</v>
      </c>
      <c r="K41" s="44">
        <f t="shared" si="5"/>
        <v>3.1961206513054709E-2</v>
      </c>
      <c r="L41" s="44">
        <f t="shared" si="6"/>
        <v>1.0436046658417597</v>
      </c>
      <c r="M41" s="44">
        <f t="shared" si="7"/>
        <v>-8.9388487112511739E-2</v>
      </c>
      <c r="N41" s="44">
        <v>-1.5527048944131728E-2</v>
      </c>
      <c r="O41" s="44">
        <f t="shared" si="0"/>
        <v>-1.344681883142242E-2</v>
      </c>
      <c r="P41" s="44">
        <f t="shared" si="8"/>
        <v>1.808169366850966E-4</v>
      </c>
      <c r="Q41" s="44">
        <f t="shared" si="9"/>
        <v>-0.10283530594393415</v>
      </c>
      <c r="R41" s="44">
        <f t="shared" si="10"/>
        <v>1.0575100148582539E-2</v>
      </c>
      <c r="V41">
        <f t="shared" si="1"/>
        <v>-8.2432494916663823E-2</v>
      </c>
    </row>
    <row r="42" spans="1:22" x14ac:dyDescent="0.35">
      <c r="A42" t="s">
        <v>52</v>
      </c>
      <c r="B42">
        <v>1980</v>
      </c>
      <c r="C42" s="5">
        <f>'Orig data'!G34/1000</f>
        <v>314.01100000000002</v>
      </c>
      <c r="D42" s="5">
        <f>'Orig data'!Q34/1000</f>
        <v>909.35299999999995</v>
      </c>
      <c r="E42" s="5">
        <f>'Orig data'!W34/1000</f>
        <v>760.53766313594872</v>
      </c>
      <c r="F42" s="44">
        <f t="shared" si="2"/>
        <v>0.88459761750741206</v>
      </c>
      <c r="G42" s="44">
        <f t="shared" si="11"/>
        <v>0.8232539696947937</v>
      </c>
      <c r="H42" s="44">
        <f t="shared" si="3"/>
        <v>715.28565961067011</v>
      </c>
      <c r="I42" s="44">
        <f t="shared" si="12"/>
        <v>6.1343647812618363E-2</v>
      </c>
      <c r="J42" s="44">
        <f t="shared" si="4"/>
        <v>0.38965585251618118</v>
      </c>
      <c r="K42" s="44">
        <f t="shared" si="5"/>
        <v>3.7630431269585576E-3</v>
      </c>
      <c r="L42" s="44">
        <f t="shared" si="6"/>
        <v>1.0176724103141099</v>
      </c>
      <c r="M42" s="44">
        <f t="shared" si="7"/>
        <v>3.0671823906309181E-2</v>
      </c>
      <c r="N42" s="44">
        <v>8.218833225994035E-2</v>
      </c>
      <c r="O42" s="44">
        <f t="shared" si="0"/>
        <v>7.1177183631784449E-2</v>
      </c>
      <c r="P42" s="44">
        <f t="shared" si="8"/>
        <v>5.0661914697527639E-3</v>
      </c>
      <c r="Q42" s="44">
        <f t="shared" si="9"/>
        <v>0.10184900753809363</v>
      </c>
      <c r="R42" s="44">
        <f t="shared" si="10"/>
        <v>1.0373220336494654E-2</v>
      </c>
      <c r="V42">
        <f t="shared" si="1"/>
        <v>-9.5460160338177669E-2</v>
      </c>
    </row>
    <row r="43" spans="1:22" x14ac:dyDescent="0.35">
      <c r="A43" t="s">
        <v>52</v>
      </c>
      <c r="B43">
        <v>1981</v>
      </c>
      <c r="C43" s="5">
        <f>'Orig data'!G35/1000</f>
        <v>436.99599999999998</v>
      </c>
      <c r="D43" s="5">
        <f>'Orig data'!Q35/1000</f>
        <v>500.27100000000002</v>
      </c>
      <c r="E43" s="5">
        <f>'Orig data'!W35/1000</f>
        <v>1671.325980114849</v>
      </c>
      <c r="F43" s="44">
        <f t="shared" si="2"/>
        <v>1.3414485486926537</v>
      </c>
      <c r="G43" s="44">
        <f t="shared" si="11"/>
        <v>0.95179269617647255</v>
      </c>
      <c r="H43" s="44">
        <f t="shared" si="3"/>
        <v>1131.9722427369452</v>
      </c>
      <c r="I43" s="44">
        <f t="shared" si="12"/>
        <v>0.38965585251618118</v>
      </c>
      <c r="J43" s="44">
        <f t="shared" si="4"/>
        <v>0.2365284626138453</v>
      </c>
      <c r="K43" s="44">
        <f t="shared" si="5"/>
        <v>0.15183168340011194</v>
      </c>
      <c r="L43" s="44">
        <f t="shared" si="6"/>
        <v>1.2223567237961377</v>
      </c>
      <c r="M43" s="44">
        <f t="shared" si="7"/>
        <v>0.19482792625809059</v>
      </c>
      <c r="N43" s="44">
        <v>0.17335083132973189</v>
      </c>
      <c r="O43" s="44">
        <f t="shared" si="0"/>
        <v>0.15012622369869916</v>
      </c>
      <c r="P43" s="44">
        <f t="shared" si="8"/>
        <v>2.2537883042031859E-2</v>
      </c>
      <c r="Q43" s="44">
        <f t="shared" si="9"/>
        <v>0.34495414995678975</v>
      </c>
      <c r="R43" s="44">
        <f t="shared" si="10"/>
        <v>0.11899336557241139</v>
      </c>
      <c r="V43">
        <f t="shared" si="1"/>
        <v>-0.14205133786425508</v>
      </c>
    </row>
    <row r="44" spans="1:22" x14ac:dyDescent="0.35">
      <c r="A44" t="s">
        <v>52</v>
      </c>
      <c r="B44">
        <v>1982</v>
      </c>
      <c r="C44" s="5">
        <f>'Orig data'!G36/1000</f>
        <v>326.43900000000002</v>
      </c>
      <c r="D44" s="5">
        <f>'Orig data'!Q36/1000</f>
        <v>724.01099999999997</v>
      </c>
      <c r="E44" s="5">
        <f>'Orig data'!W36/1000</f>
        <v>1462.8183804338967</v>
      </c>
      <c r="F44" s="44">
        <f t="shared" si="2"/>
        <v>1.4998771501905774</v>
      </c>
      <c r="G44" s="44">
        <f t="shared" si="11"/>
        <v>1.2633486875767321</v>
      </c>
      <c r="H44" s="44">
        <f t="shared" si="3"/>
        <v>1154.6953117718551</v>
      </c>
      <c r="I44" s="44">
        <f t="shared" si="12"/>
        <v>0.2365284626138453</v>
      </c>
      <c r="J44" s="44">
        <f t="shared" si="4"/>
        <v>-0.29217562942191322</v>
      </c>
      <c r="K44" s="44">
        <f t="shared" si="5"/>
        <v>5.5945713626469218E-2</v>
      </c>
      <c r="L44" s="44">
        <f t="shared" si="6"/>
        <v>1.465461866214834</v>
      </c>
      <c r="M44" s="44">
        <f t="shared" si="7"/>
        <v>0.11826423130692265</v>
      </c>
      <c r="N44" s="44">
        <v>-0.14172707111586155</v>
      </c>
      <c r="O44" s="44">
        <f t="shared" si="0"/>
        <v>-0.12273924399029984</v>
      </c>
      <c r="P44" s="44">
        <f t="shared" si="8"/>
        <v>1.5064922015310355E-2</v>
      </c>
      <c r="Q44" s="44">
        <f t="shared" si="9"/>
        <v>-4.4750126833771886E-3</v>
      </c>
      <c r="R44" s="44">
        <f t="shared" si="10"/>
        <v>2.0025738516386705E-5</v>
      </c>
      <c r="V44">
        <f t="shared" si="1"/>
        <v>-0.12212344179299793</v>
      </c>
    </row>
    <row r="45" spans="1:22" x14ac:dyDescent="0.35">
      <c r="A45" t="s">
        <v>52</v>
      </c>
      <c r="B45">
        <v>1983</v>
      </c>
      <c r="C45" s="5">
        <f>'Orig data'!G37/1000</f>
        <v>371.77</v>
      </c>
      <c r="D45" s="5">
        <f>'Orig data'!Q37/1000</f>
        <v>470.101</v>
      </c>
      <c r="E45" s="5">
        <f>'Orig data'!W37/1000</f>
        <v>673.13964376411798</v>
      </c>
      <c r="F45" s="44">
        <f t="shared" si="2"/>
        <v>0.59367741908002325</v>
      </c>
      <c r="G45" s="44">
        <f t="shared" si="11"/>
        <v>0.88585304850193647</v>
      </c>
      <c r="H45" s="44">
        <f t="shared" si="3"/>
        <v>901.56165510564153</v>
      </c>
      <c r="I45" s="44">
        <f t="shared" ref="I45:I76" si="13">F45-G45</f>
        <v>-0.29217562942191322</v>
      </c>
      <c r="J45" s="44">
        <f t="shared" si="4"/>
        <v>-6.8083223854192521E-2</v>
      </c>
      <c r="K45" s="44">
        <f t="shared" ref="K45:K79" si="14">(F45-G45)^2</f>
        <v>8.5366598428091162E-2</v>
      </c>
      <c r="L45" s="44">
        <f t="shared" si="6"/>
        <v>1.1160327035746669</v>
      </c>
      <c r="M45" s="44">
        <f t="shared" ref="M45:M79" si="15">I45*rho</f>
        <v>-0.14608781471095661</v>
      </c>
      <c r="N45" s="44">
        <v>3.0604531554920829E-2</v>
      </c>
      <c r="O45" s="44">
        <f t="shared" ref="O45:O76" si="16">N45*SQRT(1-rho^2)</f>
        <v>2.6504301797483903E-2</v>
      </c>
      <c r="P45" s="44">
        <f t="shared" si="8"/>
        <v>7.0247801377210843E-4</v>
      </c>
      <c r="Q45" s="44">
        <f t="shared" si="9"/>
        <v>-0.1195835129134727</v>
      </c>
      <c r="R45" s="44">
        <f t="shared" si="10"/>
        <v>1.4300216560726694E-2</v>
      </c>
      <c r="V45">
        <f t="shared" ref="V45:V79" si="17">LN(NORMDIST(O45,0,sigev,0))</f>
        <v>-8.382359112222916E-2</v>
      </c>
    </row>
    <row r="46" spans="1:22" x14ac:dyDescent="0.35">
      <c r="A46" t="s">
        <v>52</v>
      </c>
      <c r="B46">
        <v>1984</v>
      </c>
      <c r="C46" s="5">
        <f>'Orig data'!G38/1000</f>
        <v>541.47799999999995</v>
      </c>
      <c r="D46" s="5">
        <f>'Orig data'!Q38/1000</f>
        <v>612.803</v>
      </c>
      <c r="E46" s="5">
        <f>'Orig data'!W38/1000</f>
        <v>984.25976243600269</v>
      </c>
      <c r="F46" s="44">
        <f t="shared" si="2"/>
        <v>0.59758741069926624</v>
      </c>
      <c r="G46" s="44">
        <f t="shared" ref="G46:G79" si="18">ar-br*C46+Q45</f>
        <v>0.66567063455345876</v>
      </c>
      <c r="H46" s="44">
        <f t="shared" si="3"/>
        <v>1053.6051856787624</v>
      </c>
      <c r="I46" s="44">
        <f t="shared" si="13"/>
        <v>-6.8083223854192521E-2</v>
      </c>
      <c r="J46" s="44">
        <f t="shared" si="4"/>
        <v>-0.30663686440574989</v>
      </c>
      <c r="K46" s="44">
        <f t="shared" si="14"/>
        <v>4.6353253703800895E-3</v>
      </c>
      <c r="L46" s="44">
        <f t="shared" ref="L46:L79" si="19">ar+Q45</f>
        <v>1.0009242033445713</v>
      </c>
      <c r="M46" s="44">
        <f t="shared" si="15"/>
        <v>-3.404161192709626E-2</v>
      </c>
      <c r="N46" s="44">
        <v>-0.12011407397332731</v>
      </c>
      <c r="O46" s="44">
        <f t="shared" si="16"/>
        <v>-0.10402183941294471</v>
      </c>
      <c r="P46" s="44">
        <f t="shared" si="8"/>
        <v>1.0820543074852458E-2</v>
      </c>
      <c r="Q46" s="44">
        <f t="shared" si="9"/>
        <v>-0.13806345134004097</v>
      </c>
      <c r="R46" s="44">
        <f t="shared" si="10"/>
        <v>1.9061516595923859E-2</v>
      </c>
      <c r="V46">
        <f t="shared" si="17"/>
        <v>-0.11080509795177675</v>
      </c>
    </row>
    <row r="47" spans="1:22" x14ac:dyDescent="0.35">
      <c r="A47" t="s">
        <v>52</v>
      </c>
      <c r="B47">
        <v>1985</v>
      </c>
      <c r="C47" s="5">
        <f>'Orig data'!G39/1000</f>
        <v>1383.808</v>
      </c>
      <c r="D47" s="5">
        <f>'Orig data'!Q39/1000</f>
        <v>1839.0440000000001</v>
      </c>
      <c r="E47" s="5">
        <f>'Orig data'!W39/1000</f>
        <v>1154.7319912101116</v>
      </c>
      <c r="F47" s="44">
        <f t="shared" si="2"/>
        <v>-0.1809708444426518</v>
      </c>
      <c r="G47" s="44">
        <f t="shared" si="18"/>
        <v>0.12566601996309809</v>
      </c>
      <c r="H47" s="44">
        <f t="shared" si="3"/>
        <v>1569.1046015938553</v>
      </c>
      <c r="I47" s="44">
        <f t="shared" si="13"/>
        <v>-0.30663686440574989</v>
      </c>
      <c r="J47" s="44">
        <f t="shared" si="4"/>
        <v>9.5067516286568288E-2</v>
      </c>
      <c r="K47" s="44">
        <f t="shared" si="14"/>
        <v>9.4026166612590237E-2</v>
      </c>
      <c r="L47" s="44">
        <f t="shared" si="19"/>
        <v>0.98244426491800319</v>
      </c>
      <c r="M47" s="44">
        <f t="shared" si="15"/>
        <v>-0.15331843220287494</v>
      </c>
      <c r="N47" s="44">
        <v>-2.5064425453873475E-2</v>
      </c>
      <c r="O47" s="44">
        <f t="shared" si="16"/>
        <v>-2.1706429174315738E-2</v>
      </c>
      <c r="P47" s="44">
        <f t="shared" si="8"/>
        <v>4.7116906749958542E-4</v>
      </c>
      <c r="Q47" s="44">
        <f t="shared" si="9"/>
        <v>-0.17502486137719067</v>
      </c>
      <c r="R47" s="44">
        <f t="shared" si="10"/>
        <v>3.0633702100104812E-2</v>
      </c>
      <c r="V47">
        <f t="shared" si="17"/>
        <v>-8.3206767265502385E-2</v>
      </c>
    </row>
    <row r="48" spans="1:22" x14ac:dyDescent="0.35">
      <c r="A48" t="s">
        <v>52</v>
      </c>
      <c r="B48">
        <v>1986</v>
      </c>
      <c r="C48" s="5">
        <f>'Orig data'!G40/1000</f>
        <v>997.327</v>
      </c>
      <c r="D48" s="5">
        <f>'Orig data'!Q40/1000</f>
        <v>1580.8679999999999</v>
      </c>
      <c r="E48" s="5">
        <f>'Orig data'!W40/1000</f>
        <v>1522.5452624981394</v>
      </c>
      <c r="F48" s="44">
        <f t="shared" si="2"/>
        <v>0.4230600280662542</v>
      </c>
      <c r="G48" s="44">
        <f t="shared" si="18"/>
        <v>0.32799251177968591</v>
      </c>
      <c r="H48" s="44">
        <f t="shared" si="3"/>
        <v>1384.4679759264452</v>
      </c>
      <c r="I48" s="44">
        <f t="shared" si="13"/>
        <v>9.5067516286568288E-2</v>
      </c>
      <c r="J48" s="44">
        <f t="shared" si="4"/>
        <v>0.34737253979364113</v>
      </c>
      <c r="K48" s="44">
        <f t="shared" si="14"/>
        <v>9.0378326528969266E-3</v>
      </c>
      <c r="L48" s="44">
        <f t="shared" si="19"/>
        <v>0.94548285488085348</v>
      </c>
      <c r="M48" s="44">
        <f t="shared" si="15"/>
        <v>4.7533758143284144E-2</v>
      </c>
      <c r="N48" s="44">
        <v>0.13293438926857346</v>
      </c>
      <c r="O48" s="44">
        <f t="shared" si="16"/>
        <v>0.11512455814315407</v>
      </c>
      <c r="P48" s="44">
        <f t="shared" si="8"/>
        <v>1.3253663887656463E-2</v>
      </c>
      <c r="Q48" s="44">
        <f t="shared" si="9"/>
        <v>0.16265831628643823</v>
      </c>
      <c r="R48" s="44">
        <f t="shared" si="10"/>
        <v>2.6457727857138978E-2</v>
      </c>
      <c r="V48">
        <f t="shared" si="17"/>
        <v>-0.1172934201192542</v>
      </c>
    </row>
    <row r="49" spans="1:22" x14ac:dyDescent="0.35">
      <c r="A49" t="s">
        <v>52</v>
      </c>
      <c r="B49">
        <v>1987</v>
      </c>
      <c r="C49" s="5">
        <f>'Orig data'!G41/1000</f>
        <v>363.67099999999999</v>
      </c>
      <c r="D49" s="5">
        <f>'Orig data'!Q41/1000</f>
        <v>481.07600000000002</v>
      </c>
      <c r="E49" s="5">
        <f>'Orig data'!W41/1000</f>
        <v>1482.7043872326303</v>
      </c>
      <c r="F49" s="44">
        <f t="shared" si="2"/>
        <v>1.4053733752002293</v>
      </c>
      <c r="G49" s="44">
        <f t="shared" si="18"/>
        <v>1.0580008354065882</v>
      </c>
      <c r="H49" s="44">
        <f t="shared" si="3"/>
        <v>1047.5930183356968</v>
      </c>
      <c r="I49" s="44">
        <f t="shared" si="13"/>
        <v>0.34737253979364113</v>
      </c>
      <c r="J49" s="44">
        <f t="shared" si="4"/>
        <v>6.9380482048350789E-2</v>
      </c>
      <c r="K49" s="44">
        <f t="shared" si="14"/>
        <v>0.12066768140268479</v>
      </c>
      <c r="L49" s="44">
        <f t="shared" si="19"/>
        <v>1.2831660325444822</v>
      </c>
      <c r="M49" s="44">
        <f t="shared" si="15"/>
        <v>0.17368626989682057</v>
      </c>
      <c r="N49" s="44">
        <v>3.4902826024304383E-2</v>
      </c>
      <c r="O49" s="44">
        <f t="shared" si="16"/>
        <v>3.0226734000916213E-2</v>
      </c>
      <c r="P49" s="44">
        <f t="shared" si="8"/>
        <v>9.1365544836214427E-4</v>
      </c>
      <c r="Q49" s="44">
        <f t="shared" si="9"/>
        <v>0.20391300389773678</v>
      </c>
      <c r="R49" s="44">
        <f t="shared" si="10"/>
        <v>4.1580513158598419E-2</v>
      </c>
      <c r="V49">
        <f t="shared" si="17"/>
        <v>-8.4386730947802538E-2</v>
      </c>
    </row>
    <row r="50" spans="1:22" x14ac:dyDescent="0.35">
      <c r="A50" t="s">
        <v>52</v>
      </c>
      <c r="B50">
        <v>1988</v>
      </c>
      <c r="C50" s="5">
        <f>'Orig data'!G42/1000</f>
        <v>528.46699999999998</v>
      </c>
      <c r="D50" s="5">
        <f>'Orig data'!Q42/1000</f>
        <v>1035.1110000000001</v>
      </c>
      <c r="E50" s="5">
        <f>'Orig data'!W42/1000</f>
        <v>1535.4575528593045</v>
      </c>
      <c r="F50" s="44">
        <f t="shared" si="2"/>
        <v>1.066603333152512</v>
      </c>
      <c r="G50" s="44">
        <f t="shared" si="18"/>
        <v>0.9972228511041612</v>
      </c>
      <c r="H50" s="44">
        <f t="shared" si="3"/>
        <v>1432.5383413837076</v>
      </c>
      <c r="I50" s="44">
        <f t="shared" si="13"/>
        <v>6.9380482048350789E-2</v>
      </c>
      <c r="J50" s="44">
        <f t="shared" si="4"/>
        <v>7.8709253078168673E-2</v>
      </c>
      <c r="K50" s="44">
        <f t="shared" si="14"/>
        <v>4.8136512892615257E-3</v>
      </c>
      <c r="L50" s="44">
        <f t="shared" si="19"/>
        <v>1.3244207201557809</v>
      </c>
      <c r="M50" s="44">
        <f t="shared" si="15"/>
        <v>3.4690241024175394E-2</v>
      </c>
      <c r="N50" s="44">
        <v>-9.6689009651169024E-3</v>
      </c>
      <c r="O50" s="44">
        <f t="shared" si="16"/>
        <v>-8.3735138624671142E-3</v>
      </c>
      <c r="P50" s="44">
        <f t="shared" si="8"/>
        <v>7.0115734404928935E-5</v>
      </c>
      <c r="Q50" s="44">
        <f t="shared" si="9"/>
        <v>2.631672716170828E-2</v>
      </c>
      <c r="R50" s="44">
        <f t="shared" si="10"/>
        <v>6.925701285037944E-4</v>
      </c>
      <c r="V50">
        <f t="shared" si="17"/>
        <v>-8.2137291710583218E-2</v>
      </c>
    </row>
    <row r="51" spans="1:22" x14ac:dyDescent="0.35">
      <c r="A51" t="s">
        <v>52</v>
      </c>
      <c r="B51">
        <v>1989</v>
      </c>
      <c r="C51" s="5">
        <f>'Orig data'!G43/1000</f>
        <v>739.64700000000005</v>
      </c>
      <c r="D51" s="5">
        <f>'Orig data'!Q43/1000</f>
        <v>1094.6610000000001</v>
      </c>
      <c r="E51" s="5">
        <f>'Orig data'!W43/1000</f>
        <v>1593.6109601886883</v>
      </c>
      <c r="F51" s="44">
        <f t="shared" si="2"/>
        <v>0.76758471907752701</v>
      </c>
      <c r="G51" s="44">
        <f t="shared" si="18"/>
        <v>0.68887546599935834</v>
      </c>
      <c r="H51" s="44">
        <f t="shared" si="3"/>
        <v>1472.9883558253696</v>
      </c>
      <c r="I51" s="44">
        <f t="shared" si="13"/>
        <v>7.8709253078168673E-2</v>
      </c>
      <c r="J51" s="44">
        <f t="shared" si="4"/>
        <v>0.21029347515254582</v>
      </c>
      <c r="K51" s="44">
        <f t="shared" si="14"/>
        <v>6.1951465201232044E-3</v>
      </c>
      <c r="L51" s="44">
        <f t="shared" si="19"/>
        <v>1.1468244434197523</v>
      </c>
      <c r="M51" s="44">
        <f t="shared" si="15"/>
        <v>3.9354626539084336E-2</v>
      </c>
      <c r="N51" s="44">
        <v>8.7591074589894749E-2</v>
      </c>
      <c r="O51" s="44">
        <f t="shared" si="16"/>
        <v>7.5856095739626483E-2</v>
      </c>
      <c r="P51" s="44">
        <f t="shared" si="8"/>
        <v>5.7541472608593795E-3</v>
      </c>
      <c r="Q51" s="44">
        <f t="shared" si="9"/>
        <v>0.11521072227871082</v>
      </c>
      <c r="R51" s="44">
        <f t="shared" si="10"/>
        <v>1.3273510527982233E-2</v>
      </c>
      <c r="V51">
        <f t="shared" si="17"/>
        <v>-9.7294709114461767E-2</v>
      </c>
    </row>
    <row r="52" spans="1:22" x14ac:dyDescent="0.35">
      <c r="A52" t="s">
        <v>52</v>
      </c>
      <c r="B52">
        <v>1990</v>
      </c>
      <c r="C52" s="5">
        <f>'Orig data'!G44/1000</f>
        <v>861.97199999999998</v>
      </c>
      <c r="D52" s="5">
        <f>'Orig data'!Q44/1000</f>
        <v>1594.885</v>
      </c>
      <c r="E52" s="5">
        <f>'Orig data'!W44/1000</f>
        <v>2146.4031629478714</v>
      </c>
      <c r="F52" s="44">
        <f t="shared" si="2"/>
        <v>0.9123259851787926</v>
      </c>
      <c r="G52" s="44">
        <f t="shared" si="18"/>
        <v>0.70203251002624678</v>
      </c>
      <c r="H52" s="44">
        <f t="shared" si="3"/>
        <v>1739.3300643206244</v>
      </c>
      <c r="I52" s="44">
        <f t="shared" si="13"/>
        <v>0.21029347515254582</v>
      </c>
      <c r="J52" s="44">
        <f t="shared" si="4"/>
        <v>-4.539876878842114E-2</v>
      </c>
      <c r="K52" s="44">
        <f t="shared" si="14"/>
        <v>4.4223345691734403E-2</v>
      </c>
      <c r="L52" s="44">
        <f t="shared" si="19"/>
        <v>1.235718438536755</v>
      </c>
      <c r="M52" s="44">
        <f t="shared" si="15"/>
        <v>0.10514673757627291</v>
      </c>
      <c r="N52" s="44">
        <v>-1.3852292198401712E-3</v>
      </c>
      <c r="O52" s="44">
        <f t="shared" si="16"/>
        <v>-1.1996436944460872E-3</v>
      </c>
      <c r="P52" s="44">
        <f t="shared" si="8"/>
        <v>1.4391449936242571E-6</v>
      </c>
      <c r="Q52" s="44">
        <f t="shared" si="9"/>
        <v>0.10394709388182682</v>
      </c>
      <c r="R52" s="44">
        <f t="shared" si="10"/>
        <v>1.0804998326477319E-2</v>
      </c>
      <c r="V52">
        <f t="shared" si="17"/>
        <v>-8.1954154138819735E-2</v>
      </c>
    </row>
    <row r="53" spans="1:22" x14ac:dyDescent="0.35">
      <c r="A53" t="s">
        <v>55</v>
      </c>
      <c r="B53">
        <v>1991</v>
      </c>
      <c r="C53" s="5">
        <f>'Orig data'!G45/1000</f>
        <v>1106.348</v>
      </c>
      <c r="D53" s="5">
        <f>'Orig data'!Q45/1000</f>
        <v>1454.1690000000001</v>
      </c>
      <c r="E53" s="5">
        <f>'Orig data'!W45/1000</f>
        <v>1813.2673024832011</v>
      </c>
      <c r="F53" s="44">
        <f t="shared" si="2"/>
        <v>0.49406585647799256</v>
      </c>
      <c r="G53" s="44">
        <f t="shared" si="18"/>
        <v>0.5394646252664137</v>
      </c>
      <c r="H53" s="44">
        <f t="shared" si="3"/>
        <v>1897.4846226573054</v>
      </c>
      <c r="I53" s="44">
        <f t="shared" si="13"/>
        <v>-4.539876878842114E-2</v>
      </c>
      <c r="J53" s="44">
        <f t="shared" si="4"/>
        <v>-0.18223899446480268</v>
      </c>
      <c r="K53" s="44">
        <f t="shared" si="14"/>
        <v>2.0610482075045216E-3</v>
      </c>
      <c r="L53" s="44">
        <f t="shared" si="19"/>
        <v>1.2244548101398709</v>
      </c>
      <c r="M53" s="44">
        <f t="shared" si="15"/>
        <v>-2.269938439421057E-2</v>
      </c>
      <c r="N53" s="44">
        <v>-5.3070132328183237E-2</v>
      </c>
      <c r="O53" s="44">
        <f t="shared" si="16"/>
        <v>-4.5960082778408476E-2</v>
      </c>
      <c r="P53" s="44">
        <f t="shared" si="8"/>
        <v>2.1123292089981595E-3</v>
      </c>
      <c r="Q53" s="44">
        <f t="shared" si="9"/>
        <v>-6.8659467172619046E-2</v>
      </c>
      <c r="R53" s="44">
        <f t="shared" si="10"/>
        <v>4.7141224324279522E-3</v>
      </c>
      <c r="V53">
        <f t="shared" si="17"/>
        <v>-8.758319430949861E-2</v>
      </c>
    </row>
    <row r="54" spans="1:22" x14ac:dyDescent="0.35">
      <c r="A54" t="s">
        <v>55</v>
      </c>
      <c r="B54">
        <v>1992</v>
      </c>
      <c r="C54" s="5">
        <f>'Orig data'!G46/1000</f>
        <v>1035.8589999999999</v>
      </c>
      <c r="D54" s="5">
        <f>'Orig data'!Q46/1000</f>
        <v>1555.7180000000001</v>
      </c>
      <c r="E54" s="5">
        <f>'Orig data'!W46/1000</f>
        <v>1301.4682344712223</v>
      </c>
      <c r="F54" s="44">
        <f t="shared" si="2"/>
        <v>0.22826200410556324</v>
      </c>
      <c r="G54" s="44">
        <f t="shared" si="18"/>
        <v>0.41050099857036593</v>
      </c>
      <c r="H54" s="44">
        <f t="shared" si="3"/>
        <v>1561.6329439897188</v>
      </c>
      <c r="I54" s="44">
        <f t="shared" si="13"/>
        <v>-0.18223899446480268</v>
      </c>
      <c r="J54" s="44">
        <f t="shared" si="4"/>
        <v>6.8963603261421036E-2</v>
      </c>
      <c r="K54" s="44">
        <f t="shared" si="14"/>
        <v>3.3211051103542381E-2</v>
      </c>
      <c r="L54" s="44">
        <f t="shared" si="19"/>
        <v>1.0518482490854251</v>
      </c>
      <c r="M54" s="44">
        <f t="shared" si="15"/>
        <v>-9.1119497232401342E-2</v>
      </c>
      <c r="N54" s="53">
        <v>-5.1092338857642625E-2</v>
      </c>
      <c r="O54" s="44">
        <f t="shared" si="16"/>
        <v>-4.4247263389481317E-2</v>
      </c>
      <c r="P54" s="44">
        <f t="shared" si="8"/>
        <v>1.9578203174581339E-3</v>
      </c>
      <c r="Q54" s="44">
        <f t="shared" si="9"/>
        <v>-0.13536676062188266</v>
      </c>
      <c r="R54" s="44">
        <f t="shared" si="10"/>
        <v>1.832415988126208E-2</v>
      </c>
      <c r="V54">
        <f t="shared" si="17"/>
        <v>-8.7171170598725367E-2</v>
      </c>
    </row>
    <row r="55" spans="1:22" x14ac:dyDescent="0.35">
      <c r="A55" t="s">
        <v>55</v>
      </c>
      <c r="B55">
        <v>1993</v>
      </c>
      <c r="C55" s="5">
        <f>'Orig data'!G47/1000</f>
        <v>985.47900000000004</v>
      </c>
      <c r="D55" s="5">
        <f>'Orig data'!Q47/1000</f>
        <v>1476.663</v>
      </c>
      <c r="E55" s="5">
        <f>'Orig data'!W47/1000</f>
        <v>1536.2162121439503</v>
      </c>
      <c r="F55" s="44">
        <f t="shared" si="2"/>
        <v>0.44394984953044858</v>
      </c>
      <c r="G55" s="44">
        <f t="shared" si="18"/>
        <v>0.37498624626902755</v>
      </c>
      <c r="H55" s="44">
        <f t="shared" si="3"/>
        <v>1433.8437634495342</v>
      </c>
      <c r="I55" s="44">
        <f t="shared" si="13"/>
        <v>6.8963603261421036E-2</v>
      </c>
      <c r="J55" s="44">
        <f t="shared" si="4"/>
        <v>0.5117133831118954</v>
      </c>
      <c r="K55" s="44">
        <f t="shared" si="14"/>
        <v>4.7559785747986819E-3</v>
      </c>
      <c r="L55" s="44">
        <f t="shared" si="19"/>
        <v>0.98514095563616144</v>
      </c>
      <c r="M55" s="44">
        <f t="shared" si="15"/>
        <v>3.4481801630710518E-2</v>
      </c>
      <c r="N55" s="53">
        <v>0.16252478965448425</v>
      </c>
      <c r="O55" s="44">
        <f t="shared" si="16"/>
        <v>0.14075059658550568</v>
      </c>
      <c r="P55" s="44">
        <f t="shared" si="8"/>
        <v>1.9810730439175764E-2</v>
      </c>
      <c r="Q55" s="44">
        <f t="shared" si="9"/>
        <v>0.1752323982162162</v>
      </c>
      <c r="R55" s="44">
        <f t="shared" si="10"/>
        <v>3.0706393384606567E-2</v>
      </c>
      <c r="V55">
        <f t="shared" si="17"/>
        <v>-0.13477893092330542</v>
      </c>
    </row>
    <row r="56" spans="1:22" x14ac:dyDescent="0.35">
      <c r="A56" t="s">
        <v>55</v>
      </c>
      <c r="B56">
        <v>1994</v>
      </c>
      <c r="C56" s="5">
        <f>'Orig data'!G48/1000</f>
        <v>1666.079</v>
      </c>
      <c r="D56" s="5">
        <f>'Orig data'!Q48/1000</f>
        <v>2295.288</v>
      </c>
      <c r="E56" s="5">
        <f>'Orig data'!W48/1000</f>
        <v>3619.6648765380078</v>
      </c>
      <c r="F56" s="44">
        <f t="shared" si="2"/>
        <v>0.77590848442231863</v>
      </c>
      <c r="G56" s="44">
        <f t="shared" si="18"/>
        <v>0.26419510131042323</v>
      </c>
      <c r="H56" s="44">
        <f t="shared" si="3"/>
        <v>2169.871746691148</v>
      </c>
      <c r="I56" s="44">
        <f t="shared" si="13"/>
        <v>0.5117133831118954</v>
      </c>
      <c r="J56" s="44">
        <f t="shared" si="4"/>
        <v>0.10382530387807098</v>
      </c>
      <c r="K56" s="44">
        <f t="shared" si="14"/>
        <v>0.26185058645582143</v>
      </c>
      <c r="L56" s="44">
        <f t="shared" si="19"/>
        <v>1.2957401144742604</v>
      </c>
      <c r="M56" s="44">
        <f t="shared" si="15"/>
        <v>0.2558566915559477</v>
      </c>
      <c r="N56" s="53">
        <v>0.11812811867453747</v>
      </c>
      <c r="O56" s="44">
        <f t="shared" si="16"/>
        <v>0.1023019516734124</v>
      </c>
      <c r="P56" s="44">
        <f t="shared" si="8"/>
        <v>1.0465689316189205E-2</v>
      </c>
      <c r="Q56" s="44">
        <f t="shared" si="9"/>
        <v>0.35815864322936009</v>
      </c>
      <c r="R56" s="44">
        <f t="shared" si="10"/>
        <v>0.12827761371989604</v>
      </c>
      <c r="V56">
        <f t="shared" si="17"/>
        <v>-0.10985882126200808</v>
      </c>
    </row>
    <row r="57" spans="1:22" x14ac:dyDescent="0.35">
      <c r="A57" t="s">
        <v>55</v>
      </c>
      <c r="B57">
        <v>1995</v>
      </c>
      <c r="C57" s="5">
        <f>'Orig data'!G49/1000</f>
        <v>1628.5419999999999</v>
      </c>
      <c r="D57" s="5">
        <f>'Orig data'!Q49/1000</f>
        <v>1844.441</v>
      </c>
      <c r="E57" s="5">
        <f>'Orig data'!W49/1000</f>
        <v>2891.7811987866558</v>
      </c>
      <c r="F57" s="44">
        <f t="shared" si="2"/>
        <v>0.57418750802358465</v>
      </c>
      <c r="G57" s="44">
        <f t="shared" si="18"/>
        <v>0.47036220414551366</v>
      </c>
      <c r="H57" s="44">
        <f t="shared" si="3"/>
        <v>2606.6016943881982</v>
      </c>
      <c r="I57" s="44">
        <f t="shared" si="13"/>
        <v>0.10382530387807098</v>
      </c>
      <c r="J57" s="44">
        <f t="shared" si="4"/>
        <v>-0.1409719260152662</v>
      </c>
      <c r="K57" s="44">
        <f t="shared" si="14"/>
        <v>1.0779693725373782E-2</v>
      </c>
      <c r="L57" s="44">
        <f t="shared" si="19"/>
        <v>1.4786663594874043</v>
      </c>
      <c r="M57" s="44">
        <f t="shared" si="15"/>
        <v>5.1912651939035492E-2</v>
      </c>
      <c r="N57" s="53">
        <v>-0.1462525276802138</v>
      </c>
      <c r="O57" s="44">
        <f t="shared" si="16"/>
        <v>-0.12665840433875195</v>
      </c>
      <c r="P57" s="44">
        <f t="shared" si="8"/>
        <v>1.6042351389638776E-2</v>
      </c>
      <c r="Q57" s="44">
        <f t="shared" si="9"/>
        <v>-7.4745752399716453E-2</v>
      </c>
      <c r="R57" s="44">
        <f t="shared" si="10"/>
        <v>5.5869275017997183E-3</v>
      </c>
      <c r="V57">
        <f t="shared" si="17"/>
        <v>-0.12472992012454033</v>
      </c>
    </row>
    <row r="58" spans="1:22" x14ac:dyDescent="0.35">
      <c r="A58" t="s">
        <v>96</v>
      </c>
      <c r="B58">
        <v>1996</v>
      </c>
      <c r="C58" s="5">
        <f>'Orig data'!G50/1000</f>
        <v>1186.18</v>
      </c>
      <c r="D58" s="5">
        <f>'Orig data'!Q50/1000</f>
        <v>1248.4429461912241</v>
      </c>
      <c r="E58" s="5">
        <f>'Orig data'!W50/1000</f>
        <v>1406.5083752676437</v>
      </c>
      <c r="F58" s="44">
        <f t="shared" si="2"/>
        <v>0.17037224390010886</v>
      </c>
      <c r="G58" s="44">
        <f t="shared" si="18"/>
        <v>0.31134416991537506</v>
      </c>
      <c r="H58" s="44">
        <f t="shared" si="3"/>
        <v>1619.4429460254103</v>
      </c>
      <c r="I58" s="44">
        <f t="shared" si="13"/>
        <v>-0.1409719260152662</v>
      </c>
      <c r="J58" s="44">
        <f t="shared" si="4"/>
        <v>0.51227891891891064</v>
      </c>
      <c r="K58" s="44">
        <f t="shared" si="14"/>
        <v>1.9873083924453687E-2</v>
      </c>
      <c r="L58" s="44">
        <f t="shared" si="19"/>
        <v>1.0457619638583278</v>
      </c>
      <c r="M58" s="44">
        <f t="shared" si="15"/>
        <v>-7.0485963007633101E-2</v>
      </c>
      <c r="N58" s="53">
        <v>0.17051537409620454</v>
      </c>
      <c r="O58" s="44">
        <f t="shared" si="16"/>
        <v>0.14767064570312013</v>
      </c>
      <c r="P58" s="44">
        <f t="shared" si="8"/>
        <v>2.1806619602376433E-2</v>
      </c>
      <c r="Q58" s="44">
        <f t="shared" si="9"/>
        <v>7.7184682695487034E-2</v>
      </c>
      <c r="R58" s="44">
        <f t="shared" si="10"/>
        <v>5.9574752428030158E-3</v>
      </c>
      <c r="V58">
        <f t="shared" si="17"/>
        <v>-0.14010130202517404</v>
      </c>
    </row>
    <row r="59" spans="1:22" x14ac:dyDescent="0.35">
      <c r="A59" t="s">
        <v>96</v>
      </c>
      <c r="B59">
        <v>1997</v>
      </c>
      <c r="C59" s="5">
        <f>'Orig data'!G51/1000</f>
        <v>1045.8150000000001</v>
      </c>
      <c r="D59" s="5">
        <f>'Orig data'!Q51/1000</f>
        <v>1134.0984145126181</v>
      </c>
      <c r="E59" s="5">
        <f>'Orig data'!W51/1000</f>
        <v>3026.0445640955563</v>
      </c>
      <c r="F59" s="44">
        <f t="shared" si="2"/>
        <v>1.0624598565660222</v>
      </c>
      <c r="G59" s="44">
        <f t="shared" si="18"/>
        <v>0.55018093764711151</v>
      </c>
      <c r="H59" s="44">
        <f t="shared" si="3"/>
        <v>1812.9900133528074</v>
      </c>
      <c r="I59" s="44">
        <f t="shared" si="13"/>
        <v>0.51227891891891064</v>
      </c>
      <c r="J59" s="44">
        <f t="shared" si="4"/>
        <v>0.40274627076533437</v>
      </c>
      <c r="K59" s="44">
        <f t="shared" si="14"/>
        <v>0.2624296907687278</v>
      </c>
      <c r="L59" s="44">
        <f t="shared" si="19"/>
        <v>1.1976923989535311</v>
      </c>
      <c r="M59" s="44">
        <f t="shared" si="15"/>
        <v>0.25613945945945532</v>
      </c>
      <c r="N59" s="53">
        <v>0.10256800448049633</v>
      </c>
      <c r="O59" s="44">
        <f t="shared" si="16"/>
        <v>8.8826497495585938E-2</v>
      </c>
      <c r="P59" s="44">
        <f t="shared" si="8"/>
        <v>7.8901466573333343E-3</v>
      </c>
      <c r="Q59" s="44">
        <f t="shared" si="9"/>
        <v>0.34496595695504129</v>
      </c>
      <c r="R59" s="44">
        <f t="shared" si="10"/>
        <v>0.1190015114579074</v>
      </c>
      <c r="V59">
        <f t="shared" si="17"/>
        <v>-0.10299070750505912</v>
      </c>
    </row>
    <row r="60" spans="1:22" x14ac:dyDescent="0.35">
      <c r="A60" t="s">
        <v>96</v>
      </c>
      <c r="B60">
        <v>1998</v>
      </c>
      <c r="C60" s="5">
        <f>'Orig data'!G52/1000</f>
        <v>3561.0430000000001</v>
      </c>
      <c r="D60" s="5">
        <f>'Orig data'!Q52/1000</f>
        <v>4069.6801971950849</v>
      </c>
      <c r="E60" s="5">
        <f>'Orig data'!W52/1000</f>
        <v>2543.3200171653757</v>
      </c>
      <c r="F60" s="44">
        <f t="shared" si="2"/>
        <v>-0.33658315858273763</v>
      </c>
      <c r="G60" s="44">
        <f t="shared" si="18"/>
        <v>-0.739329429348072</v>
      </c>
      <c r="H60" s="44">
        <f t="shared" si="3"/>
        <v>1700.1628662239195</v>
      </c>
      <c r="I60" s="44">
        <f t="shared" si="13"/>
        <v>0.40274627076533437</v>
      </c>
      <c r="J60" s="44">
        <f t="shared" si="4"/>
        <v>0.43332856487052501</v>
      </c>
      <c r="K60" s="44">
        <f t="shared" si="14"/>
        <v>0.16220455861538402</v>
      </c>
      <c r="L60" s="44">
        <f t="shared" si="19"/>
        <v>1.4654736732130855</v>
      </c>
      <c r="M60" s="44">
        <f t="shared" si="15"/>
        <v>0.20137313538266718</v>
      </c>
      <c r="N60" s="53">
        <v>0.14349226631631248</v>
      </c>
      <c r="O60" s="44">
        <f t="shared" si="16"/>
        <v>0.12426794787652871</v>
      </c>
      <c r="P60" s="44">
        <f t="shared" si="8"/>
        <v>1.5442522869443658E-2</v>
      </c>
      <c r="Q60" s="44">
        <f t="shared" si="9"/>
        <v>0.32564108325919588</v>
      </c>
      <c r="R60" s="44">
        <f t="shared" si="10"/>
        <v>0.10604211510622255</v>
      </c>
      <c r="V60">
        <f t="shared" si="17"/>
        <v>-0.12313037740401994</v>
      </c>
    </row>
    <row r="61" spans="1:22" x14ac:dyDescent="0.35">
      <c r="A61" t="s">
        <v>96</v>
      </c>
      <c r="B61">
        <v>1999</v>
      </c>
      <c r="C61" s="5">
        <f>'Orig data'!G53/1000</f>
        <v>2987.2559999999999</v>
      </c>
      <c r="D61" s="5">
        <f>'Orig data'!Q53/1000</f>
        <v>3083.6772941336299</v>
      </c>
      <c r="E61" s="5">
        <f>'Orig data'!W53/1000</f>
        <v>3078.0215509376185</v>
      </c>
      <c r="F61" s="44">
        <f t="shared" si="2"/>
        <v>2.9931796714352529E-2</v>
      </c>
      <c r="G61" s="44">
        <f t="shared" si="18"/>
        <v>-0.40339676815617248</v>
      </c>
      <c r="H61" s="44">
        <f t="shared" si="3"/>
        <v>1995.6273700833001</v>
      </c>
      <c r="I61" s="44">
        <f t="shared" si="13"/>
        <v>0.43332856487052501</v>
      </c>
      <c r="J61" s="44">
        <f t="shared" si="4"/>
        <v>0.20202566595322269</v>
      </c>
      <c r="K61" s="44">
        <f t="shared" si="14"/>
        <v>0.1877736451327488</v>
      </c>
      <c r="L61" s="44">
        <f t="shared" si="19"/>
        <v>1.44614879951724</v>
      </c>
      <c r="M61" s="44">
        <f t="shared" si="15"/>
        <v>0.21666428243526251</v>
      </c>
      <c r="N61" s="53">
        <v>8.7946154642227534E-2</v>
      </c>
      <c r="O61" s="44">
        <f t="shared" si="16"/>
        <v>7.6163604085323786E-2</v>
      </c>
      <c r="P61" s="44">
        <f t="shared" si="8"/>
        <v>5.8008945872659503E-3</v>
      </c>
      <c r="Q61" s="44">
        <f t="shared" si="9"/>
        <v>0.29282788652058628</v>
      </c>
      <c r="R61" s="44">
        <f t="shared" si="10"/>
        <v>8.5748171124113357E-2</v>
      </c>
      <c r="V61">
        <f t="shared" si="17"/>
        <v>-9.7419368651546157E-2</v>
      </c>
    </row>
    <row r="62" spans="1:22" x14ac:dyDescent="0.35">
      <c r="A62" t="s">
        <v>96</v>
      </c>
      <c r="B62">
        <v>2000</v>
      </c>
      <c r="C62" s="5">
        <f>'Orig data'!G54/1000</f>
        <v>699.976</v>
      </c>
      <c r="D62" s="5">
        <f>'Orig data'!Q54/1000</f>
        <v>821.32389458584294</v>
      </c>
      <c r="E62" s="5">
        <f>'Orig data'!W54/1000</f>
        <v>2282.4859433021657</v>
      </c>
      <c r="F62" s="44">
        <f t="shared" si="2"/>
        <v>1.1819744052431649</v>
      </c>
      <c r="G62" s="44">
        <f t="shared" si="18"/>
        <v>0.97994873928994219</v>
      </c>
      <c r="H62" s="44">
        <f t="shared" si="3"/>
        <v>1864.9598207858605</v>
      </c>
      <c r="I62" s="44">
        <f t="shared" si="13"/>
        <v>0.20202566595322269</v>
      </c>
      <c r="J62" s="44">
        <f t="shared" si="4"/>
        <v>0.20805637013482925</v>
      </c>
      <c r="K62" s="44">
        <f t="shared" si="14"/>
        <v>4.0814369703843119E-2</v>
      </c>
      <c r="L62" s="44">
        <f t="shared" si="19"/>
        <v>1.4133356027786304</v>
      </c>
      <c r="M62" s="44">
        <f t="shared" si="15"/>
        <v>0.10101283297661134</v>
      </c>
      <c r="N62" s="44">
        <v>-1.0134110387204057E-3</v>
      </c>
      <c r="O62" s="44">
        <f t="shared" si="16"/>
        <v>-8.7763970400744668E-4</v>
      </c>
      <c r="P62" s="44">
        <f t="shared" si="8"/>
        <v>7.7025145005027863E-7</v>
      </c>
      <c r="Q62" s="44">
        <f t="shared" si="9"/>
        <v>0.1001351932726039</v>
      </c>
      <c r="R62" s="44">
        <f t="shared" si="10"/>
        <v>1.0027056931741737E-2</v>
      </c>
      <c r="V62">
        <f t="shared" si="17"/>
        <v>-8.1952370422703563E-2</v>
      </c>
    </row>
    <row r="63" spans="1:22" x14ac:dyDescent="0.35">
      <c r="A63" t="s">
        <v>96</v>
      </c>
      <c r="B63">
        <v>2001</v>
      </c>
      <c r="C63" s="5">
        <f>'Orig data'!G55/1000</f>
        <v>3151.893</v>
      </c>
      <c r="D63" s="5">
        <f>'Orig data'!Q55/1000</f>
        <v>3396.1373550203634</v>
      </c>
      <c r="E63" s="5">
        <f>'Orig data'!W55/1000</f>
        <v>1868.662078775011</v>
      </c>
      <c r="F63" s="44">
        <f t="shared" si="2"/>
        <v>-0.52278051581601337</v>
      </c>
      <c r="G63" s="44">
        <f t="shared" si="18"/>
        <v>-0.73083688595084262</v>
      </c>
      <c r="H63" s="44">
        <f t="shared" si="3"/>
        <v>1517.6549367931229</v>
      </c>
      <c r="I63" s="44">
        <f t="shared" si="13"/>
        <v>0.20805637013482925</v>
      </c>
      <c r="J63" s="44">
        <f t="shared" si="4"/>
        <v>0.24746411543415867</v>
      </c>
      <c r="K63" s="44">
        <f t="shared" si="14"/>
        <v>4.3287453153681071E-2</v>
      </c>
      <c r="L63" s="44">
        <f t="shared" si="19"/>
        <v>1.2206429095306479</v>
      </c>
      <c r="M63" s="44">
        <f t="shared" si="15"/>
        <v>0.10402818506741462</v>
      </c>
      <c r="N63" s="53">
        <v>0.18309851864872706</v>
      </c>
      <c r="O63" s="44">
        <f t="shared" si="16"/>
        <v>0.15856796854509642</v>
      </c>
      <c r="P63" s="44">
        <f t="shared" si="8"/>
        <v>2.5143800648518688E-2</v>
      </c>
      <c r="Q63" s="44">
        <f t="shared" si="9"/>
        <v>0.26259615361251104</v>
      </c>
      <c r="R63" s="44">
        <f t="shared" si="10"/>
        <v>6.8956739892085492E-2</v>
      </c>
      <c r="V63">
        <f t="shared" si="17"/>
        <v>-0.14900045148155344</v>
      </c>
    </row>
    <row r="64" spans="1:22" x14ac:dyDescent="0.35">
      <c r="A64" t="s">
        <v>96</v>
      </c>
      <c r="B64">
        <v>2002</v>
      </c>
      <c r="C64" s="5">
        <f>'Orig data'!G56/1000</f>
        <v>2302.25</v>
      </c>
      <c r="D64" s="5">
        <f>'Orig data'!Q56/1000</f>
        <v>2701.9225280034389</v>
      </c>
      <c r="E64" s="5">
        <f>'Orig data'!W56/1000</f>
        <v>2826.4671680969705</v>
      </c>
      <c r="F64" s="44">
        <f t="shared" si="2"/>
        <v>0.20514067570148123</v>
      </c>
      <c r="G64" s="44">
        <f t="shared" si="18"/>
        <v>-4.2323439732677437E-2</v>
      </c>
      <c r="H64" s="44">
        <f t="shared" si="3"/>
        <v>2206.8440558265029</v>
      </c>
      <c r="I64" s="44">
        <f t="shared" si="13"/>
        <v>0.24746411543415867</v>
      </c>
      <c r="J64" s="44">
        <f t="shared" si="4"/>
        <v>-0.31017537323006289</v>
      </c>
      <c r="K64" s="44">
        <f t="shared" si="14"/>
        <v>6.1238488427610607E-2</v>
      </c>
      <c r="L64" s="44">
        <f t="shared" si="19"/>
        <v>1.3831038698705551</v>
      </c>
      <c r="M64" s="44">
        <f t="shared" si="15"/>
        <v>0.12373205771707933</v>
      </c>
      <c r="N64" s="53">
        <v>-0.15183369337994118</v>
      </c>
      <c r="O64" s="44">
        <f t="shared" si="16"/>
        <v>-0.13149183561744621</v>
      </c>
      <c r="P64" s="44">
        <f t="shared" si="8"/>
        <v>1.7290102834045494E-2</v>
      </c>
      <c r="Q64" s="44">
        <f t="shared" si="9"/>
        <v>-7.7597779003668738E-3</v>
      </c>
      <c r="R64" s="44">
        <f t="shared" si="10"/>
        <v>6.0214153063022126E-5</v>
      </c>
      <c r="V64">
        <f t="shared" si="17"/>
        <v>-0.12805725730962483</v>
      </c>
    </row>
    <row r="65" spans="1:22" x14ac:dyDescent="0.35">
      <c r="A65" t="s">
        <v>96</v>
      </c>
      <c r="B65">
        <v>2003</v>
      </c>
      <c r="C65" s="5">
        <f>'Orig data'!G57/1000</f>
        <v>1494.491</v>
      </c>
      <c r="D65" s="5">
        <f>'Orig data'!Q57/1000</f>
        <v>2006.2864153176486</v>
      </c>
      <c r="E65" s="5">
        <f>'Orig data'!W57/1000</f>
        <v>1321.8749421960777</v>
      </c>
      <c r="F65" s="44">
        <f t="shared" si="2"/>
        <v>-0.12273454111898989</v>
      </c>
      <c r="G65" s="44">
        <f t="shared" si="18"/>
        <v>0.18744083211107299</v>
      </c>
      <c r="H65" s="44">
        <f t="shared" si="3"/>
        <v>1802.59359287457</v>
      </c>
      <c r="I65" s="44">
        <f t="shared" si="13"/>
        <v>-0.31017537323006289</v>
      </c>
      <c r="J65" s="44">
        <f t="shared" si="4"/>
        <v>-7.0413355703979552E-2</v>
      </c>
      <c r="K65" s="44">
        <f t="shared" si="14"/>
        <v>9.6208762158408817E-2</v>
      </c>
      <c r="L65" s="44">
        <f t="shared" si="19"/>
        <v>1.1127479383576773</v>
      </c>
      <c r="M65" s="44">
        <f t="shared" si="15"/>
        <v>-0.15508768661503144</v>
      </c>
      <c r="N65" s="53">
        <v>3.5132098415082753E-2</v>
      </c>
      <c r="O65" s="44">
        <f t="shared" si="16"/>
        <v>3.0425289715716678E-2</v>
      </c>
      <c r="P65" s="44">
        <f t="shared" si="8"/>
        <v>9.2569825428529505E-4</v>
      </c>
      <c r="Q65" s="44">
        <f t="shared" si="9"/>
        <v>-0.12466239689931477</v>
      </c>
      <c r="R65" s="44">
        <f t="shared" si="10"/>
        <v>1.5540713200682284E-2</v>
      </c>
      <c r="V65">
        <f t="shared" si="17"/>
        <v>-8.4418845096930928E-2</v>
      </c>
    </row>
    <row r="66" spans="1:22" x14ac:dyDescent="0.35">
      <c r="A66" t="s">
        <v>96</v>
      </c>
      <c r="B66">
        <v>2004</v>
      </c>
      <c r="C66" s="5">
        <f>'Orig data'!G58/1000</f>
        <v>2716.634</v>
      </c>
      <c r="D66" s="5">
        <f>'Orig data'!Q58/1000</f>
        <v>3352.8611030926572</v>
      </c>
      <c r="E66" s="5">
        <f>'Orig data'!W58/1000</f>
        <v>1274.8574320357504</v>
      </c>
      <c r="F66" s="44">
        <f t="shared" si="2"/>
        <v>-0.75655925962537551</v>
      </c>
      <c r="G66" s="44">
        <f t="shared" si="18"/>
        <v>-0.68614590392139596</v>
      </c>
      <c r="H66" s="44">
        <f t="shared" si="3"/>
        <v>1367.8603218151361</v>
      </c>
      <c r="I66" s="44">
        <f t="shared" si="13"/>
        <v>-7.0413355703979552E-2</v>
      </c>
      <c r="J66" s="44">
        <f t="shared" si="4"/>
        <v>-0.62353972790308965</v>
      </c>
      <c r="K66" s="44">
        <f t="shared" si="14"/>
        <v>4.9580406614951498E-3</v>
      </c>
      <c r="L66" s="44">
        <f t="shared" si="19"/>
        <v>0.99584531935872933</v>
      </c>
      <c r="M66" s="44">
        <f t="shared" si="15"/>
        <v>-3.5206677851989776E-2</v>
      </c>
      <c r="N66" s="53">
        <v>-0.13147533670477324</v>
      </c>
      <c r="O66" s="44">
        <f t="shared" si="16"/>
        <v>-0.11386098155744627</v>
      </c>
      <c r="P66" s="44">
        <f t="shared" si="8"/>
        <v>1.296432312122512E-2</v>
      </c>
      <c r="Q66" s="44">
        <f t="shared" si="9"/>
        <v>-0.14906765940943606</v>
      </c>
      <c r="R66" s="44">
        <f t="shared" si="10"/>
        <v>2.222116708180763E-2</v>
      </c>
      <c r="V66">
        <f t="shared" si="17"/>
        <v>-0.11652184474210393</v>
      </c>
    </row>
    <row r="67" spans="1:22" x14ac:dyDescent="0.35">
      <c r="A67" t="s">
        <v>96</v>
      </c>
      <c r="B67">
        <v>2005</v>
      </c>
      <c r="C67" s="5">
        <f>'Orig data'!G59/1000</f>
        <v>1331.383</v>
      </c>
      <c r="D67" s="5">
        <f>'Orig data'!Q59/1000</f>
        <v>1804.337131549474</v>
      </c>
      <c r="E67" s="5">
        <f>'Orig data'!W59/1000</f>
        <v>826.79295575855997</v>
      </c>
      <c r="F67" s="44">
        <f t="shared" si="2"/>
        <v>-0.47641922268505188</v>
      </c>
      <c r="G67" s="44">
        <f t="shared" si="18"/>
        <v>0.14712050521803771</v>
      </c>
      <c r="H67" s="44">
        <f t="shared" si="3"/>
        <v>1542.3986302452897</v>
      </c>
      <c r="I67" s="44">
        <f t="shared" si="13"/>
        <v>-0.62353972790308965</v>
      </c>
      <c r="J67" s="44">
        <f t="shared" si="4"/>
        <v>-0.45238667034042801</v>
      </c>
      <c r="K67" s="44">
        <f t="shared" si="14"/>
        <v>0.38880179227345907</v>
      </c>
      <c r="L67" s="44">
        <f t="shared" si="19"/>
        <v>0.97144005684860812</v>
      </c>
      <c r="M67" s="44">
        <f t="shared" si="15"/>
        <v>-0.31176986395154482</v>
      </c>
      <c r="N67" s="53">
        <v>-0.27753691551970722</v>
      </c>
      <c r="O67" s="44">
        <f t="shared" si="16"/>
        <v>-0.24035401932804207</v>
      </c>
      <c r="P67" s="44">
        <f t="shared" si="8"/>
        <v>5.7770054607144822E-2</v>
      </c>
      <c r="Q67" s="44">
        <f t="shared" si="9"/>
        <v>-0.55212388327958695</v>
      </c>
      <c r="R67" s="44">
        <f t="shared" si="10"/>
        <v>0.30484078248773094</v>
      </c>
      <c r="V67">
        <f t="shared" si="17"/>
        <v>-0.23600379537122301</v>
      </c>
    </row>
    <row r="68" spans="1:22" x14ac:dyDescent="0.35">
      <c r="A68" t="s">
        <v>96</v>
      </c>
      <c r="B68">
        <v>2006</v>
      </c>
      <c r="C68" s="5">
        <f>'Orig data'!G60/1000</f>
        <v>1970.6210000000001</v>
      </c>
      <c r="D68" s="5">
        <f>'Orig data'!Q60/1000</f>
        <v>2683.6697926117286</v>
      </c>
      <c r="E68" s="5">
        <f>'Orig data'!W60/1000</f>
        <v>653.27645190826433</v>
      </c>
      <c r="F68" s="44">
        <f t="shared" si="2"/>
        <v>-1.1041036041238916</v>
      </c>
      <c r="G68" s="44">
        <f t="shared" si="18"/>
        <v>-0.65171693378346363</v>
      </c>
      <c r="H68" s="44">
        <f t="shared" si="3"/>
        <v>1026.9895829580519</v>
      </c>
      <c r="I68" s="44">
        <f t="shared" si="13"/>
        <v>-0.45238667034042801</v>
      </c>
      <c r="J68" s="44">
        <f t="shared" si="4"/>
        <v>0.21502965956974651</v>
      </c>
      <c r="K68" s="44">
        <f t="shared" si="14"/>
        <v>0.20465369950169909</v>
      </c>
      <c r="L68" s="44">
        <f t="shared" si="19"/>
        <v>0.56838383297845718</v>
      </c>
      <c r="M68" s="44">
        <f t="shared" si="15"/>
        <v>-0.226193335170214</v>
      </c>
      <c r="N68" s="53">
        <v>0.16330532021822045</v>
      </c>
      <c r="O68" s="44">
        <f t="shared" si="16"/>
        <v>0.14142655588213141</v>
      </c>
      <c r="P68" s="44">
        <f t="shared" si="8"/>
        <v>2.0001470708681638E-2</v>
      </c>
      <c r="Q68" s="44">
        <f t="shared" si="9"/>
        <v>-8.47667792880826E-2</v>
      </c>
      <c r="R68" s="44">
        <f t="shared" si="10"/>
        <v>7.1854068708745089E-3</v>
      </c>
      <c r="V68">
        <f t="shared" si="17"/>
        <v>-0.13528757164198782</v>
      </c>
    </row>
    <row r="69" spans="1:22" x14ac:dyDescent="0.35">
      <c r="A69" t="s">
        <v>96</v>
      </c>
      <c r="B69">
        <v>2007</v>
      </c>
      <c r="C69" s="5">
        <f>'Orig data'!G61/1000</f>
        <v>1057.248</v>
      </c>
      <c r="D69" s="5">
        <f>'Orig data'!Q61/1000</f>
        <v>1382.6343049989362</v>
      </c>
      <c r="E69" s="5">
        <f>'Orig data'!W61/1000</f>
        <v>1919.0873845169126</v>
      </c>
      <c r="F69" s="44">
        <f t="shared" si="2"/>
        <v>0.59618044680644766</v>
      </c>
      <c r="G69" s="44">
        <f t="shared" si="18"/>
        <v>0.38115078723670115</v>
      </c>
      <c r="H69" s="44">
        <f t="shared" si="3"/>
        <v>1547.7775958360655</v>
      </c>
      <c r="I69" s="44">
        <f t="shared" si="13"/>
        <v>0.21502965956974651</v>
      </c>
      <c r="J69" s="44">
        <f t="shared" si="4"/>
        <v>-0.18651597742142467</v>
      </c>
      <c r="K69" s="44">
        <f t="shared" si="14"/>
        <v>4.623775449468108E-2</v>
      </c>
      <c r="L69" s="44">
        <f t="shared" si="19"/>
        <v>1.0357409369699615</v>
      </c>
      <c r="M69" s="44">
        <f t="shared" si="15"/>
        <v>0.10751482978487326</v>
      </c>
      <c r="N69" s="53">
        <v>-0.14030028754422275</v>
      </c>
      <c r="O69" s="44">
        <f t="shared" si="16"/>
        <v>-0.12150361317155835</v>
      </c>
      <c r="P69" s="44">
        <f t="shared" si="8"/>
        <v>1.4763128013743687E-2</v>
      </c>
      <c r="Q69" s="44">
        <f t="shared" si="9"/>
        <v>-1.3988783386685091E-2</v>
      </c>
      <c r="R69" s="44">
        <f t="shared" si="10"/>
        <v>1.9568606063959682E-4</v>
      </c>
      <c r="V69">
        <f t="shared" si="17"/>
        <v>-0.12131865778882001</v>
      </c>
    </row>
    <row r="70" spans="1:22" x14ac:dyDescent="0.35">
      <c r="A70" t="s">
        <v>96</v>
      </c>
      <c r="B70">
        <v>2008</v>
      </c>
      <c r="C70" s="5">
        <f>'Orig data'!G62/1000</f>
        <v>982.01599999999996</v>
      </c>
      <c r="D70" s="5">
        <f>'Orig data'!Q62/1000</f>
        <v>1231.9400157277285</v>
      </c>
      <c r="E70" s="5">
        <f>'Orig data'!W62/1000</f>
        <v>1341.5754990023809</v>
      </c>
      <c r="F70" s="44">
        <f t="shared" si="2"/>
        <v>0.31199234632089623</v>
      </c>
      <c r="G70" s="44">
        <f t="shared" si="18"/>
        <v>0.4985083237423209</v>
      </c>
      <c r="H70" s="44">
        <f t="shared" si="3"/>
        <v>1616.6573384940225</v>
      </c>
      <c r="I70" s="44">
        <f t="shared" si="13"/>
        <v>-0.18651597742142467</v>
      </c>
      <c r="J70" s="44">
        <f t="shared" si="4"/>
        <v>0.38211832140349755</v>
      </c>
      <c r="K70" s="44">
        <f t="shared" si="14"/>
        <v>3.4788209833469398E-2</v>
      </c>
      <c r="L70" s="44">
        <f t="shared" si="19"/>
        <v>1.1065189328713589</v>
      </c>
      <c r="M70" s="44">
        <f t="shared" si="15"/>
        <v>-9.3257988710712336E-2</v>
      </c>
      <c r="N70" s="53">
        <v>0.11915134583441392</v>
      </c>
      <c r="O70" s="44">
        <f t="shared" si="16"/>
        <v>0.1031880923877076</v>
      </c>
      <c r="P70" s="44">
        <f t="shared" si="8"/>
        <v>1.0647782410614079E-2</v>
      </c>
      <c r="Q70" s="44">
        <f t="shared" si="9"/>
        <v>9.9301036769952611E-3</v>
      </c>
      <c r="R70" s="44">
        <f t="shared" si="10"/>
        <v>9.8606959035874801E-5</v>
      </c>
      <c r="V70">
        <f t="shared" si="17"/>
        <v>-0.1103444028471411</v>
      </c>
    </row>
    <row r="71" spans="1:22" x14ac:dyDescent="0.35">
      <c r="A71" t="s">
        <v>96</v>
      </c>
      <c r="B71">
        <v>2009</v>
      </c>
      <c r="C71" s="5">
        <f>'Orig data'!G63/1000</f>
        <v>474.55</v>
      </c>
      <c r="D71" s="5">
        <f>'Orig data'!Q63/1000</f>
        <v>816.92159766111376</v>
      </c>
      <c r="E71" s="5">
        <f>'Orig data'!W63/1000</f>
        <v>1605.3670756795239</v>
      </c>
      <c r="F71" s="44">
        <f t="shared" si="2"/>
        <v>1.2187407304265099</v>
      </c>
      <c r="G71" s="44">
        <f t="shared" si="18"/>
        <v>0.83662240902301233</v>
      </c>
      <c r="H71" s="44">
        <f t="shared" si="3"/>
        <v>1095.5254559516068</v>
      </c>
      <c r="I71" s="44">
        <f t="shared" si="13"/>
        <v>0.38211832140349755</v>
      </c>
      <c r="J71" s="44">
        <f t="shared" si="4"/>
        <v>-5.0362540781139886E-2</v>
      </c>
      <c r="K71" s="44">
        <f t="shared" si="14"/>
        <v>0.14601441155222666</v>
      </c>
      <c r="L71" s="44">
        <f t="shared" si="19"/>
        <v>1.1304378199350393</v>
      </c>
      <c r="M71" s="44">
        <f t="shared" si="15"/>
        <v>0.19105916070174878</v>
      </c>
      <c r="N71" s="44">
        <v>9.2605203019172438E-2</v>
      </c>
      <c r="O71" s="44">
        <f t="shared" si="16"/>
        <v>8.0198458337218725E-2</v>
      </c>
      <c r="P71" s="44">
        <f t="shared" si="8"/>
        <v>6.431792719666608E-3</v>
      </c>
      <c r="Q71" s="44">
        <f t="shared" si="9"/>
        <v>0.2712576190389675</v>
      </c>
      <c r="R71" s="44">
        <f t="shared" si="10"/>
        <v>7.3580695886689626E-2</v>
      </c>
      <c r="V71">
        <f t="shared" si="17"/>
        <v>-9.9101763671281012E-2</v>
      </c>
    </row>
    <row r="72" spans="1:22" x14ac:dyDescent="0.35">
      <c r="A72" t="s">
        <v>96</v>
      </c>
      <c r="B72">
        <v>2010</v>
      </c>
      <c r="C72" s="5">
        <f>'Orig data'!G64/1000</f>
        <v>608.71799999999996</v>
      </c>
      <c r="D72" s="5">
        <f>'Orig data'!Q64/1000</f>
        <v>661.73670499843308</v>
      </c>
      <c r="E72" s="5">
        <f>'Orig data'!W64/1000</f>
        <v>1596.9853916231559</v>
      </c>
      <c r="F72" s="44">
        <f t="shared" si="2"/>
        <v>0.96451789450628955</v>
      </c>
      <c r="G72" s="44">
        <f t="shared" si="18"/>
        <v>1.0148804352874294</v>
      </c>
      <c r="H72" s="44">
        <f t="shared" si="3"/>
        <v>1679.4733507705212</v>
      </c>
      <c r="I72" s="44">
        <f t="shared" si="13"/>
        <v>-5.0362540781139886E-2</v>
      </c>
      <c r="J72" s="44">
        <f t="shared" si="4"/>
        <v>-0.17656813498076152</v>
      </c>
      <c r="K72" s="44">
        <f t="shared" si="14"/>
        <v>2.5363855139319781E-3</v>
      </c>
      <c r="L72" s="44">
        <f t="shared" si="19"/>
        <v>1.3917653352970116</v>
      </c>
      <c r="M72" s="44">
        <f t="shared" si="15"/>
        <v>-2.5181270390569943E-2</v>
      </c>
      <c r="N72" s="44">
        <v>-0.22888963838514181</v>
      </c>
      <c r="O72" s="44">
        <f t="shared" si="16"/>
        <v>-0.19822424150456658</v>
      </c>
      <c r="P72" s="44">
        <f t="shared" si="8"/>
        <v>3.9292849920060734E-2</v>
      </c>
      <c r="Q72" s="44">
        <f t="shared" si="9"/>
        <v>-0.22340551189513652</v>
      </c>
      <c r="R72" s="44">
        <f t="shared" si="10"/>
        <v>4.9910022745127985E-2</v>
      </c>
      <c r="V72">
        <f t="shared" si="17"/>
        <v>-0.18673124953899872</v>
      </c>
    </row>
    <row r="73" spans="1:22" x14ac:dyDescent="0.35">
      <c r="A73" t="s">
        <v>96</v>
      </c>
      <c r="B73">
        <v>2011</v>
      </c>
      <c r="C73" s="5">
        <f>'Orig data'!G65/1000</f>
        <v>1079.068</v>
      </c>
      <c r="D73" s="5">
        <f>'Orig data'!Q65/1000</f>
        <v>1420.9246212415405</v>
      </c>
      <c r="E73" s="5">
        <f>'Orig data'!W65/1000</f>
        <v>1137.1576669372032</v>
      </c>
      <c r="F73" s="44">
        <f t="shared" si="2"/>
        <v>5.2434168798394958E-2</v>
      </c>
      <c r="G73" s="44">
        <f t="shared" si="18"/>
        <v>0.22900230377915648</v>
      </c>
      <c r="H73" s="44">
        <f t="shared" si="3"/>
        <v>1356.7606850236552</v>
      </c>
      <c r="I73" s="44">
        <f t="shared" si="13"/>
        <v>-0.17656813498076152</v>
      </c>
      <c r="J73" s="44">
        <f t="shared" si="4"/>
        <v>0.34374301892172859</v>
      </c>
      <c r="K73" s="44">
        <f t="shared" si="14"/>
        <v>3.1176306290584418E-2</v>
      </c>
      <c r="L73" s="44">
        <f t="shared" si="19"/>
        <v>0.89710220436290755</v>
      </c>
      <c r="M73" s="44">
        <f t="shared" si="15"/>
        <v>-8.8284067490380758E-2</v>
      </c>
      <c r="N73" s="44">
        <v>0.30486496839209731</v>
      </c>
      <c r="O73" s="44">
        <f t="shared" si="16"/>
        <v>0.26402080735149619</v>
      </c>
      <c r="P73" s="44">
        <f t="shared" si="8"/>
        <v>6.970698671453586E-2</v>
      </c>
      <c r="Q73" s="44">
        <f t="shared" si="9"/>
        <v>0.17573673986111543</v>
      </c>
      <c r="R73" s="44">
        <f t="shared" si="10"/>
        <v>3.0883401737013358E-2</v>
      </c>
      <c r="V73">
        <f t="shared" si="17"/>
        <v>-0.26783561432426578</v>
      </c>
    </row>
    <row r="74" spans="1:22" x14ac:dyDescent="0.35">
      <c r="A74" t="s">
        <v>96</v>
      </c>
      <c r="B74">
        <v>2012</v>
      </c>
      <c r="C74" s="5">
        <f>'Orig data'!G66/1000</f>
        <v>1381.0719999999999</v>
      </c>
      <c r="D74" s="5">
        <f>'Orig data'!Q66/1000</f>
        <v>1702.0199096711003</v>
      </c>
      <c r="E74" s="5">
        <f>'Orig data'!W66/1000</f>
        <v>3027.5787899983843</v>
      </c>
      <c r="F74" s="44">
        <f t="shared" si="2"/>
        <v>0.7849032116775021</v>
      </c>
      <c r="G74" s="44">
        <f t="shared" si="18"/>
        <v>0.44116019275577351</v>
      </c>
      <c r="H74" s="44">
        <f t="shared" si="3"/>
        <v>2146.8898253577881</v>
      </c>
      <c r="I74" s="44">
        <f t="shared" si="13"/>
        <v>0.34374301892172859</v>
      </c>
      <c r="J74" s="44">
        <f t="shared" si="4"/>
        <v>-0.67095761210371951</v>
      </c>
      <c r="K74" s="44">
        <f t="shared" si="14"/>
        <v>0.11815926305742386</v>
      </c>
      <c r="L74" s="44">
        <f t="shared" si="19"/>
        <v>1.2962444561191595</v>
      </c>
      <c r="M74" s="44">
        <f t="shared" si="15"/>
        <v>0.1718715094608643</v>
      </c>
      <c r="N74" s="44">
        <v>-0.31204067782653255</v>
      </c>
      <c r="O74" s="44">
        <f t="shared" si="16"/>
        <v>-0.2702351540118928</v>
      </c>
      <c r="P74" s="44">
        <f t="shared" si="8"/>
        <v>7.302703846383142E-2</v>
      </c>
      <c r="Q74" s="44">
        <f t="shared" si="9"/>
        <v>-9.8363644551028501E-2</v>
      </c>
      <c r="R74" s="44">
        <f t="shared" si="10"/>
        <v>9.6754065693610784E-3</v>
      </c>
      <c r="V74">
        <f t="shared" si="17"/>
        <v>-0.27668908565572076</v>
      </c>
    </row>
    <row r="75" spans="1:22" x14ac:dyDescent="0.35">
      <c r="A75" t="s">
        <v>96</v>
      </c>
      <c r="B75">
        <v>2013</v>
      </c>
      <c r="C75" s="5">
        <f>'Orig data'!G67/1000</f>
        <v>1167.8389999999999</v>
      </c>
      <c r="D75" s="5">
        <f>'Orig data'!Q67/1000</f>
        <v>1601.3079576465559</v>
      </c>
      <c r="E75" s="5">
        <f>'Orig data'!W67/1000</f>
        <v>805.15493228744583</v>
      </c>
      <c r="F75" s="44">
        <f t="shared" si="2"/>
        <v>-0.37187559005235787</v>
      </c>
      <c r="G75" s="44">
        <f t="shared" si="18"/>
        <v>0.29908202205136158</v>
      </c>
      <c r="H75" s="44">
        <f t="shared" si="3"/>
        <v>1574.9713072466793</v>
      </c>
      <c r="I75" s="44">
        <f t="shared" si="13"/>
        <v>-0.67095761210371951</v>
      </c>
      <c r="J75" s="44">
        <f t="shared" si="4"/>
        <v>-0.33613341620293713</v>
      </c>
      <c r="K75" s="44">
        <f t="shared" si="14"/>
        <v>0.45018411723992535</v>
      </c>
      <c r="L75" s="44">
        <f t="shared" si="19"/>
        <v>1.0221440717070156</v>
      </c>
      <c r="M75" s="44">
        <f t="shared" si="15"/>
        <v>-0.33547880605185976</v>
      </c>
      <c r="N75" s="44">
        <v>4.2933095262298694E-2</v>
      </c>
      <c r="O75" s="44">
        <f t="shared" si="16"/>
        <v>3.7181151160247991E-2</v>
      </c>
      <c r="P75" s="44">
        <f t="shared" si="8"/>
        <v>1.3824380016012104E-3</v>
      </c>
      <c r="Q75" s="44">
        <f t="shared" si="9"/>
        <v>-0.29829765489161175</v>
      </c>
      <c r="R75" s="44">
        <f t="shared" si="10"/>
        <v>8.8981490913835101E-2</v>
      </c>
      <c r="V75">
        <f t="shared" si="17"/>
        <v>-8.5636817756440053E-2</v>
      </c>
    </row>
    <row r="76" spans="1:22" x14ac:dyDescent="0.35">
      <c r="A76" t="s">
        <v>96</v>
      </c>
      <c r="B76">
        <v>2014</v>
      </c>
      <c r="C76" s="5">
        <f>'Orig data'!G68/1000</f>
        <v>1165.58</v>
      </c>
      <c r="D76" s="5">
        <f>'Orig data'!Q68/1000</f>
        <v>1507.8661449047895</v>
      </c>
      <c r="E76" s="5">
        <f>'Orig data'!W68/1000</f>
        <v>920.93305007688298</v>
      </c>
      <c r="F76" s="44">
        <f t="shared" si="2"/>
        <v>-0.23558675521758229</v>
      </c>
      <c r="G76" s="44">
        <f t="shared" si="18"/>
        <v>0.10054666098535481</v>
      </c>
      <c r="H76" s="44">
        <f t="shared" si="3"/>
        <v>1288.8695008152681</v>
      </c>
      <c r="I76" s="44">
        <f t="shared" si="13"/>
        <v>-0.33613341620293713</v>
      </c>
      <c r="J76" s="44">
        <f t="shared" si="4"/>
        <v>-0.92801472007842034</v>
      </c>
      <c r="K76" s="44">
        <f t="shared" si="14"/>
        <v>0.11298567348825696</v>
      </c>
      <c r="L76" s="44">
        <f t="shared" si="19"/>
        <v>0.82221006136643238</v>
      </c>
      <c r="M76" s="44">
        <f t="shared" si="15"/>
        <v>-0.16806670810146856</v>
      </c>
      <c r="N76" s="44">
        <v>-0.37712782828848262</v>
      </c>
      <c r="O76" s="44">
        <f t="shared" si="16"/>
        <v>-0.32660227977188161</v>
      </c>
      <c r="P76" s="44">
        <f t="shared" si="8"/>
        <v>0.10666904915219043</v>
      </c>
      <c r="Q76" s="44">
        <f t="shared" si="9"/>
        <v>-0.49466898787335017</v>
      </c>
      <c r="R76" s="44">
        <f t="shared" si="10"/>
        <v>0.24469740756364466</v>
      </c>
      <c r="V76">
        <f t="shared" si="17"/>
        <v>-0.36640111415801146</v>
      </c>
    </row>
    <row r="77" spans="1:22" x14ac:dyDescent="0.35">
      <c r="A77" t="s">
        <v>96</v>
      </c>
      <c r="B77">
        <v>2015</v>
      </c>
      <c r="C77" s="5">
        <f>'Orig data'!G69/1000</f>
        <v>950.86500000000001</v>
      </c>
      <c r="D77" s="5">
        <f>'Orig data'!Q69/1000</f>
        <v>1452.70363574403</v>
      </c>
      <c r="E77" s="5">
        <f>'Orig data'!W69/1000</f>
        <v>390.1270641711933</v>
      </c>
      <c r="F77" s="44">
        <f t="shared" si="2"/>
        <v>-0.8908996050049991</v>
      </c>
      <c r="G77" s="44">
        <f t="shared" si="18"/>
        <v>3.711511507342119E-2</v>
      </c>
      <c r="H77" s="44">
        <f t="shared" si="3"/>
        <v>986.81956552785448</v>
      </c>
      <c r="I77" s="44">
        <f t="shared" ref="I77:I79" si="20">F77-G77</f>
        <v>-0.92801472007842034</v>
      </c>
      <c r="J77" s="44">
        <f t="shared" si="4"/>
        <v>-0.39961658732689764</v>
      </c>
      <c r="K77" s="44">
        <f t="shared" si="14"/>
        <v>0.86121132068222883</v>
      </c>
      <c r="L77" s="44">
        <f t="shared" si="19"/>
        <v>0.62583872838469401</v>
      </c>
      <c r="M77" s="44">
        <f t="shared" si="15"/>
        <v>-0.46400736003921017</v>
      </c>
      <c r="N77" s="44">
        <v>-4.9285399004017877E-2</v>
      </c>
      <c r="O77" s="44">
        <f t="shared" ref="O77:O79" si="21">N77*SQRT(1-rho^2)</f>
        <v>-4.2682407573131749E-2</v>
      </c>
      <c r="P77" s="44">
        <f t="shared" si="8"/>
        <v>1.8217879162389344E-3</v>
      </c>
      <c r="Q77" s="44">
        <f t="shared" si="9"/>
        <v>-0.50668976761234197</v>
      </c>
      <c r="R77" s="44">
        <f t="shared" si="10"/>
        <v>0.25673452060304913</v>
      </c>
      <c r="V77">
        <f t="shared" si="17"/>
        <v>-8.6808417528807413E-2</v>
      </c>
    </row>
    <row r="78" spans="1:22" x14ac:dyDescent="0.35">
      <c r="A78" t="s">
        <v>96</v>
      </c>
      <c r="B78">
        <v>2016</v>
      </c>
      <c r="C78" s="5">
        <f>'Orig data'!G70/1000</f>
        <v>1975.386</v>
      </c>
      <c r="D78" s="5">
        <f>'Orig data'!Q70/1000</f>
        <v>2944.872519317591</v>
      </c>
      <c r="E78" s="5">
        <f>'Orig data'!W70/1000</f>
        <v>720.30120758067005</v>
      </c>
      <c r="F78" s="44">
        <f t="shared" ref="F78:F79" si="22">LN(E78/C78)</f>
        <v>-1.008849632885948</v>
      </c>
      <c r="G78" s="44">
        <f t="shared" si="18"/>
        <v>-0.60923304555905033</v>
      </c>
      <c r="H78" s="44">
        <f t="shared" ref="H78:H79" si="23">EXP(G78)*C78</f>
        <v>1074.151209060253</v>
      </c>
      <c r="I78" s="44">
        <f t="shared" si="20"/>
        <v>-0.39961658732689764</v>
      </c>
      <c r="J78" s="44">
        <f t="shared" ref="J78" si="24">I79</f>
        <v>-0.57092633456176267</v>
      </c>
      <c r="K78" s="44">
        <f t="shared" si="14"/>
        <v>0.159693416866796</v>
      </c>
      <c r="L78" s="44">
        <f t="shared" si="19"/>
        <v>0.61381794864570216</v>
      </c>
      <c r="M78" s="44">
        <f t="shared" si="15"/>
        <v>-0.19980829366344882</v>
      </c>
      <c r="N78" s="44">
        <v>-0.24721883679462067</v>
      </c>
      <c r="O78" s="44">
        <f t="shared" si="21"/>
        <v>-0.2140977929581806</v>
      </c>
      <c r="P78" s="44">
        <f t="shared" ref="P78:P79" si="25">O78^2</f>
        <v>4.5837864949563968E-2</v>
      </c>
      <c r="Q78" s="44">
        <f t="shared" ref="Q78:Q79" si="26">M78+O78</f>
        <v>-0.41390608662162942</v>
      </c>
      <c r="R78" s="44">
        <f t="shared" ref="R78:R79" si="27">Q78^2</f>
        <v>0.1713182485424318</v>
      </c>
      <c r="V78">
        <f t="shared" si="17"/>
        <v>-0.20418462295100745</v>
      </c>
    </row>
    <row r="79" spans="1:22" x14ac:dyDescent="0.35">
      <c r="A79" t="s">
        <v>96</v>
      </c>
      <c r="B79">
        <v>2017</v>
      </c>
      <c r="C79" s="5">
        <f>'Orig data'!G71/1000</f>
        <v>659.66700000000003</v>
      </c>
      <c r="D79" s="5">
        <f>'Orig data'!Q71/1000</f>
        <v>1072.3218899999999</v>
      </c>
      <c r="E79" s="5">
        <f>'Orig data'!W71/1000</f>
        <v>502.19109895925203</v>
      </c>
      <c r="F79" s="44">
        <f t="shared" si="22"/>
        <v>-0.2727544397691033</v>
      </c>
      <c r="G79" s="44">
        <f t="shared" si="18"/>
        <v>0.29817189479265938</v>
      </c>
      <c r="H79" s="44">
        <f t="shared" si="23"/>
        <v>888.83094740579952</v>
      </c>
      <c r="I79" s="44">
        <f t="shared" si="20"/>
        <v>-0.57092633456176267</v>
      </c>
      <c r="J79" s="44" t="s">
        <v>12</v>
      </c>
      <c r="K79" s="44">
        <f t="shared" si="14"/>
        <v>0.32595687949612978</v>
      </c>
      <c r="L79" s="44">
        <f t="shared" si="19"/>
        <v>0.70660162963641471</v>
      </c>
      <c r="M79" s="44">
        <f t="shared" si="15"/>
        <v>-0.28546316728088134</v>
      </c>
      <c r="N79" s="44">
        <v>2.7304123039977913E-5</v>
      </c>
      <c r="O79" s="44">
        <f t="shared" si="21"/>
        <v>2.3646064180676866E-5</v>
      </c>
      <c r="P79" s="44">
        <f t="shared" si="25"/>
        <v>5.5913635123668947E-10</v>
      </c>
      <c r="Q79" s="44">
        <f t="shared" si="26"/>
        <v>-0.28543952121670063</v>
      </c>
      <c r="R79" s="44">
        <f t="shared" si="27"/>
        <v>8.1475720272419283E-2</v>
      </c>
      <c r="V79">
        <f t="shared" si="17"/>
        <v>-8.1950317909867218E-2</v>
      </c>
    </row>
    <row r="80" spans="1:22" x14ac:dyDescent="0.35">
      <c r="F80" s="44"/>
      <c r="G80" s="44"/>
      <c r="H80" s="44"/>
      <c r="J80" t="s">
        <v>144</v>
      </c>
      <c r="K80" s="60">
        <f>SUM(K13:K79)</f>
        <v>6.8886095479048333</v>
      </c>
      <c r="L80" s="44"/>
      <c r="M80" s="44"/>
      <c r="N80" s="44"/>
      <c r="O80" s="44" t="s">
        <v>144</v>
      </c>
      <c r="P80" s="44">
        <f>SUM(P13:P78)</f>
        <v>1.0506544006548866</v>
      </c>
      <c r="Q80" s="44" t="s">
        <v>144</v>
      </c>
      <c r="R80" s="44">
        <f>SUM(R13:R79)</f>
        <v>3.2490468427442112</v>
      </c>
      <c r="S80" t="s">
        <v>12</v>
      </c>
      <c r="T80" t="s">
        <v>12</v>
      </c>
      <c r="U80" t="s">
        <v>144</v>
      </c>
      <c r="V80" s="56">
        <f>SUM(V13:V79)</f>
        <v>-8.2924162699661306</v>
      </c>
    </row>
    <row r="81" spans="8:18" x14ac:dyDescent="0.35">
      <c r="H81" s="44"/>
      <c r="J81" t="s">
        <v>152</v>
      </c>
      <c r="K81" s="44">
        <f>K80/(COUNT(K13:K79)-2)</f>
        <v>0.10597860842930512</v>
      </c>
      <c r="O81" t="s">
        <v>152</v>
      </c>
      <c r="P81" s="44">
        <f>P80/(COUNT(P13:P78)-2)</f>
        <v>1.6416475010232603E-2</v>
      </c>
      <c r="Q81" t="s">
        <v>152</v>
      </c>
      <c r="R81" s="44">
        <f>R80/COUNT(R13:R79)</f>
        <v>4.8493236458868827E-2</v>
      </c>
    </row>
    <row r="82" spans="8:18" x14ac:dyDescent="0.35">
      <c r="H82" s="44"/>
      <c r="J82" s="44" t="s">
        <v>153</v>
      </c>
      <c r="K82">
        <f>SQRT(K81)</f>
        <v>0.32554355842084348</v>
      </c>
      <c r="N82" s="44"/>
      <c r="O82" s="44" t="s">
        <v>153</v>
      </c>
      <c r="P82">
        <f>SQRT(P81)</f>
        <v>0.12812679271031724</v>
      </c>
      <c r="Q82" s="44" t="s">
        <v>153</v>
      </c>
      <c r="R82">
        <f>SQRT(R81)</f>
        <v>0.22021179909094069</v>
      </c>
    </row>
    <row r="83" spans="8:18" x14ac:dyDescent="0.35">
      <c r="P83" s="44" t="s">
        <v>12</v>
      </c>
      <c r="Q83" s="44" t="s">
        <v>12</v>
      </c>
    </row>
  </sheetData>
  <pageMargins left="0.7" right="0.7" top="0.75" bottom="0.75" header="0.3" footer="0.3"/>
  <pageSetup orientation="portrait" horizontalDpi="200" verticalDpi="2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31</vt:i4>
      </vt:variant>
    </vt:vector>
  </HeadingPairs>
  <TitlesOfParts>
    <vt:vector size="40" baseType="lpstr">
      <vt:lpstr>Orig data</vt:lpstr>
      <vt:lpstr>SR + catch data Haley</vt:lpstr>
      <vt:lpstr>SR + catch data Murdoch_age con</vt:lpstr>
      <vt:lpstr>SR + catch data Murdoch_age var</vt:lpstr>
      <vt:lpstr>Thompson Steelhead</vt:lpstr>
      <vt:lpstr>Chilcotin River steelhead</vt:lpstr>
      <vt:lpstr>covariates</vt:lpstr>
      <vt:lpstr>Retrospective Run1</vt:lpstr>
      <vt:lpstr>lag 1 autocorr model</vt:lpstr>
      <vt:lpstr>alphaV</vt:lpstr>
      <vt:lpstr>ar</vt:lpstr>
      <vt:lpstr>br</vt:lpstr>
      <vt:lpstr>byrate</vt:lpstr>
      <vt:lpstr>chilcotSSLz</vt:lpstr>
      <vt:lpstr>deltaPred</vt:lpstr>
      <vt:lpstr>Fnbycatch</vt:lpstr>
      <vt:lpstr>ndata</vt:lpstr>
      <vt:lpstr>ndatachum</vt:lpstr>
      <vt:lpstr>ndatatot</vt:lpstr>
      <vt:lpstr>negLL</vt:lpstr>
      <vt:lpstr>rho</vt:lpstr>
      <vt:lpstr>rundays</vt:lpstr>
      <vt:lpstr>sdtot</vt:lpstr>
      <vt:lpstr>sige</vt:lpstr>
      <vt:lpstr>sigev</vt:lpstr>
      <vt:lpstr>sigmaCH</vt:lpstr>
      <vt:lpstr>sigmaTH</vt:lpstr>
      <vt:lpstr>sigr</vt:lpstr>
      <vt:lpstr>SSLavg</vt:lpstr>
      <vt:lpstr>SSLavgCH</vt:lpstr>
      <vt:lpstr>sslavgTH</vt:lpstr>
      <vt:lpstr>SSLcontrol</vt:lpstr>
      <vt:lpstr>SSLsd</vt:lpstr>
      <vt:lpstr>SSLsdCH</vt:lpstr>
      <vt:lpstr>SSLsdTH</vt:lpstr>
      <vt:lpstr>SSLz</vt:lpstr>
      <vt:lpstr>sumsqchum</vt:lpstr>
      <vt:lpstr>thompSSLz</vt:lpstr>
      <vt:lpstr>Uapply</vt:lpstr>
      <vt:lpstr>Uhistoric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McAllister, Murdoch</dc:creator>
  <cp:lastModifiedBy>McAllister, Murdoch</cp:lastModifiedBy>
  <dcterms:created xsi:type="dcterms:W3CDTF">2025-07-18T23:03:54Z</dcterms:created>
  <dcterms:modified xsi:type="dcterms:W3CDTF">2026-09-25T17:36:56Z</dcterms:modified>
</cp:coreProperties>
</file>