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epe\Documents\GitHub_\Automated coding - scripts\StonkModels\"/>
    </mc:Choice>
  </mc:AlternateContent>
  <xr:revisionPtr revIDLastSave="0" documentId="8_{EA5C2113-C642-4139-935C-BB623FBF3521}" xr6:coauthVersionLast="47" xr6:coauthVersionMax="47" xr10:uidLastSave="{00000000-0000-0000-0000-000000000000}"/>
  <bookViews>
    <workbookView xWindow="28680" yWindow="-120" windowWidth="29040" windowHeight="15840" xr2:uid="{00000000-000D-0000-FFFF-FFFF00000000}"/>
  </bookViews>
  <sheets>
    <sheet name="PHARM" sheetId="3" r:id="rId1"/>
  </sheets>
  <calcPr calcId="191029"/>
</workbook>
</file>

<file path=xl/calcChain.xml><?xml version="1.0" encoding="utf-8"?>
<calcChain xmlns="http://schemas.openxmlformats.org/spreadsheetml/2006/main">
  <c r="H84" i="3" l="1"/>
  <c r="G84" i="3"/>
  <c r="E82" i="3"/>
  <c r="D82" i="3"/>
  <c r="E81" i="3"/>
  <c r="D81" i="3"/>
  <c r="E80" i="3"/>
  <c r="D80" i="3"/>
  <c r="E79" i="3"/>
  <c r="D79" i="3"/>
  <c r="E78" i="3"/>
  <c r="D78" i="3"/>
  <c r="E77" i="3"/>
  <c r="D77" i="3"/>
  <c r="E76" i="3"/>
  <c r="E84" i="3" s="1"/>
  <c r="D76" i="3"/>
  <c r="D84" i="3" s="1"/>
  <c r="B42" i="3"/>
  <c r="B41" i="3"/>
  <c r="D34" i="3"/>
  <c r="C34" i="3"/>
  <c r="B34" i="3"/>
  <c r="I30" i="3"/>
  <c r="E27" i="3"/>
  <c r="E25" i="3"/>
  <c r="E24" i="3"/>
  <c r="I22" i="3"/>
  <c r="G22" i="3"/>
  <c r="D22" i="3"/>
  <c r="C22" i="3"/>
  <c r="B22" i="3"/>
  <c r="E20" i="3"/>
  <c r="E22" i="3" s="1"/>
  <c r="J18" i="3"/>
  <c r="K18" i="3" s="1"/>
  <c r="L18" i="3" s="1"/>
  <c r="M18" i="3" s="1"/>
  <c r="N18" i="3" s="1"/>
  <c r="O18" i="3" s="1"/>
  <c r="P18" i="3" s="1"/>
  <c r="Q18" i="3" s="1"/>
  <c r="R18" i="3" s="1"/>
  <c r="S18" i="3" s="1"/>
  <c r="I18" i="3"/>
  <c r="J17" i="3"/>
  <c r="I17" i="3"/>
  <c r="B14" i="3"/>
  <c r="B16" i="3" s="1"/>
  <c r="E13" i="3"/>
  <c r="I12" i="3"/>
  <c r="I14" i="3" s="1"/>
  <c r="G12" i="3"/>
  <c r="G14" i="3" s="1"/>
  <c r="G16" i="3" s="1"/>
  <c r="D12" i="3"/>
  <c r="D14" i="3" s="1"/>
  <c r="D16" i="3" s="1"/>
  <c r="C12" i="3"/>
  <c r="B12" i="3"/>
  <c r="J9" i="3"/>
  <c r="J12" i="3" s="1"/>
  <c r="J14" i="3" s="1"/>
  <c r="E9" i="3"/>
  <c r="E12" i="3" s="1"/>
  <c r="E14" i="3" s="1"/>
  <c r="E16" i="3" s="1"/>
  <c r="J8" i="3"/>
  <c r="K8" i="3" s="1"/>
  <c r="E8" i="3"/>
  <c r="E7" i="3" s="1"/>
  <c r="D7" i="3"/>
  <c r="C7" i="3"/>
  <c r="J4" i="3"/>
  <c r="K4" i="3" s="1"/>
  <c r="E39" i="3" l="1"/>
  <c r="E23" i="3"/>
  <c r="E26" i="3" s="1"/>
  <c r="E28" i="3" s="1"/>
  <c r="B39" i="3"/>
  <c r="B23" i="3"/>
  <c r="B26" i="3" s="1"/>
  <c r="B28" i="3" s="1"/>
  <c r="L8" i="3"/>
  <c r="J22" i="3"/>
  <c r="K17" i="3"/>
  <c r="J15" i="3"/>
  <c r="J16" i="3" s="1"/>
  <c r="C14" i="3"/>
  <c r="C16" i="3" s="1"/>
  <c r="C13" i="3"/>
  <c r="D39" i="3"/>
  <c r="D23" i="3"/>
  <c r="D26" i="3" s="1"/>
  <c r="D28" i="3" s="1"/>
  <c r="K9" i="3"/>
  <c r="K12" i="3" s="1"/>
  <c r="K14" i="3" s="1"/>
  <c r="L4" i="3"/>
  <c r="G39" i="3"/>
  <c r="G23" i="3"/>
  <c r="G26" i="3" s="1"/>
  <c r="G28" i="3" s="1"/>
  <c r="I15" i="3"/>
  <c r="I16" i="3" s="1"/>
  <c r="D13" i="3"/>
  <c r="J24" i="3"/>
  <c r="J39" i="3" l="1"/>
  <c r="J23" i="3"/>
  <c r="J26" i="3" s="1"/>
  <c r="I39" i="3"/>
  <c r="I23" i="3"/>
  <c r="K15" i="3"/>
  <c r="K16" i="3" s="1"/>
  <c r="M4" i="3"/>
  <c r="K22" i="3"/>
  <c r="L17" i="3"/>
  <c r="L9" i="3"/>
  <c r="L12" i="3" s="1"/>
  <c r="L14" i="3" s="1"/>
  <c r="C39" i="3"/>
  <c r="C23" i="3"/>
  <c r="C26" i="3" s="1"/>
  <c r="C28" i="3" s="1"/>
  <c r="M8" i="3"/>
  <c r="K23" i="3" l="1"/>
  <c r="K39" i="3"/>
  <c r="L15" i="3"/>
  <c r="L16" i="3" s="1"/>
  <c r="N4" i="3"/>
  <c r="N9" i="3" s="1"/>
  <c r="M9" i="3"/>
  <c r="J27" i="3"/>
  <c r="J28" i="3" s="1"/>
  <c r="J30" i="3" s="1"/>
  <c r="M12" i="3"/>
  <c r="M14" i="3" s="1"/>
  <c r="N8" i="3"/>
  <c r="L22" i="3"/>
  <c r="M17" i="3"/>
  <c r="K24" i="3" l="1"/>
  <c r="L23" i="3"/>
  <c r="L39" i="3"/>
  <c r="O4" i="3"/>
  <c r="M22" i="3"/>
  <c r="N17" i="3"/>
  <c r="N12" i="3"/>
  <c r="N14" i="3" s="1"/>
  <c r="O8" i="3"/>
  <c r="M15" i="3"/>
  <c r="M16" i="3" s="1"/>
  <c r="K26" i="3"/>
  <c r="M23" i="3" l="1"/>
  <c r="M39" i="3"/>
  <c r="K27" i="3"/>
  <c r="K28" i="3"/>
  <c r="O12" i="3"/>
  <c r="O14" i="3" s="1"/>
  <c r="P8" i="3"/>
  <c r="P4" i="3"/>
  <c r="P9" i="3" s="1"/>
  <c r="O17" i="3"/>
  <c r="N22" i="3"/>
  <c r="N15" i="3"/>
  <c r="N16" i="3" s="1"/>
  <c r="O9" i="3"/>
  <c r="N39" i="3" l="1"/>
  <c r="N23" i="3"/>
  <c r="P17" i="3"/>
  <c r="O22" i="3"/>
  <c r="O15" i="3"/>
  <c r="O16" i="3" s="1"/>
  <c r="Q4" i="3"/>
  <c r="Q9" i="3" s="1"/>
  <c r="P12" i="3"/>
  <c r="P14" i="3" s="1"/>
  <c r="Q8" i="3"/>
  <c r="K30" i="3"/>
  <c r="O39" i="3" l="1"/>
  <c r="O23" i="3"/>
  <c r="P16" i="3"/>
  <c r="P15" i="3"/>
  <c r="Q17" i="3"/>
  <c r="P22" i="3"/>
  <c r="L24" i="3"/>
  <c r="L26" i="3" s="1"/>
  <c r="Q12" i="3"/>
  <c r="Q14" i="3" s="1"/>
  <c r="R8" i="3"/>
  <c r="R4" i="3"/>
  <c r="R9" i="3" s="1"/>
  <c r="S4" i="3" l="1"/>
  <c r="S9" i="3"/>
  <c r="P39" i="3"/>
  <c r="P23" i="3"/>
  <c r="R17" i="3"/>
  <c r="Q22" i="3"/>
  <c r="L27" i="3"/>
  <c r="L28" i="3"/>
  <c r="R12" i="3"/>
  <c r="R14" i="3" s="1"/>
  <c r="S8" i="3"/>
  <c r="Q15" i="3"/>
  <c r="Q16" i="3" s="1"/>
  <c r="Q39" i="3" l="1"/>
  <c r="Q23" i="3"/>
  <c r="L30" i="3"/>
  <c r="S12" i="3"/>
  <c r="S14" i="3" s="1"/>
  <c r="R15" i="3"/>
  <c r="R16" i="3" s="1"/>
  <c r="S17" i="3"/>
  <c r="S22" i="3" s="1"/>
  <c r="R22" i="3"/>
  <c r="R39" i="3" l="1"/>
  <c r="R23" i="3"/>
  <c r="M24" i="3"/>
  <c r="M26" i="3" s="1"/>
  <c r="S15" i="3"/>
  <c r="S16" i="3" s="1"/>
  <c r="S39" i="3" l="1"/>
  <c r="S23" i="3"/>
  <c r="M27" i="3"/>
  <c r="M28" i="3"/>
  <c r="M30" i="3" l="1"/>
  <c r="N24" i="3" l="1"/>
  <c r="N26" i="3" s="1"/>
  <c r="N27" i="3" l="1"/>
  <c r="N28" i="3"/>
  <c r="N30" i="3" l="1"/>
  <c r="O24" i="3" l="1"/>
  <c r="O26" i="3" s="1"/>
  <c r="O27" i="3" l="1"/>
  <c r="O28" i="3" s="1"/>
  <c r="O30" i="3" l="1"/>
  <c r="P24" i="3" l="1"/>
  <c r="P26" i="3" s="1"/>
  <c r="P27" i="3" l="1"/>
  <c r="P28" i="3" s="1"/>
  <c r="P30" i="3" s="1"/>
  <c r="Q24" i="3" l="1"/>
  <c r="Q26" i="3" s="1"/>
  <c r="Q27" i="3" l="1"/>
  <c r="Q28" i="3" s="1"/>
  <c r="Q30" i="3" s="1"/>
  <c r="R24" i="3" l="1"/>
  <c r="R26" i="3" s="1"/>
  <c r="R27" i="3" l="1"/>
  <c r="R28" i="3" s="1"/>
  <c r="R30" i="3" s="1"/>
  <c r="S24" i="3" l="1"/>
  <c r="S26" i="3" s="1"/>
  <c r="S27" i="3" l="1"/>
  <c r="S28" i="3"/>
  <c r="B45" i="3" l="1" a="1"/>
  <c r="B45" i="3" s="1"/>
  <c r="S30" i="3"/>
  <c r="B46" i="3" l="1"/>
  <c r="D45" i="3"/>
</calcChain>
</file>

<file path=xl/sharedStrings.xml><?xml version="1.0" encoding="utf-8"?>
<sst xmlns="http://schemas.openxmlformats.org/spreadsheetml/2006/main" count="125" uniqueCount="121">
  <si>
    <t>Milestones &amp; Expectations</t>
  </si>
  <si>
    <t>Tot revenue</t>
  </si>
  <si>
    <t xml:space="preserve">Revenue </t>
  </si>
  <si>
    <t>COGS</t>
  </si>
  <si>
    <t>Gross Profit</t>
  </si>
  <si>
    <t>Operating Expenses</t>
  </si>
  <si>
    <t>Operating Income</t>
  </si>
  <si>
    <t>Pretax Income</t>
  </si>
  <si>
    <t>Net Income</t>
  </si>
  <si>
    <t>margin</t>
  </si>
  <si>
    <t>EPS</t>
  </si>
  <si>
    <t>cash M</t>
  </si>
  <si>
    <t>debt M</t>
  </si>
  <si>
    <t>cash ROIC</t>
  </si>
  <si>
    <t>disc rate</t>
  </si>
  <si>
    <t>Q3'23</t>
  </si>
  <si>
    <t>Other</t>
  </si>
  <si>
    <t>R&amp;D exp</t>
  </si>
  <si>
    <t>Other Income (exp)</t>
  </si>
  <si>
    <t>Cash eq &amp; short term</t>
  </si>
  <si>
    <t>Acc receivable</t>
  </si>
  <si>
    <t>Inventory</t>
  </si>
  <si>
    <t>Tot current assets</t>
  </si>
  <si>
    <t>debt</t>
  </si>
  <si>
    <t>NPV (M)</t>
  </si>
  <si>
    <t>2023 est (Q4 x 4)</t>
  </si>
  <si>
    <t>latest Quarter</t>
  </si>
  <si>
    <t>* EU... approv JOENJA</t>
  </si>
  <si>
    <t>* Q3'26 RUCONEST: US patent expiry</t>
  </si>
  <si>
    <t>Pharming Group NV disclosed pricing for the newly branded Joenja (leniolisib) of $750 per tablet, or $547,500 per year.</t>
  </si>
  <si>
    <t>* NTLA-2002 cure incoming</t>
  </si>
  <si>
    <t>JOENJA patients</t>
  </si>
  <si>
    <t xml:space="preserve">yearly price (in thousand) </t>
  </si>
  <si>
    <t>(used 500K for prev yr scripts &amp; 250K new scipts estimate)</t>
  </si>
  <si>
    <t>Revenues</t>
  </si>
  <si>
    <t>RUCONEST (for HAE)</t>
  </si>
  <si>
    <t>JOENJA (leniolisib) for APDS</t>
  </si>
  <si>
    <t>Undefined</t>
  </si>
  <si>
    <t>SG&amp;A exp</t>
  </si>
  <si>
    <t>other op. exp</t>
  </si>
  <si>
    <t>Non Op Interest Income (loss)</t>
  </si>
  <si>
    <t>Taxes (benefit)</t>
  </si>
  <si>
    <t>shares (float)</t>
  </si>
  <si>
    <t>Shares (Float in M)</t>
  </si>
  <si>
    <t>up/downside</t>
  </si>
  <si>
    <t>Implied Share Price</t>
  </si>
  <si>
    <t>Milestones / Exp</t>
  </si>
  <si>
    <t>RUCONEST</t>
  </si>
  <si>
    <t>RUCONEST® biologics license agreement Newbridge Pharmaceuticals distribution of RUCONEST® in (MENA)</t>
  </si>
  <si>
    <t>12 years of exclusivity to Ruconest® USA expiring July 16, 2026</t>
  </si>
  <si>
    <t>RUCONEST® is manufactured by Pharming Group NV in the Netherlands. Salix has licensed exclusive rights from Pharming to commercialize RUCONEST® in North America and market RUCONEST® for the treatment of acute HAE attack symptoms.</t>
  </si>
  <si>
    <t>Salix currently plans on making RUCONEST® accessible to patients later in 2014</t>
  </si>
  <si>
    <t>JOENJA (Leniolisib)</t>
  </si>
  <si>
    <t>Q3'23 US lunch JOENJA</t>
  </si>
  <si>
    <t>Leniolisib inhibits PI3K-delta by blocking the active binding site of PI3K-delta. In cell-free isolated enzyme assays, leniolisib was selective for PI3K-delta over PI3K-alpha (28-fold), PI3K-beta (43-fold), and PI3K-gamma (257-fold), as well as the broader kinome. In cell-based assays, leniolisib reduced pAKT pathway activity and inhibited proliferation and activation of B and T cell subsets. Gain-of-function variants in the gene encoding the p110-delta catalytic subunit or loss of function variants in the gene encoding the p85-alpha regulatory subunit each cause hyperactivity of PI3K-delta. Leniolisib inhibits the signalling pathways that lead to increased production of PIP3, hyperactivity of the downstream mTOR/AKT pathway, and to the dysregulation of B and T cells.</t>
  </si>
  <si>
    <t>first and only FDA-approved treatment for APDS Targeted treatment of APDS in patients aged 12 years (&gt;45kg) and older PI3Kδ</t>
  </si>
  <si>
    <t xml:space="preserve">Children of a parent who carries a PIK3CD mutation have a 50% chance of inheriting the mutation. In a family, each child's risk of inheriting the mutated PIK3CD gene is independent of whether or not other siblings have the mutation. For example, if the first three children in a family have the mutation, the next child has the same 50% risk of inheriting the mutation. Children who do not inherit the abnormal gene will not develop PASLI disease or pass on the mutation. </t>
  </si>
  <si>
    <t>The navigateAPDS program offers sponsored, no-charge genetic testing for all immediate family members previously diagnosed with APDS</t>
  </si>
  <si>
    <t>The estimated number of patients worldwide with Activated PI3K delta syndrome (APDS) disorder is 1-2 per million, according to data from 2013. This translates to roughly 400-600 individuals in the US population alone, based on early estimates.</t>
  </si>
  <si>
    <t>APDS is a recently identified disorder, first fully described in 2013. As awareness and diagnostic tools improve, more cases are likely to be identified.</t>
  </si>
  <si>
    <t>Genetic testing is becoming more accessible, which could lead to the diagnosis of previously missed cases.</t>
  </si>
  <si>
    <t>The early estimates lacked a unique ICD-10-CM diagnosis code, making accurate tracking more challenging.</t>
  </si>
  <si>
    <t>Therefore, the true number of patients with APDS worldwide could be higher than current estimates.</t>
  </si>
  <si>
    <t>Global best est.: 1-2 / M</t>
  </si>
  <si>
    <t>~8K to ~16K globally</t>
  </si>
  <si>
    <t>Commercial regions</t>
  </si>
  <si>
    <t>Pop (M)</t>
  </si>
  <si>
    <t>est. 1/M</t>
  </si>
  <si>
    <t>est. 2/M</t>
  </si>
  <si>
    <t>Current paid (2023)</t>
  </si>
  <si>
    <t>Identified current</t>
  </si>
  <si>
    <t>x</t>
  </si>
  <si>
    <r>
      <t xml:space="preserve">FDA APPROVED </t>
    </r>
    <r>
      <rPr>
        <u/>
        <sz val="10"/>
        <color rgb="FF1155CC"/>
        <rFont val="Arial"/>
        <family val="2"/>
      </rPr>
      <t>https://classic.clinicaltrials.gov/ct2/show/NCT05693129?cond=CDZ173&amp;draw=2&amp;rank=6</t>
    </r>
  </si>
  <si>
    <t>USA</t>
  </si>
  <si>
    <t>approved</t>
  </si>
  <si>
    <t>List of PI3K inhibitors</t>
  </si>
  <si>
    <t>requested</t>
  </si>
  <si>
    <t>EEA</t>
  </si>
  <si>
    <t>Filter by</t>
  </si>
  <si>
    <t>UK</t>
  </si>
  <si>
    <t>Drug Name</t>
  </si>
  <si>
    <t>Avg. Rating</t>
  </si>
  <si>
    <t>Reviews</t>
  </si>
  <si>
    <t>pharming is funding free genetic APDS testing in Canada</t>
  </si>
  <si>
    <t>CAN</t>
  </si>
  <si>
    <r>
      <rPr>
        <sz val="9"/>
        <color rgb="FF000000"/>
        <rFont val="Arial"/>
        <family val="2"/>
      </rPr>
      <t>Zydelig</t>
    </r>
    <r>
      <rPr>
        <sz val="9"/>
        <rFont val="Arial"/>
        <family val="2"/>
      </rPr>
      <t xml:space="preserve"> (</t>
    </r>
    <r>
      <rPr>
        <sz val="9"/>
        <color rgb="FF000000"/>
        <rFont val="Arial"/>
        <family val="2"/>
      </rPr>
      <t>Pro</t>
    </r>
    <r>
      <rPr>
        <sz val="9"/>
        <rFont val="Arial"/>
        <family val="2"/>
      </rPr>
      <t xml:space="preserve">)
Generic name: </t>
    </r>
    <r>
      <rPr>
        <sz val="9"/>
        <color rgb="FF000000"/>
        <rFont val="Arial"/>
        <family val="2"/>
      </rPr>
      <t>idelalisib</t>
    </r>
  </si>
  <si>
    <t>4.5</t>
  </si>
  <si>
    <t>2 reviews</t>
  </si>
  <si>
    <t>Cumulative sales revenue by 2021 was $842 million</t>
  </si>
  <si>
    <t>AUS</t>
  </si>
  <si>
    <r>
      <rPr>
        <sz val="9"/>
        <color rgb="FF000000"/>
        <rFont val="Arial"/>
        <family val="2"/>
      </rPr>
      <t>Piqray</t>
    </r>
    <r>
      <rPr>
        <sz val="9"/>
        <rFont val="Arial"/>
        <family val="2"/>
      </rPr>
      <t xml:space="preserve"> (</t>
    </r>
    <r>
      <rPr>
        <sz val="9"/>
        <color rgb="FF000000"/>
        <rFont val="Arial"/>
        <family val="2"/>
      </rPr>
      <t>Pro</t>
    </r>
    <r>
      <rPr>
        <sz val="9"/>
        <rFont val="Arial"/>
        <family val="2"/>
      </rPr>
      <t xml:space="preserve">)
Generic name: </t>
    </r>
    <r>
      <rPr>
        <sz val="9"/>
        <color rgb="FF000000"/>
        <rFont val="Arial"/>
        <family val="2"/>
      </rPr>
      <t>alpelisib</t>
    </r>
  </si>
  <si>
    <t>5.0</t>
  </si>
  <si>
    <t>Piqray brought in sales of $79 million in the second quarter of this year, up from $74 million in the previous quarter</t>
  </si>
  <si>
    <t>ISR</t>
  </si>
  <si>
    <r>
      <rPr>
        <sz val="9"/>
        <color rgb="FF000000"/>
        <rFont val="Arial"/>
        <family val="2"/>
      </rPr>
      <t>Vijoice</t>
    </r>
    <r>
      <rPr>
        <sz val="9"/>
        <rFont val="Arial"/>
        <family val="2"/>
      </rPr>
      <t xml:space="preserve"> (</t>
    </r>
    <r>
      <rPr>
        <sz val="9"/>
        <color rgb="FF000000"/>
        <rFont val="Arial"/>
        <family val="2"/>
      </rPr>
      <t>Pro</t>
    </r>
    <r>
      <rPr>
        <sz val="9"/>
        <rFont val="Arial"/>
        <family val="2"/>
      </rPr>
      <t xml:space="preserve">)
Generic name: </t>
    </r>
    <r>
      <rPr>
        <sz val="9"/>
        <color rgb="FF000000"/>
        <rFont val="Arial"/>
        <family val="2"/>
      </rPr>
      <t>alpelisib</t>
    </r>
  </si>
  <si>
    <t>No reviews</t>
  </si>
  <si>
    <t>(USD 131 million, +18% cc) sales grew mainly in the US</t>
  </si>
  <si>
    <t>https://classic.clinicaltrials.gov/ct2/show/NCT06249997?cond=CDZ173&amp;draw=2&amp;rank=4</t>
  </si>
  <si>
    <t>JAPAN</t>
  </si>
  <si>
    <t>Joenja (Pro)
Generic name: leniolisib</t>
  </si>
  <si>
    <r>
      <rPr>
        <sz val="9"/>
        <color rgb="FF000000"/>
        <rFont val="Arial"/>
        <family val="2"/>
      </rPr>
      <t>Copiktra</t>
    </r>
    <r>
      <rPr>
        <sz val="9"/>
        <rFont val="Arial"/>
        <family val="2"/>
      </rPr>
      <t xml:space="preserve"> (</t>
    </r>
    <r>
      <rPr>
        <sz val="9"/>
        <color rgb="FF000000"/>
        <rFont val="Arial"/>
        <family val="2"/>
      </rPr>
      <t>Pro</t>
    </r>
    <r>
      <rPr>
        <sz val="9"/>
        <rFont val="Arial"/>
        <family val="2"/>
      </rPr>
      <t xml:space="preserve">)
Generic name: </t>
    </r>
    <r>
      <rPr>
        <sz val="9"/>
        <color rgb="FF000000"/>
        <rFont val="Arial"/>
        <family val="2"/>
      </rPr>
      <t>duvelisib</t>
    </r>
  </si>
  <si>
    <t>Total</t>
  </si>
  <si>
    <r>
      <rPr>
        <sz val="9"/>
        <color rgb="FF000000"/>
        <rFont val="Arial"/>
        <family val="2"/>
      </rPr>
      <t>Aliqopa</t>
    </r>
    <r>
      <rPr>
        <sz val="9"/>
        <rFont val="Arial"/>
        <family val="2"/>
      </rPr>
      <t xml:space="preserve"> (</t>
    </r>
    <r>
      <rPr>
        <sz val="9"/>
        <color rgb="FF000000"/>
        <rFont val="Arial"/>
        <family val="2"/>
      </rPr>
      <t>Pro</t>
    </r>
    <r>
      <rPr>
        <sz val="9"/>
        <rFont val="Arial"/>
        <family val="2"/>
      </rPr>
      <t xml:space="preserve">)
Generic name: </t>
    </r>
    <r>
      <rPr>
        <sz val="9"/>
        <color rgb="FF000000"/>
        <rFont val="Arial"/>
        <family val="2"/>
      </rPr>
      <t>copanlisib</t>
    </r>
  </si>
  <si>
    <t>No review</t>
  </si>
  <si>
    <t>2023 Expect Joenja® revenues of approximately US$18 million with 81 patients on paid therapy at year end</t>
  </si>
  <si>
    <t>&gt;&gt; 0.22M / patient / Yr. Target (US) 550K $/Y</t>
  </si>
  <si>
    <t>92 APDS patients enrolled in the U.S., of which 81 patients are on paid therapy</t>
  </si>
  <si>
    <t>December 31, 2023, Pharming has identified over 840 diagnosed APDS patients in global markets targeted for commercialization, including over 200 patients in the United States.</t>
  </si>
  <si>
    <t>We seek to significantly expand the leniolisib market opportunity by pursuing development of leniolisib for additional primary immunodeficiencies (PIDs) beyond APDS, including a signaling planned to start in 2Q 2024.”</t>
  </si>
  <si>
    <t>Phase 2 proof of concept clinical trial protocol in PIDs with immune dysregulation linked to PI3Kẟ</t>
  </si>
  <si>
    <t>Patients with clinical symptoms compatible with APDS frequently receive inconclusive genetic variant test results, i.e. previously unseen variants in the PIK3CD or PIK3R1 genes. It is important to determine if these</t>
  </si>
  <si>
    <t>Variants of Uncertain Significance (VUS) cause APDS. Pharming has several ongoing initiatives and partnerships to resolve VUSs. We anticipate that these efforts</t>
  </si>
  <si>
    <t>will expand the list of genetic variants that are considered APDS disease causing and lead to more patients being diagnosed with APDS</t>
  </si>
  <si>
    <t>Early Pipeline (Leniolisib expansion)</t>
  </si>
  <si>
    <t xml:space="preserve">Leniolisib (JOENJA) </t>
  </si>
  <si>
    <t>CTLA4</t>
  </si>
  <si>
    <t>CTLA4 deficiency is characterized by infiltration of immune cells into the gut, lungs, bone marrow, central nervous system, kidneys, and possibly other organs. Most people with CTLA4 deficiency experience diarrhea or intestinal disease. Enlarged lymph nodes, liver, and spleen also are common, as are respiratory infections.</t>
  </si>
  <si>
    <t>ALPS-FAS</t>
  </si>
  <si>
    <t>Autoimmune lymphoproliferative syndrome (ALPS) is a form of lymphoproliferative disorder (LPDs). It affects lymphocyte apoptosis.</t>
  </si>
  <si>
    <t>PTEN</t>
  </si>
  <si>
    <t>Introduction PTEN hamartoma tumor syndrome (PHTS) refers to a spectrum of disorders that have been linked to germline mutations in the PTEN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</si>
</sst>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
    <numFmt numFmtId="167" formatCode="0.00000%"/>
    <numFmt numFmtId="168" formatCode="#,##0.000;\(#,##0.000\)"/>
  </numFmts>
  <fonts count="21">
    <font>
      <sz val="10"/>
      <color rgb="FF000000"/>
      <name val="Arial"/>
      <scheme val="minor"/>
    </font>
    <font>
      <sz val="10"/>
      <color theme="1"/>
      <name val="Arial"/>
      <family val="2"/>
      <scheme val="minor"/>
    </font>
    <font>
      <b/>
      <sz val="10"/>
      <color theme="1"/>
      <name val="Arial"/>
      <family val="2"/>
      <scheme val="minor"/>
    </font>
    <font>
      <b/>
      <sz val="10"/>
      <color rgb="FF000000"/>
      <name val="Arial"/>
      <family val="2"/>
    </font>
    <font>
      <sz val="10"/>
      <color rgb="FF000000"/>
      <name val="Arial"/>
      <family val="2"/>
    </font>
    <font>
      <b/>
      <sz val="13"/>
      <color rgb="FF000000"/>
      <name val="Arial"/>
      <family val="2"/>
    </font>
    <font>
      <sz val="13"/>
      <color theme="1"/>
      <name val="Arial"/>
      <family val="2"/>
      <scheme val="minor"/>
    </font>
    <font>
      <b/>
      <sz val="13"/>
      <color theme="1"/>
      <name val="Arial"/>
      <family val="2"/>
      <scheme val="minor"/>
    </font>
    <font>
      <sz val="12"/>
      <color theme="1"/>
      <name val="Arial"/>
      <family val="2"/>
      <scheme val="minor"/>
    </font>
    <font>
      <sz val="8"/>
      <color theme="1"/>
      <name val="Arial"/>
      <family val="2"/>
      <scheme val="minor"/>
    </font>
    <font>
      <u/>
      <sz val="10"/>
      <color rgb="FF0000FF"/>
      <name val="Arial"/>
      <family val="2"/>
    </font>
    <font>
      <sz val="10"/>
      <color theme="1"/>
      <name val="Arial"/>
      <family val="2"/>
      <scheme val="minor"/>
    </font>
    <font>
      <sz val="9"/>
      <color theme="1"/>
      <name val="Arial"/>
      <family val="2"/>
      <scheme val="minor"/>
    </font>
    <font>
      <u/>
      <sz val="9"/>
      <color rgb="FF0000FF"/>
      <name val="Arial"/>
      <family val="2"/>
    </font>
    <font>
      <u/>
      <sz val="9"/>
      <color rgb="FF0000FF"/>
      <name val="Arial"/>
      <family val="2"/>
    </font>
    <font>
      <u/>
      <sz val="9"/>
      <color rgb="FF0000FF"/>
      <name val="Arial"/>
      <family val="2"/>
    </font>
    <font>
      <u/>
      <sz val="10"/>
      <color rgb="FF0000FF"/>
      <name val="Arial"/>
      <family val="2"/>
    </font>
    <font>
      <sz val="10"/>
      <color rgb="FF000000"/>
      <name val="&quot;Arial&quot;"/>
    </font>
    <font>
      <u/>
      <sz val="10"/>
      <color rgb="FF1155CC"/>
      <name val="Arial"/>
      <family val="2"/>
    </font>
    <font>
      <sz val="9"/>
      <color rgb="FF000000"/>
      <name val="Arial"/>
      <family val="2"/>
    </font>
    <font>
      <sz val="9"/>
      <name val="Arial"/>
      <family val="2"/>
    </font>
  </fonts>
  <fills count="6">
    <fill>
      <patternFill patternType="none"/>
    </fill>
    <fill>
      <patternFill patternType="gray125"/>
    </fill>
    <fill>
      <patternFill patternType="solid">
        <fgColor rgb="FFCCCCCC"/>
        <bgColor rgb="FFCCCCCC"/>
      </patternFill>
    </fill>
    <fill>
      <patternFill patternType="solid">
        <fgColor rgb="FFD9D9D9"/>
        <bgColor rgb="FFD9D9D9"/>
      </patternFill>
    </fill>
    <fill>
      <patternFill patternType="solid">
        <fgColor rgb="FF00FF00"/>
        <bgColor rgb="FF00FF00"/>
      </patternFill>
    </fill>
    <fill>
      <patternFill patternType="solid">
        <fgColor rgb="FF93C47D"/>
        <bgColor rgb="FF93C47D"/>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164" fontId="1" fillId="0" borderId="0" xfId="0" applyNumberFormat="1" applyFont="1"/>
    <xf numFmtId="165" fontId="1" fillId="0" borderId="0" xfId="0" applyNumberFormat="1" applyFont="1"/>
    <xf numFmtId="10" fontId="1" fillId="0" borderId="0" xfId="0" applyNumberFormat="1" applyFont="1"/>
    <xf numFmtId="0" fontId="4" fillId="0" borderId="0" xfId="0" applyFont="1"/>
    <xf numFmtId="9" fontId="1" fillId="0" borderId="0" xfId="0" applyNumberFormat="1" applyFont="1"/>
    <xf numFmtId="0" fontId="1" fillId="3" borderId="0" xfId="0" applyFont="1" applyFill="1"/>
    <xf numFmtId="167" fontId="1" fillId="0" borderId="0" xfId="0" applyNumberFormat="1" applyFont="1"/>
    <xf numFmtId="0" fontId="5" fillId="0" borderId="0" xfId="0" applyFont="1"/>
    <xf numFmtId="164" fontId="6" fillId="0" borderId="0" xfId="0" applyNumberFormat="1" applyFont="1"/>
    <xf numFmtId="0" fontId="6" fillId="0" borderId="0" xfId="0" applyFont="1"/>
    <xf numFmtId="0" fontId="7" fillId="0" borderId="0" xfId="0" applyFont="1"/>
    <xf numFmtId="9" fontId="6" fillId="0" borderId="0" xfId="0" applyNumberFormat="1" applyFont="1"/>
    <xf numFmtId="0" fontId="2" fillId="0" borderId="0" xfId="0" applyFont="1" applyAlignment="1">
      <alignment horizontal="center"/>
    </xf>
    <xf numFmtId="1" fontId="1" fillId="0" borderId="0" xfId="0" applyNumberFormat="1" applyFont="1"/>
    <xf numFmtId="164" fontId="1" fillId="0" borderId="0" xfId="0" applyNumberFormat="1" applyFont="1" applyAlignment="1">
      <alignment horizontal="center"/>
    </xf>
    <xf numFmtId="168" fontId="1" fillId="0" borderId="0" xfId="0" applyNumberFormat="1" applyFont="1"/>
    <xf numFmtId="164" fontId="8" fillId="0" borderId="0" xfId="0" applyNumberFormat="1" applyFont="1"/>
    <xf numFmtId="2" fontId="6" fillId="0" borderId="0" xfId="0" applyNumberFormat="1" applyFont="1"/>
    <xf numFmtId="0" fontId="1" fillId="0" borderId="0" xfId="0" applyFont="1" applyAlignment="1">
      <alignment wrapText="1"/>
    </xf>
    <xf numFmtId="0" fontId="2" fillId="0" borderId="0" xfId="0" applyFont="1" applyAlignment="1">
      <alignment horizontal="center" wrapText="1"/>
    </xf>
    <xf numFmtId="0" fontId="9" fillId="0" borderId="0" xfId="0" applyFont="1"/>
    <xf numFmtId="0" fontId="10" fillId="0" borderId="0" xfId="0" applyFont="1" applyAlignment="1">
      <alignment wrapText="1"/>
    </xf>
    <xf numFmtId="0" fontId="1" fillId="4" borderId="0" xfId="0" applyFont="1" applyFill="1" applyAlignment="1">
      <alignment horizontal="center"/>
    </xf>
    <xf numFmtId="0" fontId="1" fillId="4" borderId="0" xfId="0" applyFont="1" applyFill="1"/>
    <xf numFmtId="1" fontId="1" fillId="0" borderId="0" xfId="0" applyNumberFormat="1" applyFont="1" applyAlignment="1">
      <alignment horizontal="center"/>
    </xf>
    <xf numFmtId="2" fontId="1" fillId="0" borderId="0" xfId="0" applyNumberFormat="1" applyFont="1"/>
    <xf numFmtId="3" fontId="1" fillId="0" borderId="0" xfId="0" applyNumberFormat="1" applyFont="1" applyAlignment="1">
      <alignment horizontal="center"/>
    </xf>
    <xf numFmtId="0" fontId="11" fillId="0" borderId="0" xfId="0" applyFont="1"/>
    <xf numFmtId="0" fontId="1" fillId="5" borderId="0" xfId="0" applyFont="1" applyFill="1" applyAlignment="1">
      <alignment horizontal="center"/>
    </xf>
    <xf numFmtId="0" fontId="12" fillId="0" borderId="0" xfId="0" applyFont="1"/>
    <xf numFmtId="0" fontId="13" fillId="0" borderId="0" xfId="0" applyFont="1" applyAlignment="1">
      <alignment horizontal="center"/>
    </xf>
    <xf numFmtId="0" fontId="14" fillId="0" borderId="0" xfId="0" applyFont="1"/>
    <xf numFmtId="0" fontId="15" fillId="0" borderId="0" xfId="0" applyFont="1"/>
    <xf numFmtId="0" fontId="16" fillId="0" borderId="0" xfId="0" applyFont="1"/>
    <xf numFmtId="0" fontId="1" fillId="3" borderId="0" xfId="0" applyFont="1" applyFill="1" applyAlignment="1">
      <alignment horizontal="center"/>
    </xf>
    <xf numFmtId="0" fontId="1" fillId="2" borderId="0" xfId="0" applyFont="1" applyFill="1" applyAlignment="1">
      <alignment horizontal="center"/>
    </xf>
    <xf numFmtId="0" fontId="1" fillId="0" borderId="0" xfId="0" applyFont="1" applyAlignment="1">
      <alignment horizontal="center"/>
    </xf>
    <xf numFmtId="0" fontId="17" fillId="0" borderId="0" xfId="0" applyFont="1"/>
    <xf numFmtId="0" fontId="1" fillId="5" borderId="0" xfId="0" applyFont="1" applyFill="1" applyAlignment="1">
      <alignment horizontal="center" vertical="center"/>
    </xf>
    <xf numFmtId="0" fontId="0" fillId="0" borderId="0" xfId="0"/>
    <xf numFmtId="1"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rugs.com/comments/alpelisib/piqray.html" TargetMode="External"/><Relationship Id="rId13" Type="http://schemas.openxmlformats.org/officeDocument/2006/relationships/hyperlink" Target="https://www.drugs.com/aliqopa.html" TargetMode="External"/><Relationship Id="rId3" Type="http://schemas.openxmlformats.org/officeDocument/2006/relationships/hyperlink" Target="https://www.drugs.com/drug-class/pi3k-inhibitors.html?condition_id=0&amp;generic=0&amp;sort=rating&amp;order=desc" TargetMode="External"/><Relationship Id="rId7" Type="http://schemas.openxmlformats.org/officeDocument/2006/relationships/hyperlink" Target="https://www.drugs.com/piqray.html" TargetMode="External"/><Relationship Id="rId12" Type="http://schemas.openxmlformats.org/officeDocument/2006/relationships/hyperlink" Target="https://www.drugs.com/copiktra.html" TargetMode="External"/><Relationship Id="rId2" Type="http://schemas.openxmlformats.org/officeDocument/2006/relationships/hyperlink" Target="https://www.drugs.com/drug-class/pi3k-inhibitors.html?condition_id=0&amp;generic=0&amp;sort=drug&amp;order=asc" TargetMode="External"/><Relationship Id="rId1" Type="http://schemas.openxmlformats.org/officeDocument/2006/relationships/hyperlink" Target="https://classic.clinicaltrials.gov/ct2/show/NCT05693129?cond=CDZ173&amp;draw=2&amp;rank=6" TargetMode="External"/><Relationship Id="rId6" Type="http://schemas.openxmlformats.org/officeDocument/2006/relationships/hyperlink" Target="https://www.drugs.com/comments/idelalisib/zydelig.html" TargetMode="External"/><Relationship Id="rId11" Type="http://schemas.openxmlformats.org/officeDocument/2006/relationships/hyperlink" Target="https://www.drugs.com/joenja.html" TargetMode="External"/><Relationship Id="rId5" Type="http://schemas.openxmlformats.org/officeDocument/2006/relationships/hyperlink" Target="https://www.drugs.com/zydelig.html" TargetMode="External"/><Relationship Id="rId10" Type="http://schemas.openxmlformats.org/officeDocument/2006/relationships/hyperlink" Target="https://classic.clinicaltrials.gov/ct2/show/NCT06249997?cond=CDZ173&amp;draw=2&amp;rank=4" TargetMode="External"/><Relationship Id="rId4" Type="http://schemas.openxmlformats.org/officeDocument/2006/relationships/hyperlink" Target="https://www.drugs.com/drug-class/pi3k-inhibitors.html?condition_id=0&amp;generic=0&amp;sort=reviews&amp;order=asc" TargetMode="External"/><Relationship Id="rId9" Type="http://schemas.openxmlformats.org/officeDocument/2006/relationships/hyperlink" Target="https://www.drugs.com/vijoice.html" TargetMode="External"/><Relationship Id="rId14" Type="http://schemas.openxmlformats.org/officeDocument/2006/relationships/hyperlink" Target="https://en.wikipedia.org/wiki/Lymphoproliferative_disor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3"/>
  <sheetViews>
    <sheetView tabSelected="1" workbookViewId="0">
      <pane ySplit="1" topLeftCell="A2" activePane="bottomLeft" state="frozen"/>
      <selection pane="bottomLeft" activeCell="E106" sqref="E106"/>
    </sheetView>
  </sheetViews>
  <sheetFormatPr defaultColWidth="12.5703125" defaultRowHeight="15.75" customHeight="1"/>
  <cols>
    <col min="1" max="1" width="25.5703125" customWidth="1"/>
    <col min="6" max="6" width="8.42578125" customWidth="1"/>
    <col min="7" max="7" width="10.85546875" customWidth="1"/>
    <col min="8" max="8" width="10.42578125" customWidth="1"/>
    <col min="9" max="16" width="9.42578125" customWidth="1"/>
  </cols>
  <sheetData>
    <row r="1" spans="1:26" ht="12.75">
      <c r="A1" s="2"/>
      <c r="B1" s="2">
        <v>2020</v>
      </c>
      <c r="C1" s="2">
        <v>2021</v>
      </c>
      <c r="D1" s="2">
        <v>2022</v>
      </c>
      <c r="E1" s="2" t="s">
        <v>25</v>
      </c>
      <c r="F1" s="2"/>
      <c r="G1" s="2" t="s">
        <v>26</v>
      </c>
      <c r="H1" s="2"/>
      <c r="I1" s="16">
        <v>2023</v>
      </c>
      <c r="J1" s="16">
        <v>2024</v>
      </c>
      <c r="K1" s="16">
        <v>2025</v>
      </c>
      <c r="L1" s="16">
        <v>2026</v>
      </c>
      <c r="M1" s="16">
        <v>2027</v>
      </c>
      <c r="N1" s="16">
        <v>2028</v>
      </c>
      <c r="O1" s="16">
        <v>2029</v>
      </c>
      <c r="P1" s="16">
        <v>2030</v>
      </c>
      <c r="Q1" s="16">
        <v>2031</v>
      </c>
      <c r="R1" s="16">
        <v>2032</v>
      </c>
      <c r="S1" s="16">
        <v>2034</v>
      </c>
      <c r="T1" s="2"/>
      <c r="U1" s="2"/>
      <c r="V1" s="2"/>
      <c r="W1" s="2"/>
      <c r="X1" s="2"/>
      <c r="Y1" s="2"/>
      <c r="Z1" s="2"/>
    </row>
    <row r="2" spans="1:26" ht="12.75">
      <c r="A2" s="2" t="s">
        <v>0</v>
      </c>
      <c r="G2" s="1" t="s">
        <v>15</v>
      </c>
      <c r="J2" s="1" t="s">
        <v>27</v>
      </c>
      <c r="L2" s="1" t="s">
        <v>28</v>
      </c>
    </row>
    <row r="3" spans="1:26" ht="12.75">
      <c r="A3" s="1" t="s">
        <v>29</v>
      </c>
      <c r="L3" s="1" t="s">
        <v>30</v>
      </c>
    </row>
    <row r="4" spans="1:26" ht="12.75">
      <c r="A4" s="2" t="s">
        <v>31</v>
      </c>
      <c r="B4" s="1">
        <v>0</v>
      </c>
      <c r="C4" s="1">
        <v>0</v>
      </c>
      <c r="D4" s="1">
        <v>0</v>
      </c>
      <c r="E4" s="1">
        <v>80</v>
      </c>
      <c r="I4" s="1">
        <v>80</v>
      </c>
      <c r="J4" s="1">
        <f t="shared" ref="J4:M4" si="0">I4*2</f>
        <v>160</v>
      </c>
      <c r="K4" s="1">
        <f t="shared" si="0"/>
        <v>320</v>
      </c>
      <c r="L4" s="1">
        <f t="shared" si="0"/>
        <v>640</v>
      </c>
      <c r="M4" s="1">
        <f t="shared" si="0"/>
        <v>1280</v>
      </c>
      <c r="N4" s="17">
        <f t="shared" ref="N4:O4" si="1">M4*1.05</f>
        <v>1344</v>
      </c>
      <c r="O4" s="17">
        <f t="shared" si="1"/>
        <v>1411.2</v>
      </c>
      <c r="P4" s="17">
        <f t="shared" ref="P4:S4" si="2">O4*1.01</f>
        <v>1425.3120000000001</v>
      </c>
      <c r="Q4" s="17">
        <f t="shared" si="2"/>
        <v>1439.5651200000002</v>
      </c>
      <c r="R4" s="17">
        <f t="shared" si="2"/>
        <v>1453.9607712000002</v>
      </c>
      <c r="S4" s="17">
        <f t="shared" si="2"/>
        <v>1468.5003789120001</v>
      </c>
    </row>
    <row r="5" spans="1:26" ht="12.75">
      <c r="A5" s="2" t="s">
        <v>32</v>
      </c>
      <c r="B5" s="1" t="s">
        <v>33</v>
      </c>
      <c r="I5" s="4"/>
      <c r="J5" s="4"/>
      <c r="K5" s="4"/>
      <c r="L5" s="4"/>
      <c r="M5" s="4"/>
      <c r="N5" s="4"/>
      <c r="O5" s="4"/>
      <c r="P5" s="4"/>
      <c r="Q5" s="4"/>
      <c r="R5" s="4"/>
      <c r="S5" s="4"/>
    </row>
    <row r="7" spans="1:26" ht="12.75">
      <c r="A7" s="2" t="s">
        <v>34</v>
      </c>
      <c r="C7" s="8">
        <f t="shared" ref="C7:E7" si="3">C8/B8 - 1</f>
        <v>-1.8746916625555055E-2</v>
      </c>
      <c r="D7" s="8">
        <f t="shared" si="3"/>
        <v>3.3795877325289103E-2</v>
      </c>
      <c r="E7" s="8">
        <f t="shared" si="3"/>
        <v>0.16719028119559187</v>
      </c>
    </row>
    <row r="8" spans="1:26" ht="12.75">
      <c r="A8" s="3" t="s">
        <v>35</v>
      </c>
      <c r="B8" s="4">
        <v>202700</v>
      </c>
      <c r="C8" s="4">
        <v>198900</v>
      </c>
      <c r="D8" s="4">
        <v>205622</v>
      </c>
      <c r="E8" s="4">
        <f t="shared" ref="E8:E9" si="4">G8*4</f>
        <v>240000</v>
      </c>
      <c r="G8" s="4">
        <v>60000</v>
      </c>
      <c r="I8" s="18">
        <v>240000</v>
      </c>
      <c r="J8" s="4">
        <f t="shared" ref="J8:L8" si="5">I8*1.07</f>
        <v>256800.00000000003</v>
      </c>
      <c r="K8" s="4">
        <f t="shared" si="5"/>
        <v>274776.00000000006</v>
      </c>
      <c r="L8" s="4">
        <f t="shared" si="5"/>
        <v>294010.32000000007</v>
      </c>
      <c r="M8" s="4">
        <f t="shared" ref="M8:S8" si="6">L8*0.5</f>
        <v>147005.16000000003</v>
      </c>
      <c r="N8" s="4">
        <f t="shared" si="6"/>
        <v>73502.580000000016</v>
      </c>
      <c r="O8" s="4">
        <f t="shared" si="6"/>
        <v>36751.290000000008</v>
      </c>
      <c r="P8" s="4">
        <f t="shared" si="6"/>
        <v>18375.645000000004</v>
      </c>
      <c r="Q8" s="4">
        <f t="shared" si="6"/>
        <v>9187.822500000002</v>
      </c>
      <c r="R8" s="4">
        <f t="shared" si="6"/>
        <v>4593.911250000001</v>
      </c>
      <c r="S8" s="4">
        <f t="shared" si="6"/>
        <v>2296.9556250000005</v>
      </c>
    </row>
    <row r="9" spans="1:26" ht="12.75">
      <c r="A9" s="3" t="s">
        <v>36</v>
      </c>
      <c r="B9" s="4">
        <v>0</v>
      </c>
      <c r="C9" s="4">
        <v>0</v>
      </c>
      <c r="D9" s="4">
        <v>0</v>
      </c>
      <c r="E9" s="4">
        <f t="shared" si="4"/>
        <v>26000</v>
      </c>
      <c r="G9" s="4">
        <v>6500</v>
      </c>
      <c r="I9" s="18">
        <v>18000</v>
      </c>
      <c r="J9" s="4">
        <f t="shared" ref="J9:S9" si="7">I4*500 + (J4-I4)*250</f>
        <v>60000</v>
      </c>
      <c r="K9" s="4">
        <f t="shared" si="7"/>
        <v>120000</v>
      </c>
      <c r="L9" s="4">
        <f t="shared" si="7"/>
        <v>240000</v>
      </c>
      <c r="M9" s="4">
        <f t="shared" si="7"/>
        <v>480000</v>
      </c>
      <c r="N9" s="4">
        <f t="shared" si="7"/>
        <v>656000</v>
      </c>
      <c r="O9" s="4">
        <f t="shared" si="7"/>
        <v>688800</v>
      </c>
      <c r="P9" s="4">
        <f t="shared" si="7"/>
        <v>709128</v>
      </c>
      <c r="Q9" s="4">
        <f t="shared" si="7"/>
        <v>716219.28000000014</v>
      </c>
      <c r="R9" s="4">
        <f t="shared" si="7"/>
        <v>723381.47280000011</v>
      </c>
      <c r="S9" s="4">
        <f t="shared" si="7"/>
        <v>730615.28752799996</v>
      </c>
    </row>
    <row r="10" spans="1:26" ht="12.75">
      <c r="A10" s="3" t="s">
        <v>37</v>
      </c>
      <c r="B10" s="4">
        <v>9500</v>
      </c>
      <c r="C10" s="4">
        <v>5500</v>
      </c>
      <c r="D10" s="4"/>
      <c r="G10" s="5"/>
    </row>
    <row r="11" spans="1:26" ht="12.75">
      <c r="A11" s="3"/>
      <c r="B11" s="4"/>
      <c r="C11" s="4"/>
      <c r="D11" s="4"/>
      <c r="G11" s="5"/>
    </row>
    <row r="12" spans="1:26" ht="12.75">
      <c r="A12" s="3" t="s">
        <v>1</v>
      </c>
      <c r="B12" s="4">
        <f t="shared" ref="B12:E12" si="8">SUM(B8:B11)</f>
        <v>212200</v>
      </c>
      <c r="C12" s="4">
        <f t="shared" si="8"/>
        <v>204400</v>
      </c>
      <c r="D12" s="4">
        <f t="shared" si="8"/>
        <v>205622</v>
      </c>
      <c r="E12" s="4">
        <f t="shared" si="8"/>
        <v>266000</v>
      </c>
      <c r="F12" s="4"/>
      <c r="G12" s="4">
        <f>SUM(G8:G11)</f>
        <v>66500</v>
      </c>
      <c r="I12" s="4">
        <f t="shared" ref="I12:S12" si="9">SUM(I8:I9)</f>
        <v>258000</v>
      </c>
      <c r="J12" s="4">
        <f t="shared" si="9"/>
        <v>316800</v>
      </c>
      <c r="K12" s="4">
        <f t="shared" si="9"/>
        <v>394776.00000000006</v>
      </c>
      <c r="L12" s="4">
        <f t="shared" si="9"/>
        <v>534010.32000000007</v>
      </c>
      <c r="M12" s="4">
        <f t="shared" si="9"/>
        <v>627005.16</v>
      </c>
      <c r="N12" s="4">
        <f t="shared" si="9"/>
        <v>729502.58000000007</v>
      </c>
      <c r="O12" s="4">
        <f t="shared" si="9"/>
        <v>725551.29</v>
      </c>
      <c r="P12" s="4">
        <f t="shared" si="9"/>
        <v>727503.64500000002</v>
      </c>
      <c r="Q12" s="4">
        <f t="shared" si="9"/>
        <v>725407.10250000015</v>
      </c>
      <c r="R12" s="4">
        <f t="shared" si="9"/>
        <v>727975.38405000011</v>
      </c>
      <c r="S12" s="4">
        <f t="shared" si="9"/>
        <v>732912.2431529999</v>
      </c>
    </row>
    <row r="13" spans="1:26" ht="12.75">
      <c r="A13" s="3"/>
      <c r="B13" s="6"/>
      <c r="C13" s="6">
        <f t="shared" ref="C13:E13" si="10">C12/B12 - 1</f>
        <v>-3.6757775683317617E-2</v>
      </c>
      <c r="D13" s="6">
        <f t="shared" si="10"/>
        <v>5.9784735812133949E-3</v>
      </c>
      <c r="E13" s="6">
        <f t="shared" si="10"/>
        <v>0.293635894991781</v>
      </c>
    </row>
    <row r="14" spans="1:26" ht="12.75">
      <c r="A14" s="3" t="s">
        <v>2</v>
      </c>
      <c r="B14" s="4">
        <f t="shared" ref="B14:E14" si="11">B12</f>
        <v>212200</v>
      </c>
      <c r="C14" s="4">
        <f t="shared" si="11"/>
        <v>204400</v>
      </c>
      <c r="D14" s="4">
        <f t="shared" si="11"/>
        <v>205622</v>
      </c>
      <c r="E14" s="4">
        <f t="shared" si="11"/>
        <v>266000</v>
      </c>
      <c r="G14" s="4">
        <f>G12</f>
        <v>66500</v>
      </c>
      <c r="I14" s="4">
        <f t="shared" ref="I14:S14" si="12">I12</f>
        <v>258000</v>
      </c>
      <c r="J14" s="4">
        <f t="shared" si="12"/>
        <v>316800</v>
      </c>
      <c r="K14" s="4">
        <f t="shared" si="12"/>
        <v>394776.00000000006</v>
      </c>
      <c r="L14" s="4">
        <f t="shared" si="12"/>
        <v>534010.32000000007</v>
      </c>
      <c r="M14" s="4">
        <f t="shared" si="12"/>
        <v>627005.16</v>
      </c>
      <c r="N14" s="4">
        <f t="shared" si="12"/>
        <v>729502.58000000007</v>
      </c>
      <c r="O14" s="4">
        <f t="shared" si="12"/>
        <v>725551.29</v>
      </c>
      <c r="P14" s="4">
        <f t="shared" si="12"/>
        <v>727503.64500000002</v>
      </c>
      <c r="Q14" s="4">
        <f t="shared" si="12"/>
        <v>725407.10250000015</v>
      </c>
      <c r="R14" s="4">
        <f t="shared" si="12"/>
        <v>727975.38405000011</v>
      </c>
      <c r="S14" s="4">
        <f t="shared" si="12"/>
        <v>732912.2431529999</v>
      </c>
    </row>
    <row r="15" spans="1:26" ht="12.75">
      <c r="A15" s="7" t="s">
        <v>3</v>
      </c>
      <c r="B15" s="4">
        <v>23600</v>
      </c>
      <c r="C15" s="4">
        <v>21200</v>
      </c>
      <c r="D15" s="4">
        <v>17562</v>
      </c>
      <c r="E15" s="4">
        <v>25000</v>
      </c>
      <c r="G15" s="1">
        <v>8295</v>
      </c>
      <c r="I15" s="17">
        <f t="shared" ref="I15:S15" si="13">I14*0.1</f>
        <v>25800</v>
      </c>
      <c r="J15" s="17">
        <f t="shared" si="13"/>
        <v>31680</v>
      </c>
      <c r="K15" s="17">
        <f t="shared" si="13"/>
        <v>39477.600000000006</v>
      </c>
      <c r="L15" s="17">
        <f t="shared" si="13"/>
        <v>53401.032000000007</v>
      </c>
      <c r="M15" s="17">
        <f t="shared" si="13"/>
        <v>62700.516000000003</v>
      </c>
      <c r="N15" s="17">
        <f t="shared" si="13"/>
        <v>72950.258000000016</v>
      </c>
      <c r="O15" s="17">
        <f t="shared" si="13"/>
        <v>72555.129000000001</v>
      </c>
      <c r="P15" s="17">
        <f t="shared" si="13"/>
        <v>72750.364500000011</v>
      </c>
      <c r="Q15" s="17">
        <f t="shared" si="13"/>
        <v>72540.710250000018</v>
      </c>
      <c r="R15" s="17">
        <f t="shared" si="13"/>
        <v>72797.538405000014</v>
      </c>
      <c r="S15" s="17">
        <f t="shared" si="13"/>
        <v>73291.224315299987</v>
      </c>
    </row>
    <row r="16" spans="1:26" ht="12.75">
      <c r="A16" s="7" t="s">
        <v>4</v>
      </c>
      <c r="B16" s="4">
        <f t="shared" ref="B16:E16" si="14">B14-B15</f>
        <v>188600</v>
      </c>
      <c r="C16" s="4">
        <f t="shared" si="14"/>
        <v>183200</v>
      </c>
      <c r="D16" s="4">
        <f t="shared" si="14"/>
        <v>188060</v>
      </c>
      <c r="E16" s="4">
        <f t="shared" si="14"/>
        <v>241000</v>
      </c>
      <c r="F16" s="4"/>
      <c r="G16" s="4">
        <f>G14-G15</f>
        <v>58205</v>
      </c>
      <c r="H16" s="4"/>
      <c r="I16" s="4">
        <f t="shared" ref="I16:S16" si="15">I14-I15</f>
        <v>232200</v>
      </c>
      <c r="J16" s="4">
        <f t="shared" si="15"/>
        <v>285120</v>
      </c>
      <c r="K16" s="4">
        <f t="shared" si="15"/>
        <v>355298.4</v>
      </c>
      <c r="L16" s="4">
        <f t="shared" si="15"/>
        <v>480609.28800000006</v>
      </c>
      <c r="M16" s="4">
        <f t="shared" si="15"/>
        <v>564304.64400000009</v>
      </c>
      <c r="N16" s="4">
        <f t="shared" si="15"/>
        <v>656552.32200000004</v>
      </c>
      <c r="O16" s="4">
        <f t="shared" si="15"/>
        <v>652996.16100000008</v>
      </c>
      <c r="P16" s="4">
        <f t="shared" si="15"/>
        <v>654753.28049999999</v>
      </c>
      <c r="Q16" s="4">
        <f t="shared" si="15"/>
        <v>652866.39225000015</v>
      </c>
      <c r="R16" s="4">
        <f t="shared" si="15"/>
        <v>655177.84564500011</v>
      </c>
      <c r="S16" s="4">
        <f t="shared" si="15"/>
        <v>659621.0188376999</v>
      </c>
    </row>
    <row r="17" spans="1:19" ht="12.75">
      <c r="A17" s="7" t="s">
        <v>17</v>
      </c>
      <c r="B17" s="4">
        <v>38520</v>
      </c>
      <c r="C17" s="4">
        <v>70370</v>
      </c>
      <c r="D17" s="4">
        <v>52530</v>
      </c>
      <c r="E17" s="4"/>
      <c r="I17" s="4">
        <f>D17*1.25</f>
        <v>65662.5</v>
      </c>
      <c r="J17" s="4">
        <f>I17*1.25</f>
        <v>82078.125</v>
      </c>
      <c r="K17" s="4">
        <f t="shared" ref="K17:L17" si="16">J17</f>
        <v>82078.125</v>
      </c>
      <c r="L17" s="4">
        <f t="shared" si="16"/>
        <v>82078.125</v>
      </c>
      <c r="M17" s="4">
        <f t="shared" ref="M17:S17" si="17">L17*0.75</f>
        <v>61558.59375</v>
      </c>
      <c r="N17" s="4">
        <f t="shared" si="17"/>
        <v>46168.9453125</v>
      </c>
      <c r="O17" s="4">
        <f t="shared" si="17"/>
        <v>34626.708984375</v>
      </c>
      <c r="P17" s="4">
        <f t="shared" si="17"/>
        <v>25970.03173828125</v>
      </c>
      <c r="Q17" s="4">
        <f t="shared" si="17"/>
        <v>19477.523803710938</v>
      </c>
      <c r="R17" s="4">
        <f t="shared" si="17"/>
        <v>14608.142852783203</v>
      </c>
      <c r="S17" s="4">
        <f t="shared" si="17"/>
        <v>10956.107139587402</v>
      </c>
    </row>
    <row r="18" spans="1:19" ht="12.75">
      <c r="A18" s="7" t="s">
        <v>38</v>
      </c>
      <c r="B18" s="4">
        <v>75689</v>
      </c>
      <c r="C18" s="4">
        <v>96419</v>
      </c>
      <c r="D18" s="4">
        <v>131819</v>
      </c>
      <c r="E18" s="19"/>
      <c r="I18" s="4">
        <f>D18*1.1</f>
        <v>145000.90000000002</v>
      </c>
      <c r="J18" s="4">
        <f t="shared" ref="J18:N18" si="18">I18*1.15</f>
        <v>166751.035</v>
      </c>
      <c r="K18" s="4">
        <f t="shared" si="18"/>
        <v>191763.69024999999</v>
      </c>
      <c r="L18" s="4">
        <f t="shared" si="18"/>
        <v>220528.24378749996</v>
      </c>
      <c r="M18" s="4">
        <f t="shared" si="18"/>
        <v>253607.48035562492</v>
      </c>
      <c r="N18" s="4">
        <f t="shared" si="18"/>
        <v>291648.60240896867</v>
      </c>
      <c r="O18" s="4">
        <f t="shared" ref="O18:S18" si="19">N18</f>
        <v>291648.60240896867</v>
      </c>
      <c r="P18" s="4">
        <f t="shared" si="19"/>
        <v>291648.60240896867</v>
      </c>
      <c r="Q18" s="4">
        <f t="shared" si="19"/>
        <v>291648.60240896867</v>
      </c>
      <c r="R18" s="4">
        <f t="shared" si="19"/>
        <v>291648.60240896867</v>
      </c>
      <c r="S18" s="4">
        <f t="shared" si="19"/>
        <v>291648.60240896867</v>
      </c>
    </row>
    <row r="19" spans="1:19" ht="12.75">
      <c r="A19" s="7"/>
      <c r="B19" s="4"/>
      <c r="C19" s="5"/>
      <c r="D19" s="5"/>
      <c r="E19" s="4"/>
      <c r="G19" s="1"/>
      <c r="I19" s="4"/>
      <c r="J19" s="4"/>
      <c r="K19" s="4"/>
      <c r="L19" s="4"/>
      <c r="M19" s="4"/>
      <c r="N19" s="4"/>
      <c r="O19" s="4"/>
      <c r="P19" s="4"/>
      <c r="Q19" s="4"/>
      <c r="R19" s="4"/>
      <c r="S19" s="4"/>
    </row>
    <row r="20" spans="1:19" ht="12.75">
      <c r="A20" s="7" t="s">
        <v>39</v>
      </c>
      <c r="B20" s="4">
        <v>-1829</v>
      </c>
      <c r="C20" s="4">
        <v>-2620</v>
      </c>
      <c r="D20" s="4">
        <v>-14523</v>
      </c>
      <c r="E20" s="4">
        <f>G20*4</f>
        <v>225832</v>
      </c>
      <c r="G20" s="1">
        <v>56458</v>
      </c>
      <c r="I20" s="4"/>
      <c r="J20" s="4"/>
      <c r="K20" s="4"/>
      <c r="L20" s="4"/>
      <c r="M20" s="4"/>
      <c r="N20" s="4"/>
      <c r="O20" s="4"/>
      <c r="P20" s="4"/>
      <c r="Q20" s="4"/>
      <c r="R20" s="4"/>
      <c r="S20" s="4"/>
    </row>
    <row r="21" spans="1:19" ht="12.75">
      <c r="E21" s="4"/>
      <c r="I21" s="4"/>
      <c r="J21" s="4"/>
      <c r="K21" s="4"/>
      <c r="L21" s="4"/>
      <c r="M21" s="4"/>
      <c r="N21" s="4"/>
      <c r="O21" s="4"/>
      <c r="P21" s="4"/>
      <c r="Q21" s="4"/>
      <c r="R21" s="4"/>
      <c r="S21" s="4"/>
    </row>
    <row r="22" spans="1:19" ht="12.75">
      <c r="A22" s="7" t="s">
        <v>5</v>
      </c>
      <c r="B22" s="4">
        <f t="shared" ref="B22:D22" si="20">SUM(B17:B20)</f>
        <v>112380</v>
      </c>
      <c r="C22" s="4">
        <f t="shared" si="20"/>
        <v>164169</v>
      </c>
      <c r="D22" s="4">
        <f t="shared" si="20"/>
        <v>169826</v>
      </c>
      <c r="E22" s="4">
        <f>SUM(E17:E21)</f>
        <v>225832</v>
      </c>
      <c r="F22" s="4"/>
      <c r="G22" s="4">
        <f>SUM(G17:G21)</f>
        <v>56458</v>
      </c>
      <c r="H22" s="4"/>
      <c r="I22" s="4">
        <f t="shared" ref="I22:S22" si="21">SUM(I17:I21)</f>
        <v>210663.40000000002</v>
      </c>
      <c r="J22" s="4">
        <f t="shared" si="21"/>
        <v>248829.16</v>
      </c>
      <c r="K22" s="4">
        <f t="shared" si="21"/>
        <v>273841.81524999999</v>
      </c>
      <c r="L22" s="4">
        <f t="shared" si="21"/>
        <v>302606.36878749996</v>
      </c>
      <c r="M22" s="4">
        <f t="shared" si="21"/>
        <v>315166.07410562492</v>
      </c>
      <c r="N22" s="4">
        <f t="shared" si="21"/>
        <v>337817.54772146867</v>
      </c>
      <c r="O22" s="4">
        <f t="shared" si="21"/>
        <v>326275.31139334367</v>
      </c>
      <c r="P22" s="4">
        <f t="shared" si="21"/>
        <v>317618.63414724992</v>
      </c>
      <c r="Q22" s="4">
        <f t="shared" si="21"/>
        <v>311126.12621267961</v>
      </c>
      <c r="R22" s="4">
        <f t="shared" si="21"/>
        <v>306256.74526175187</v>
      </c>
      <c r="S22" s="4">
        <f t="shared" si="21"/>
        <v>302604.70954855607</v>
      </c>
    </row>
    <row r="23" spans="1:19" ht="12.75">
      <c r="A23" s="7" t="s">
        <v>6</v>
      </c>
      <c r="B23" s="4">
        <f t="shared" ref="B23:E23" si="22">B16-B22</f>
        <v>76220</v>
      </c>
      <c r="C23" s="4">
        <f t="shared" si="22"/>
        <v>19031</v>
      </c>
      <c r="D23" s="4">
        <f t="shared" si="22"/>
        <v>18234</v>
      </c>
      <c r="E23" s="4">
        <f t="shared" si="22"/>
        <v>15168</v>
      </c>
      <c r="F23" s="4"/>
      <c r="G23" s="4">
        <f>G16-G22</f>
        <v>1747</v>
      </c>
      <c r="H23" s="4"/>
      <c r="I23" s="4">
        <f t="shared" ref="I23:S23" si="23">I16-I22</f>
        <v>21536.599999999977</v>
      </c>
      <c r="J23" s="4">
        <f t="shared" si="23"/>
        <v>36290.839999999997</v>
      </c>
      <c r="K23" s="4">
        <f t="shared" si="23"/>
        <v>81456.584750000038</v>
      </c>
      <c r="L23" s="4">
        <f t="shared" si="23"/>
        <v>178002.9192125001</v>
      </c>
      <c r="M23" s="4">
        <f t="shared" si="23"/>
        <v>249138.56989437516</v>
      </c>
      <c r="N23" s="4">
        <f t="shared" si="23"/>
        <v>318734.77427853137</v>
      </c>
      <c r="O23" s="4">
        <f t="shared" si="23"/>
        <v>326720.84960665641</v>
      </c>
      <c r="P23" s="4">
        <f t="shared" si="23"/>
        <v>337134.64635275007</v>
      </c>
      <c r="Q23" s="4">
        <f t="shared" si="23"/>
        <v>341740.26603732054</v>
      </c>
      <c r="R23" s="4">
        <f t="shared" si="23"/>
        <v>348921.10038324824</v>
      </c>
      <c r="S23" s="4">
        <f t="shared" si="23"/>
        <v>357016.30928914383</v>
      </c>
    </row>
    <row r="24" spans="1:19" ht="12.75">
      <c r="A24" s="7" t="s">
        <v>40</v>
      </c>
      <c r="B24" s="4">
        <v>-5303</v>
      </c>
      <c r="C24" s="4">
        <v>8709</v>
      </c>
      <c r="D24" s="4">
        <v>-978</v>
      </c>
      <c r="E24" s="4">
        <f>G24*4</f>
        <v>-1548</v>
      </c>
      <c r="G24" s="1">
        <v>-387</v>
      </c>
      <c r="I24" s="4"/>
      <c r="J24" s="4">
        <f t="shared" ref="J24:S24" si="24">(I30-$G$36)*$B$47</f>
        <v>-1016</v>
      </c>
      <c r="K24" s="4">
        <f t="shared" si="24"/>
        <v>-486.87739999999991</v>
      </c>
      <c r="L24" s="4">
        <f t="shared" si="24"/>
        <v>727.6682102500007</v>
      </c>
      <c r="M24" s="4">
        <f t="shared" si="24"/>
        <v>3408.6270215912523</v>
      </c>
      <c r="N24" s="4">
        <f t="shared" si="24"/>
        <v>7196.8349753307484</v>
      </c>
      <c r="O24" s="4">
        <f t="shared" si="24"/>
        <v>12085.809114138679</v>
      </c>
      <c r="P24" s="4">
        <f t="shared" si="24"/>
        <v>17167.908994950605</v>
      </c>
      <c r="Q24" s="4">
        <f t="shared" si="24"/>
        <v>22482.447325166115</v>
      </c>
      <c r="R24" s="4">
        <f t="shared" si="24"/>
        <v>27945.788025603415</v>
      </c>
      <c r="S24" s="4">
        <f t="shared" si="24"/>
        <v>33598.791351736189</v>
      </c>
    </row>
    <row r="25" spans="1:19" ht="12.75">
      <c r="A25" s="7" t="s">
        <v>18</v>
      </c>
      <c r="B25" s="4">
        <v>-26859</v>
      </c>
      <c r="C25" s="4">
        <v>-4639</v>
      </c>
      <c r="D25" s="4">
        <v>5598</v>
      </c>
      <c r="E25" s="4">
        <f>G25*2</f>
        <v>3572</v>
      </c>
      <c r="G25" s="4">
        <v>1786</v>
      </c>
      <c r="I25" s="4"/>
      <c r="J25" s="4"/>
      <c r="K25" s="4"/>
      <c r="L25" s="4"/>
      <c r="M25" s="4"/>
      <c r="N25" s="4"/>
      <c r="O25" s="4"/>
      <c r="P25" s="4"/>
      <c r="Q25" s="4"/>
      <c r="R25" s="4"/>
      <c r="S25" s="4"/>
    </row>
    <row r="26" spans="1:19" ht="12.75">
      <c r="A26" s="7" t="s">
        <v>7</v>
      </c>
      <c r="B26" s="4">
        <f t="shared" ref="B26:E26" si="25">SUM(B23:B25)</f>
        <v>44058</v>
      </c>
      <c r="C26" s="4">
        <f t="shared" si="25"/>
        <v>23101</v>
      </c>
      <c r="D26" s="4">
        <f t="shared" si="25"/>
        <v>22854</v>
      </c>
      <c r="E26" s="4">
        <f t="shared" si="25"/>
        <v>17192</v>
      </c>
      <c r="F26" s="4"/>
      <c r="G26" s="4">
        <f>SUM(G23:G25)</f>
        <v>3146</v>
      </c>
      <c r="I26" s="4"/>
      <c r="J26" s="4">
        <f t="shared" ref="J26:S26" si="26">SUM(J23:J25)</f>
        <v>35274.839999999997</v>
      </c>
      <c r="K26" s="4">
        <f t="shared" si="26"/>
        <v>80969.707350000041</v>
      </c>
      <c r="L26" s="4">
        <f t="shared" si="26"/>
        <v>178730.5874227501</v>
      </c>
      <c r="M26" s="4">
        <f t="shared" si="26"/>
        <v>252547.19691596643</v>
      </c>
      <c r="N26" s="4">
        <f t="shared" si="26"/>
        <v>325931.60925386212</v>
      </c>
      <c r="O26" s="4">
        <f t="shared" si="26"/>
        <v>338806.65872079507</v>
      </c>
      <c r="P26" s="4">
        <f t="shared" si="26"/>
        <v>354302.55534770066</v>
      </c>
      <c r="Q26" s="4">
        <f t="shared" si="26"/>
        <v>364222.71336248668</v>
      </c>
      <c r="R26" s="4">
        <f t="shared" si="26"/>
        <v>376866.88840885164</v>
      </c>
      <c r="S26" s="4">
        <f t="shared" si="26"/>
        <v>390615.10064088</v>
      </c>
    </row>
    <row r="27" spans="1:19" ht="12.75">
      <c r="A27" s="7" t="s">
        <v>41</v>
      </c>
      <c r="B27" s="4"/>
      <c r="C27" s="4"/>
      <c r="D27" s="4"/>
      <c r="E27" s="4">
        <f>G27*4</f>
        <v>-628</v>
      </c>
      <c r="G27" s="1">
        <v>-157</v>
      </c>
      <c r="I27" s="4"/>
      <c r="J27" s="4">
        <f t="shared" ref="J27:S27" si="27">IF(J26&lt;=10000,J26*5%,IF(J26&lt;=25000,J26*10%, J26*25%))</f>
        <v>8818.7099999999991</v>
      </c>
      <c r="K27" s="4">
        <f t="shared" si="27"/>
        <v>20242.42683750001</v>
      </c>
      <c r="L27" s="4">
        <f t="shared" si="27"/>
        <v>44682.646855687526</v>
      </c>
      <c r="M27" s="4">
        <f t="shared" si="27"/>
        <v>63136.799228991607</v>
      </c>
      <c r="N27" s="4">
        <f t="shared" si="27"/>
        <v>81482.902313465529</v>
      </c>
      <c r="O27" s="4">
        <f t="shared" si="27"/>
        <v>84701.664680198766</v>
      </c>
      <c r="P27" s="4">
        <f t="shared" si="27"/>
        <v>88575.638836925165</v>
      </c>
      <c r="Q27" s="4">
        <f t="shared" si="27"/>
        <v>91055.678340621671</v>
      </c>
      <c r="R27" s="4">
        <f t="shared" si="27"/>
        <v>94216.722102212909</v>
      </c>
      <c r="S27" s="4">
        <f t="shared" si="27"/>
        <v>97653.775160220001</v>
      </c>
    </row>
    <row r="28" spans="1:19" ht="12.75">
      <c r="A28" s="7" t="s">
        <v>8</v>
      </c>
      <c r="B28" s="4">
        <f t="shared" ref="B28:E28" si="28">B26-B27</f>
        <v>44058</v>
      </c>
      <c r="C28" s="4">
        <f t="shared" si="28"/>
        <v>23101</v>
      </c>
      <c r="D28" s="4">
        <f t="shared" si="28"/>
        <v>22854</v>
      </c>
      <c r="E28" s="4">
        <f t="shared" si="28"/>
        <v>17820</v>
      </c>
      <c r="F28" s="4"/>
      <c r="G28" s="4">
        <f>G26-G27</f>
        <v>3303</v>
      </c>
      <c r="H28" s="4"/>
      <c r="I28" s="4">
        <v>3303</v>
      </c>
      <c r="J28" s="4">
        <f t="shared" ref="J28:S28" si="29">J26-J27</f>
        <v>26456.129999999997</v>
      </c>
      <c r="K28" s="4">
        <f t="shared" si="29"/>
        <v>60727.28051250003</v>
      </c>
      <c r="L28" s="4">
        <f t="shared" si="29"/>
        <v>134047.94056706259</v>
      </c>
      <c r="M28" s="4">
        <f t="shared" si="29"/>
        <v>189410.39768697481</v>
      </c>
      <c r="N28" s="4">
        <f t="shared" si="29"/>
        <v>244448.70694039657</v>
      </c>
      <c r="O28" s="4">
        <f t="shared" si="29"/>
        <v>254104.9940405963</v>
      </c>
      <c r="P28" s="4">
        <f t="shared" si="29"/>
        <v>265726.91651077551</v>
      </c>
      <c r="Q28" s="4">
        <f t="shared" si="29"/>
        <v>273167.03502186504</v>
      </c>
      <c r="R28" s="4">
        <f t="shared" si="29"/>
        <v>282650.16630663874</v>
      </c>
      <c r="S28" s="4">
        <f t="shared" si="29"/>
        <v>292961.32548066002</v>
      </c>
    </row>
    <row r="29" spans="1:19" ht="12.75">
      <c r="B29" s="4"/>
      <c r="C29" s="4"/>
      <c r="D29" s="10"/>
    </row>
    <row r="30" spans="1:19" ht="12.75">
      <c r="A30" s="1" t="s">
        <v>19</v>
      </c>
      <c r="B30" s="4"/>
      <c r="C30" s="4">
        <v>192963</v>
      </c>
      <c r="D30" s="4">
        <v>208654</v>
      </c>
      <c r="G30" s="4">
        <v>199200</v>
      </c>
      <c r="I30" s="4">
        <f>G30</f>
        <v>199200</v>
      </c>
      <c r="J30" s="4">
        <f t="shared" ref="J30:S30" si="30">I30+J28</f>
        <v>225656.13</v>
      </c>
      <c r="K30" s="4">
        <f t="shared" si="30"/>
        <v>286383.41051250004</v>
      </c>
      <c r="L30" s="4">
        <f t="shared" si="30"/>
        <v>420431.35107956262</v>
      </c>
      <c r="M30" s="4">
        <f t="shared" si="30"/>
        <v>609841.74876653741</v>
      </c>
      <c r="N30" s="4">
        <f t="shared" si="30"/>
        <v>854290.45570693398</v>
      </c>
      <c r="O30" s="4">
        <f t="shared" si="30"/>
        <v>1108395.4497475303</v>
      </c>
      <c r="P30" s="4">
        <f t="shared" si="30"/>
        <v>1374122.3662583057</v>
      </c>
      <c r="Q30" s="4">
        <f t="shared" si="30"/>
        <v>1647289.4012801708</v>
      </c>
      <c r="R30" s="4">
        <f t="shared" si="30"/>
        <v>1929939.5675868094</v>
      </c>
      <c r="S30" s="4">
        <f t="shared" si="30"/>
        <v>2222900.8930674694</v>
      </c>
    </row>
    <row r="31" spans="1:19" ht="12.75">
      <c r="A31" s="1" t="s">
        <v>20</v>
      </c>
      <c r="B31" s="4"/>
      <c r="C31" s="4"/>
      <c r="D31" s="4"/>
    </row>
    <row r="32" spans="1:19" ht="12.75">
      <c r="A32" s="1" t="s">
        <v>21</v>
      </c>
      <c r="B32" s="4"/>
      <c r="C32" s="4"/>
      <c r="D32" s="4"/>
    </row>
    <row r="33" spans="1:19" ht="12.75">
      <c r="A33" s="1" t="s">
        <v>16</v>
      </c>
      <c r="B33" s="4"/>
      <c r="C33" s="4"/>
      <c r="D33" s="4"/>
    </row>
    <row r="34" spans="1:19" ht="12.75">
      <c r="A34" s="1" t="s">
        <v>22</v>
      </c>
      <c r="B34" s="4">
        <f t="shared" ref="B34:D34" si="31">SUM(B30:B33)</f>
        <v>0</v>
      </c>
      <c r="C34" s="4">
        <f t="shared" si="31"/>
        <v>192963</v>
      </c>
      <c r="D34" s="4">
        <f t="shared" si="31"/>
        <v>208654</v>
      </c>
    </row>
    <row r="35" spans="1:19" ht="12.75">
      <c r="A35" s="1"/>
      <c r="B35" s="4"/>
    </row>
    <row r="36" spans="1:19" ht="12.75">
      <c r="A36" s="1" t="s">
        <v>23</v>
      </c>
      <c r="B36" s="4"/>
      <c r="C36" s="4">
        <v>204399</v>
      </c>
      <c r="D36" s="4">
        <v>221159</v>
      </c>
      <c r="G36" s="4">
        <v>250000</v>
      </c>
    </row>
    <row r="37" spans="1:19" ht="12.75">
      <c r="A37" s="1"/>
      <c r="B37" s="4"/>
    </row>
    <row r="38" spans="1:19" ht="12.75">
      <c r="A38" s="1" t="s">
        <v>42</v>
      </c>
      <c r="B38" s="4"/>
    </row>
    <row r="39" spans="1:19" ht="12.75">
      <c r="A39" s="1" t="s">
        <v>9</v>
      </c>
      <c r="B39" s="6">
        <f t="shared" ref="B39:E39" si="32">B16/B14</f>
        <v>0.88878416588124409</v>
      </c>
      <c r="C39" s="6">
        <f t="shared" si="32"/>
        <v>0.89628180039138938</v>
      </c>
      <c r="D39" s="6">
        <f t="shared" si="32"/>
        <v>0.91459085117351258</v>
      </c>
      <c r="E39" s="6">
        <f t="shared" si="32"/>
        <v>0.90601503759398494</v>
      </c>
      <c r="F39" s="6"/>
      <c r="G39" s="6">
        <f>G16/G14</f>
        <v>0.87526315789473685</v>
      </c>
      <c r="H39" s="6"/>
      <c r="I39" s="6">
        <f t="shared" ref="I39:S39" si="33">I16/I14</f>
        <v>0.9</v>
      </c>
      <c r="J39" s="6">
        <f t="shared" si="33"/>
        <v>0.9</v>
      </c>
      <c r="K39" s="6">
        <f t="shared" si="33"/>
        <v>0.89999999999999991</v>
      </c>
      <c r="L39" s="6">
        <f t="shared" si="33"/>
        <v>0.9</v>
      </c>
      <c r="M39" s="6">
        <f t="shared" si="33"/>
        <v>0.90000000000000013</v>
      </c>
      <c r="N39" s="6">
        <f t="shared" si="33"/>
        <v>0.9</v>
      </c>
      <c r="O39" s="6">
        <f t="shared" si="33"/>
        <v>0.9</v>
      </c>
      <c r="P39" s="6">
        <f t="shared" si="33"/>
        <v>0.9</v>
      </c>
      <c r="Q39" s="6">
        <f t="shared" si="33"/>
        <v>0.9</v>
      </c>
      <c r="R39" s="6">
        <f t="shared" si="33"/>
        <v>0.9</v>
      </c>
      <c r="S39" s="6">
        <f t="shared" si="33"/>
        <v>0.9</v>
      </c>
    </row>
    <row r="40" spans="1:19" ht="12.75">
      <c r="A40" s="3" t="s">
        <v>10</v>
      </c>
      <c r="B40" s="4"/>
    </row>
    <row r="41" spans="1:19" ht="16.5">
      <c r="A41" s="11" t="s">
        <v>11</v>
      </c>
      <c r="B41" s="12">
        <f>G30/1000</f>
        <v>199.2</v>
      </c>
      <c r="C41" s="13"/>
    </row>
    <row r="42" spans="1:19" ht="16.5">
      <c r="A42" s="14" t="s">
        <v>12</v>
      </c>
      <c r="B42" s="12">
        <f>G36/1000</f>
        <v>250</v>
      </c>
      <c r="C42" s="13"/>
    </row>
    <row r="43" spans="1:19" ht="16.5">
      <c r="A43" s="13"/>
      <c r="B43" s="13"/>
      <c r="C43" s="13"/>
    </row>
    <row r="44" spans="1:19" ht="16.5">
      <c r="A44" s="13" t="s">
        <v>43</v>
      </c>
      <c r="B44" s="20">
        <v>708</v>
      </c>
      <c r="C44" s="13"/>
      <c r="D44" s="1" t="s">
        <v>44</v>
      </c>
    </row>
    <row r="45" spans="1:19" ht="16.5">
      <c r="A45" s="13" t="s">
        <v>24</v>
      </c>
      <c r="B45" s="12">
        <f t="array" ref="B45">NPV(B48,K28:S28)/1000 + B41 - B42</f>
        <v>1073.8426051245856</v>
      </c>
      <c r="C45" s="13"/>
      <c r="D45" s="8">
        <f>B45/690 - 1</f>
        <v>0.55629363061534143</v>
      </c>
    </row>
    <row r="46" spans="1:19" ht="16.5">
      <c r="A46" s="13" t="s">
        <v>45</v>
      </c>
      <c r="B46" s="21">
        <f>B45/B44</f>
        <v>1.5167268433963073</v>
      </c>
      <c r="C46" s="13"/>
    </row>
    <row r="47" spans="1:19" ht="16.5">
      <c r="A47" s="13" t="s">
        <v>13</v>
      </c>
      <c r="B47" s="15">
        <v>0.02</v>
      </c>
      <c r="C47" s="13"/>
    </row>
    <row r="48" spans="1:19" ht="16.5">
      <c r="A48" s="13" t="s">
        <v>14</v>
      </c>
      <c r="B48" s="15">
        <v>0.11</v>
      </c>
      <c r="C48" s="13"/>
    </row>
    <row r="50" spans="1:3" ht="12.75">
      <c r="A50" s="2" t="s">
        <v>46</v>
      </c>
      <c r="C50" s="22"/>
    </row>
    <row r="52" spans="1:3" ht="12.75">
      <c r="A52" s="1" t="s">
        <v>47</v>
      </c>
      <c r="B52" s="1" t="s">
        <v>48</v>
      </c>
    </row>
    <row r="53" spans="1:3" ht="12.75">
      <c r="B53" s="1" t="s">
        <v>49</v>
      </c>
    </row>
    <row r="54" spans="1:3" ht="12.75">
      <c r="B54" s="1" t="s">
        <v>50</v>
      </c>
    </row>
    <row r="55" spans="1:3" ht="12.75">
      <c r="B55" s="1" t="s">
        <v>51</v>
      </c>
    </row>
    <row r="57" spans="1:3" ht="12.75">
      <c r="A57" s="1"/>
      <c r="B57" s="1"/>
    </row>
    <row r="58" spans="1:3" ht="12.75">
      <c r="A58" s="1"/>
      <c r="B58" s="1"/>
    </row>
    <row r="59" spans="1:3" ht="12.75">
      <c r="A59" s="1" t="s">
        <v>52</v>
      </c>
      <c r="B59" s="1" t="s">
        <v>53</v>
      </c>
    </row>
    <row r="60" spans="1:3" ht="12.75">
      <c r="B60" s="1" t="s">
        <v>54</v>
      </c>
    </row>
    <row r="61" spans="1:3" ht="12.75">
      <c r="B61" s="1" t="s">
        <v>55</v>
      </c>
    </row>
    <row r="62" spans="1:3" ht="12.75">
      <c r="B62" s="1" t="s">
        <v>56</v>
      </c>
    </row>
    <row r="64" spans="1:3" ht="12.75">
      <c r="B64" s="1" t="s">
        <v>57</v>
      </c>
    </row>
    <row r="66" spans="1:17" ht="12.75">
      <c r="B66" s="1" t="s">
        <v>58</v>
      </c>
    </row>
    <row r="67" spans="1:17" ht="12.75">
      <c r="B67" s="1"/>
    </row>
    <row r="68" spans="1:17" ht="12.75">
      <c r="B68" s="1" t="s">
        <v>59</v>
      </c>
    </row>
    <row r="69" spans="1:17" ht="12.75">
      <c r="B69" s="1" t="s">
        <v>60</v>
      </c>
    </row>
    <row r="70" spans="1:17" ht="12.75">
      <c r="B70" s="1" t="s">
        <v>61</v>
      </c>
    </row>
    <row r="71" spans="1:17" ht="15.75" customHeight="1">
      <c r="B71" s="2" t="s">
        <v>62</v>
      </c>
    </row>
    <row r="72" spans="1:17" ht="12.75"/>
    <row r="74" spans="1:17" ht="12.75">
      <c r="B74" s="2" t="s">
        <v>63</v>
      </c>
      <c r="C74" s="2"/>
      <c r="D74" s="2" t="s">
        <v>64</v>
      </c>
    </row>
    <row r="75" spans="1:17" ht="25.5">
      <c r="B75" s="23" t="s">
        <v>65</v>
      </c>
      <c r="C75" s="16" t="s">
        <v>66</v>
      </c>
      <c r="D75" s="16" t="s">
        <v>67</v>
      </c>
      <c r="E75" s="16" t="s">
        <v>68</v>
      </c>
      <c r="F75" s="16"/>
      <c r="G75" s="23" t="s">
        <v>69</v>
      </c>
      <c r="H75" s="23" t="s">
        <v>70</v>
      </c>
      <c r="I75" s="16" t="s">
        <v>71</v>
      </c>
      <c r="J75" s="2"/>
      <c r="O75" s="24"/>
      <c r="P75" s="24"/>
    </row>
    <row r="76" spans="1:17" ht="63.75">
      <c r="A76" s="25" t="s">
        <v>72</v>
      </c>
      <c r="B76" s="26" t="s">
        <v>73</v>
      </c>
      <c r="C76" s="26">
        <v>333</v>
      </c>
      <c r="D76" s="26">
        <f t="shared" ref="D76:D82" si="34">C76*1.5</f>
        <v>499.5</v>
      </c>
      <c r="E76" s="26">
        <f t="shared" ref="E76:E82" si="35">C76*2</f>
        <v>666</v>
      </c>
      <c r="F76" s="27" t="s">
        <v>74</v>
      </c>
      <c r="G76" s="26">
        <v>81</v>
      </c>
      <c r="H76" s="28">
        <v>200</v>
      </c>
      <c r="I76" s="29"/>
      <c r="J76" s="30"/>
      <c r="N76" s="31" t="s">
        <v>75</v>
      </c>
      <c r="O76" s="24"/>
      <c r="P76" s="24"/>
    </row>
    <row r="77" spans="1:17" ht="12.75">
      <c r="A77" s="1" t="s">
        <v>76</v>
      </c>
      <c r="B77" s="32" t="s">
        <v>77</v>
      </c>
      <c r="C77" s="32">
        <v>373</v>
      </c>
      <c r="D77" s="32">
        <f t="shared" si="34"/>
        <v>559.5</v>
      </c>
      <c r="E77" s="32">
        <f t="shared" si="35"/>
        <v>746</v>
      </c>
      <c r="F77" s="42" t="s">
        <v>76</v>
      </c>
      <c r="G77" s="32">
        <v>0</v>
      </c>
      <c r="H77" s="44">
        <v>600</v>
      </c>
      <c r="I77" s="8"/>
      <c r="J77" s="30"/>
      <c r="N77" s="33" t="s">
        <v>78</v>
      </c>
      <c r="O77" s="33"/>
      <c r="P77" s="33"/>
    </row>
    <row r="78" spans="1:17" ht="12.75">
      <c r="B78" s="32" t="s">
        <v>79</v>
      </c>
      <c r="C78" s="32">
        <v>67</v>
      </c>
      <c r="D78" s="32">
        <f t="shared" si="34"/>
        <v>100.5</v>
      </c>
      <c r="E78" s="32">
        <f t="shared" si="35"/>
        <v>134</v>
      </c>
      <c r="F78" s="43"/>
      <c r="G78" s="32">
        <v>0</v>
      </c>
      <c r="H78" s="43"/>
      <c r="I78" s="8"/>
      <c r="J78" s="30"/>
      <c r="N78" s="34" t="s">
        <v>80</v>
      </c>
      <c r="O78" s="34" t="s">
        <v>81</v>
      </c>
      <c r="P78" s="34" t="s">
        <v>82</v>
      </c>
    </row>
    <row r="79" spans="1:17" ht="38.25">
      <c r="A79" s="22" t="s">
        <v>83</v>
      </c>
      <c r="B79" s="32" t="s">
        <v>84</v>
      </c>
      <c r="C79" s="32">
        <v>39</v>
      </c>
      <c r="D79" s="32">
        <f t="shared" si="34"/>
        <v>58.5</v>
      </c>
      <c r="E79" s="32">
        <f t="shared" si="35"/>
        <v>78</v>
      </c>
      <c r="F79" s="43"/>
      <c r="G79" s="32">
        <v>0</v>
      </c>
      <c r="H79" s="43"/>
      <c r="I79" s="8"/>
      <c r="J79" s="30"/>
      <c r="N79" s="35" t="s">
        <v>85</v>
      </c>
      <c r="O79" s="33" t="s">
        <v>86</v>
      </c>
      <c r="P79" s="36" t="s">
        <v>87</v>
      </c>
      <c r="Q79" s="1" t="s">
        <v>88</v>
      </c>
    </row>
    <row r="80" spans="1:17" ht="12.75">
      <c r="B80" s="32" t="s">
        <v>89</v>
      </c>
      <c r="C80" s="32">
        <v>26</v>
      </c>
      <c r="D80" s="32">
        <f t="shared" si="34"/>
        <v>39</v>
      </c>
      <c r="E80" s="32">
        <f t="shared" si="35"/>
        <v>52</v>
      </c>
      <c r="F80" s="43"/>
      <c r="G80" s="32">
        <v>0</v>
      </c>
      <c r="H80" s="43"/>
      <c r="I80" s="8"/>
      <c r="J80" s="30"/>
      <c r="N80" s="35" t="s">
        <v>90</v>
      </c>
      <c r="O80" s="33" t="s">
        <v>91</v>
      </c>
      <c r="P80" s="36" t="s">
        <v>87</v>
      </c>
      <c r="Q80" s="1" t="s">
        <v>92</v>
      </c>
    </row>
    <row r="81" spans="1:17" ht="12.75">
      <c r="B81" s="32" t="s">
        <v>93</v>
      </c>
      <c r="C81" s="32">
        <v>10</v>
      </c>
      <c r="D81" s="32">
        <f t="shared" si="34"/>
        <v>15</v>
      </c>
      <c r="E81" s="32">
        <f t="shared" si="35"/>
        <v>20</v>
      </c>
      <c r="F81" s="43"/>
      <c r="G81" s="32">
        <v>0</v>
      </c>
      <c r="H81" s="43"/>
      <c r="I81" s="8"/>
      <c r="J81" s="30"/>
      <c r="N81" s="35" t="s">
        <v>94</v>
      </c>
      <c r="O81" s="33"/>
      <c r="P81" s="33" t="s">
        <v>95</v>
      </c>
      <c r="Q81" s="1" t="s">
        <v>96</v>
      </c>
    </row>
    <row r="82" spans="1:17" ht="12.75">
      <c r="A82" s="37" t="s">
        <v>97</v>
      </c>
      <c r="B82" s="38" t="s">
        <v>98</v>
      </c>
      <c r="C82" s="38">
        <v>130</v>
      </c>
      <c r="D82" s="39">
        <f t="shared" si="34"/>
        <v>195</v>
      </c>
      <c r="E82" s="39">
        <f t="shared" si="35"/>
        <v>260</v>
      </c>
      <c r="F82" s="9"/>
      <c r="G82" s="38">
        <v>0</v>
      </c>
      <c r="H82" s="43"/>
      <c r="I82" s="8"/>
      <c r="J82" s="30"/>
      <c r="N82" s="36" t="s">
        <v>99</v>
      </c>
      <c r="O82" s="33"/>
      <c r="P82" s="33" t="s">
        <v>95</v>
      </c>
      <c r="Q82" s="1"/>
    </row>
    <row r="83" spans="1:17" ht="12.75">
      <c r="N83" s="35" t="s">
        <v>100</v>
      </c>
      <c r="O83" s="33"/>
      <c r="P83" s="33" t="s">
        <v>95</v>
      </c>
    </row>
    <row r="84" spans="1:17" ht="12.75">
      <c r="B84" s="1" t="s">
        <v>101</v>
      </c>
      <c r="D84" s="16">
        <f t="shared" ref="D84:E84" si="36">SUM(D76:D82)</f>
        <v>1467</v>
      </c>
      <c r="E84" s="16">
        <f t="shared" si="36"/>
        <v>1956</v>
      </c>
      <c r="F84" s="16"/>
      <c r="G84" s="16">
        <f t="shared" ref="G84:H84" si="37">SUM(G76:G82)</f>
        <v>81</v>
      </c>
      <c r="H84" s="28">
        <f t="shared" si="37"/>
        <v>800</v>
      </c>
      <c r="N84" s="35" t="s">
        <v>102</v>
      </c>
      <c r="O84" s="33"/>
      <c r="P84" s="33" t="s">
        <v>103</v>
      </c>
    </row>
    <row r="85" spans="1:17" ht="12.75">
      <c r="I85" s="40"/>
      <c r="L85" s="29"/>
    </row>
    <row r="87" spans="1:17" ht="12.75">
      <c r="B87" s="1" t="s">
        <v>104</v>
      </c>
    </row>
    <row r="88" spans="1:17" ht="12.75">
      <c r="B88" s="1" t="s">
        <v>105</v>
      </c>
      <c r="E88" s="1" t="s">
        <v>106</v>
      </c>
    </row>
    <row r="90" spans="1:17" ht="12.75">
      <c r="A90" s="1"/>
      <c r="B90" s="1" t="s">
        <v>107</v>
      </c>
    </row>
    <row r="91" spans="1:17" ht="12.75">
      <c r="A91" s="1"/>
      <c r="B91" s="1" t="s">
        <v>108</v>
      </c>
    </row>
    <row r="92" spans="1:17" ht="12.75">
      <c r="A92" s="1"/>
      <c r="B92" s="41" t="s">
        <v>109</v>
      </c>
    </row>
    <row r="93" spans="1:17" ht="12.75">
      <c r="A93" s="1"/>
      <c r="B93" s="1"/>
    </row>
    <row r="94" spans="1:17" ht="12.75">
      <c r="A94" s="1"/>
      <c r="B94" s="1" t="s">
        <v>110</v>
      </c>
    </row>
    <row r="95" spans="1:17" ht="12.75">
      <c r="A95" s="1"/>
      <c r="B95" s="1"/>
    </row>
    <row r="96" spans="1:17" ht="12.75">
      <c r="A96" s="1"/>
      <c r="B96" s="1" t="s">
        <v>111</v>
      </c>
    </row>
    <row r="97" spans="1:5" ht="12.75">
      <c r="A97" s="1"/>
      <c r="B97" s="1" t="s">
        <v>112</v>
      </c>
    </row>
    <row r="98" spans="1:5" ht="12.75">
      <c r="A98" s="1"/>
      <c r="B98" s="1"/>
    </row>
    <row r="99" spans="1:5" ht="12.75">
      <c r="A99" s="1"/>
      <c r="B99" s="1"/>
    </row>
    <row r="100" spans="1:5" ht="12.75" customHeight="1">
      <c r="A100" s="1"/>
      <c r="B100" s="2" t="s">
        <v>113</v>
      </c>
    </row>
    <row r="101" spans="1:5" ht="12.75">
      <c r="A101" s="1"/>
      <c r="B101" s="1" t="s">
        <v>114</v>
      </c>
      <c r="D101" s="1" t="s">
        <v>115</v>
      </c>
      <c r="E101" s="1" t="s">
        <v>116</v>
      </c>
    </row>
    <row r="102" spans="1:5" ht="12.75">
      <c r="D102" s="1" t="s">
        <v>117</v>
      </c>
      <c r="E102" s="37" t="s">
        <v>118</v>
      </c>
    </row>
    <row r="103" spans="1:5" ht="12.75">
      <c r="D103" s="1" t="s">
        <v>119</v>
      </c>
      <c r="E103" s="1" t="s">
        <v>120</v>
      </c>
    </row>
  </sheetData>
  <mergeCells count="2">
    <mergeCell ref="F77:F81"/>
    <mergeCell ref="H77:H82"/>
  </mergeCells>
  <hyperlinks>
    <hyperlink ref="A76" r:id="rId1" xr:uid="{00000000-0004-0000-0200-000000000000}"/>
    <hyperlink ref="N78" r:id="rId2" location="filterSection" xr:uid="{00000000-0004-0000-0200-000001000000}"/>
    <hyperlink ref="O78" r:id="rId3" location="filterSection" xr:uid="{00000000-0004-0000-0200-000002000000}"/>
    <hyperlink ref="P78" r:id="rId4" location="filterSection" xr:uid="{00000000-0004-0000-0200-000003000000}"/>
    <hyperlink ref="N79" r:id="rId5" xr:uid="{00000000-0004-0000-0200-000004000000}"/>
    <hyperlink ref="P79" r:id="rId6" xr:uid="{00000000-0004-0000-0200-000005000000}"/>
    <hyperlink ref="N80" r:id="rId7" xr:uid="{00000000-0004-0000-0200-000006000000}"/>
    <hyperlink ref="P80" r:id="rId8" xr:uid="{00000000-0004-0000-0200-000007000000}"/>
    <hyperlink ref="N81" r:id="rId9" xr:uid="{00000000-0004-0000-0200-000008000000}"/>
    <hyperlink ref="A82" r:id="rId10" xr:uid="{00000000-0004-0000-0200-000009000000}"/>
    <hyperlink ref="N82" r:id="rId11" xr:uid="{00000000-0004-0000-0200-00000A000000}"/>
    <hyperlink ref="N83" r:id="rId12" xr:uid="{00000000-0004-0000-0200-00000B000000}"/>
    <hyperlink ref="N84" r:id="rId13" xr:uid="{00000000-0004-0000-0200-00000C000000}"/>
    <hyperlink ref="E102" r:id="rId14" xr:uid="{00000000-0004-0000-02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Pepe</dc:creator>
  <cp:lastModifiedBy>Ignace VL</cp:lastModifiedBy>
  <dcterms:created xsi:type="dcterms:W3CDTF">2024-02-27T09:05:21Z</dcterms:created>
  <dcterms:modified xsi:type="dcterms:W3CDTF">2024-02-27T09:05:21Z</dcterms:modified>
</cp:coreProperties>
</file>