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wnloads/"/>
    </mc:Choice>
  </mc:AlternateContent>
  <xr:revisionPtr revIDLastSave="0" documentId="8_{C02148F5-5101-8E4C-9285-6195E853BAEA}" xr6:coauthVersionLast="47" xr6:coauthVersionMax="47" xr10:uidLastSave="{00000000-0000-0000-0000-000000000000}"/>
  <bookViews>
    <workbookView xWindow="480" yWindow="75" windowWidth="18315" windowHeight="7845" xr2:uid="{00000000-000D-0000-FFFF-FFFF00000000}"/>
  </bookViews>
  <sheets>
    <sheet name="외부데이터" sheetId="4" r:id="rId1"/>
    <sheet name="Sheet2" sheetId="2" r:id="rId2"/>
    <sheet name="Sheet3" sheetId="3" r:id="rId3"/>
  </sheets>
  <definedNames>
    <definedName name="_xlnm.Print_Titles" localSheetId="0">외부데이터!$A:$A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" i="4" l="1"/>
  <c r="W29" i="4"/>
  <c r="W21" i="4"/>
  <c r="V13" i="4"/>
  <c r="V29" i="4"/>
  <c r="V21" i="4"/>
  <c r="U37" i="4"/>
  <c r="U33" i="4"/>
  <c r="U39" i="4"/>
  <c r="T37" i="4"/>
  <c r="S37" i="4"/>
  <c r="S33" i="4"/>
  <c r="S39" i="4"/>
  <c r="R37" i="4"/>
  <c r="R33" i="4"/>
  <c r="R39" i="4"/>
  <c r="Q37" i="4"/>
  <c r="Q33" i="4"/>
  <c r="Q39" i="4"/>
  <c r="U34" i="4"/>
  <c r="T34" i="4"/>
  <c r="S34" i="4"/>
  <c r="R34" i="4"/>
  <c r="Q34" i="4"/>
  <c r="T33" i="4"/>
  <c r="T39" i="4"/>
  <c r="S27" i="4"/>
  <c r="S29" i="4"/>
  <c r="S28" i="4"/>
  <c r="S31" i="4"/>
  <c r="U29" i="4"/>
  <c r="T29" i="4"/>
  <c r="T28" i="4"/>
  <c r="R29" i="4"/>
  <c r="Q29" i="4"/>
  <c r="U28" i="4"/>
  <c r="R28" i="4"/>
  <c r="Q28" i="4"/>
  <c r="U27" i="4"/>
  <c r="U31" i="4"/>
  <c r="T27" i="4"/>
  <c r="R27" i="4"/>
  <c r="R31" i="4"/>
  <c r="Q27" i="4"/>
  <c r="Q31" i="4"/>
  <c r="S19" i="4"/>
  <c r="S21" i="4"/>
  <c r="S20" i="4"/>
  <c r="S23" i="4"/>
  <c r="U21" i="4"/>
  <c r="T21" i="4"/>
  <c r="T20" i="4"/>
  <c r="R21" i="4"/>
  <c r="Q21" i="4"/>
  <c r="U20" i="4"/>
  <c r="R20" i="4"/>
  <c r="Q20" i="4"/>
  <c r="U19" i="4"/>
  <c r="U23" i="4"/>
  <c r="T19" i="4"/>
  <c r="T23" i="4"/>
  <c r="R19" i="4"/>
  <c r="R23" i="4"/>
  <c r="Q19" i="4"/>
  <c r="Q23" i="4"/>
  <c r="U13" i="4"/>
  <c r="U36" i="4"/>
  <c r="U38" i="4"/>
  <c r="T13" i="4"/>
  <c r="T36" i="4"/>
  <c r="T38" i="4"/>
  <c r="S13" i="4"/>
  <c r="S36" i="4"/>
  <c r="S38" i="4"/>
  <c r="R13" i="4"/>
  <c r="R36" i="4"/>
  <c r="R38" i="4"/>
  <c r="Q13" i="4"/>
  <c r="Q36" i="4"/>
  <c r="Q38" i="4"/>
  <c r="U11" i="4"/>
  <c r="U12" i="4"/>
  <c r="U35" i="4"/>
  <c r="Q11" i="4"/>
  <c r="Q12" i="4"/>
  <c r="Q35" i="4"/>
  <c r="U15" i="4"/>
  <c r="T11" i="4"/>
  <c r="S11" i="4"/>
  <c r="S12" i="4"/>
  <c r="R11" i="4"/>
  <c r="R12" i="4"/>
  <c r="R35" i="4"/>
  <c r="Q15" i="4"/>
  <c r="S35" i="4"/>
  <c r="S15" i="4"/>
  <c r="T31" i="4"/>
  <c r="T12" i="4"/>
  <c r="T35" i="4"/>
  <c r="R15" i="4"/>
  <c r="T1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V27" i="4"/>
  <c r="W27" i="4"/>
  <c r="X27" i="4"/>
  <c r="Y27" i="4"/>
  <c r="Z27" i="4"/>
  <c r="B27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V19" i="4"/>
  <c r="W19" i="4"/>
  <c r="X19" i="4"/>
  <c r="Y19" i="4"/>
  <c r="Z19" i="4"/>
  <c r="B1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V11" i="4"/>
  <c r="W11" i="4"/>
  <c r="X11" i="4"/>
  <c r="Y11" i="4"/>
  <c r="Z11" i="4"/>
  <c r="B11" i="4"/>
  <c r="B13" i="4"/>
  <c r="B12" i="4"/>
  <c r="B15" i="4"/>
  <c r="B14" i="4"/>
  <c r="F13" i="4"/>
  <c r="F12" i="4"/>
  <c r="F15" i="4"/>
  <c r="C13" i="4"/>
  <c r="C12" i="4"/>
  <c r="C15" i="4"/>
  <c r="C21" i="4"/>
  <c r="C20" i="4"/>
  <c r="C23" i="4"/>
  <c r="I21" i="4"/>
  <c r="I13" i="4"/>
  <c r="I12" i="4"/>
  <c r="I15" i="4"/>
  <c r="C29" i="4"/>
  <c r="C28" i="4"/>
  <c r="C31" i="4"/>
  <c r="V20" i="4"/>
  <c r="V23" i="4"/>
  <c r="V12" i="4"/>
  <c r="N29" i="4"/>
  <c r="N21" i="4"/>
  <c r="N13" i="4"/>
  <c r="N12" i="4"/>
  <c r="N15" i="4"/>
  <c r="Y37" i="4"/>
  <c r="W37" i="4"/>
  <c r="V37" i="4"/>
  <c r="P37" i="4"/>
  <c r="N37" i="4"/>
  <c r="M37" i="4"/>
  <c r="K37" i="4"/>
  <c r="J37" i="4"/>
  <c r="I37" i="4"/>
  <c r="H37" i="4"/>
  <c r="G37" i="4"/>
  <c r="F37" i="4"/>
  <c r="E37" i="4"/>
  <c r="D37" i="4"/>
  <c r="C37" i="4"/>
  <c r="Z34" i="4"/>
  <c r="Y34" i="4"/>
  <c r="X34" i="4"/>
  <c r="W34" i="4"/>
  <c r="V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Z33" i="4"/>
  <c r="Y33" i="4"/>
  <c r="X33" i="4"/>
  <c r="W33" i="4"/>
  <c r="V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O30" i="4"/>
  <c r="L30" i="4"/>
  <c r="B30" i="4"/>
  <c r="Z29" i="4"/>
  <c r="Z28" i="4"/>
  <c r="Z31" i="4"/>
  <c r="Y29" i="4"/>
  <c r="X29" i="4"/>
  <c r="X28" i="4"/>
  <c r="X31" i="4"/>
  <c r="W28" i="4"/>
  <c r="W31" i="4"/>
  <c r="V28" i="4"/>
  <c r="V31" i="4"/>
  <c r="P29" i="4"/>
  <c r="O29" i="4"/>
  <c r="O28" i="4"/>
  <c r="O31" i="4"/>
  <c r="M29" i="4"/>
  <c r="M28" i="4"/>
  <c r="M31" i="4"/>
  <c r="L29" i="4"/>
  <c r="L28" i="4"/>
  <c r="L31" i="4"/>
  <c r="K29" i="4"/>
  <c r="K28" i="4"/>
  <c r="K31" i="4"/>
  <c r="J29" i="4"/>
  <c r="J28" i="4"/>
  <c r="J31" i="4"/>
  <c r="I29" i="4"/>
  <c r="I28" i="4"/>
  <c r="I31" i="4"/>
  <c r="H29" i="4"/>
  <c r="H28" i="4"/>
  <c r="H31" i="4"/>
  <c r="G29" i="4"/>
  <c r="G28" i="4"/>
  <c r="G31" i="4"/>
  <c r="E29" i="4"/>
  <c r="E28" i="4"/>
  <c r="E31" i="4"/>
  <c r="D29" i="4"/>
  <c r="D28" i="4"/>
  <c r="D31" i="4"/>
  <c r="B29" i="4"/>
  <c r="B28" i="4"/>
  <c r="B31" i="4"/>
  <c r="Y28" i="4"/>
  <c r="Y31" i="4"/>
  <c r="P28" i="4"/>
  <c r="P31" i="4"/>
  <c r="N28" i="4"/>
  <c r="N31" i="4"/>
  <c r="O22" i="4"/>
  <c r="L22" i="4"/>
  <c r="B22" i="4"/>
  <c r="Z21" i="4"/>
  <c r="Z20" i="4"/>
  <c r="Z23" i="4"/>
  <c r="Y21" i="4"/>
  <c r="X21" i="4"/>
  <c r="P21" i="4"/>
  <c r="O21" i="4"/>
  <c r="M21" i="4"/>
  <c r="M20" i="4"/>
  <c r="M23" i="4"/>
  <c r="L21" i="4"/>
  <c r="L20" i="4"/>
  <c r="L23" i="4"/>
  <c r="K21" i="4"/>
  <c r="K20" i="4"/>
  <c r="K23" i="4"/>
  <c r="J21" i="4"/>
  <c r="J20" i="4"/>
  <c r="J23" i="4"/>
  <c r="H21" i="4"/>
  <c r="H20" i="4"/>
  <c r="H23" i="4"/>
  <c r="G21" i="4"/>
  <c r="G20" i="4"/>
  <c r="G23" i="4"/>
  <c r="F21" i="4"/>
  <c r="F20" i="4"/>
  <c r="F23" i="4"/>
  <c r="E21" i="4"/>
  <c r="E20" i="4"/>
  <c r="E23" i="4"/>
  <c r="D21" i="4"/>
  <c r="D20" i="4"/>
  <c r="D23" i="4"/>
  <c r="B21" i="4"/>
  <c r="B20" i="4"/>
  <c r="B23" i="4"/>
  <c r="Y20" i="4"/>
  <c r="Y23" i="4"/>
  <c r="X20" i="4"/>
  <c r="X23" i="4"/>
  <c r="W20" i="4"/>
  <c r="W23" i="4"/>
  <c r="P20" i="4"/>
  <c r="P23" i="4"/>
  <c r="O20" i="4"/>
  <c r="O23" i="4"/>
  <c r="N20" i="4"/>
  <c r="N23" i="4"/>
  <c r="O14" i="4"/>
  <c r="L14" i="4"/>
  <c r="Z12" i="4"/>
  <c r="Z15" i="4"/>
  <c r="Y13" i="4"/>
  <c r="Y12" i="4"/>
  <c r="X13" i="4"/>
  <c r="X12" i="4"/>
  <c r="X15" i="4"/>
  <c r="W13" i="4"/>
  <c r="W12" i="4"/>
  <c r="P13" i="4"/>
  <c r="P12" i="4"/>
  <c r="P15" i="4"/>
  <c r="O13" i="4"/>
  <c r="O12" i="4"/>
  <c r="O15" i="4"/>
  <c r="M13" i="4"/>
  <c r="M12" i="4"/>
  <c r="M15" i="4"/>
  <c r="L13" i="4"/>
  <c r="L12" i="4"/>
  <c r="L15" i="4"/>
  <c r="K13" i="4"/>
  <c r="J13" i="4"/>
  <c r="J12" i="4"/>
  <c r="J15" i="4"/>
  <c r="H13" i="4"/>
  <c r="H12" i="4"/>
  <c r="H15" i="4"/>
  <c r="G13" i="4"/>
  <c r="G12" i="4"/>
  <c r="G15" i="4"/>
  <c r="E13" i="4"/>
  <c r="E12" i="4"/>
  <c r="E15" i="4"/>
  <c r="D13" i="4"/>
  <c r="D12" i="4"/>
  <c r="D15" i="4"/>
  <c r="K36" i="4"/>
  <c r="K38" i="4"/>
  <c r="K12" i="4"/>
  <c r="K15" i="4"/>
  <c r="C36" i="4"/>
  <c r="C38" i="4"/>
  <c r="O37" i="4"/>
  <c r="O39" i="4"/>
  <c r="Y36" i="4"/>
  <c r="Y38" i="4"/>
  <c r="E36" i="4"/>
  <c r="E38" i="4"/>
  <c r="P36" i="4"/>
  <c r="P38" i="4"/>
  <c r="I36" i="4"/>
  <c r="I38" i="4"/>
  <c r="P35" i="4"/>
  <c r="V36" i="4"/>
  <c r="V38" i="4"/>
  <c r="F35" i="4"/>
  <c r="B35" i="4"/>
  <c r="L36" i="4"/>
  <c r="L38" i="4"/>
  <c r="Z36" i="4"/>
  <c r="Z38" i="4"/>
  <c r="I20" i="4"/>
  <c r="D36" i="4"/>
  <c r="D38" i="4"/>
  <c r="M36" i="4"/>
  <c r="M38" i="4"/>
  <c r="W36" i="4"/>
  <c r="W38" i="4"/>
  <c r="H36" i="4"/>
  <c r="H38" i="4"/>
  <c r="E39" i="4"/>
  <c r="N39" i="4"/>
  <c r="X39" i="4"/>
  <c r="F39" i="4"/>
  <c r="J39" i="4"/>
  <c r="G35" i="4"/>
  <c r="D35" i="4"/>
  <c r="E35" i="4"/>
  <c r="J36" i="4"/>
  <c r="J38" i="4"/>
  <c r="O36" i="4"/>
  <c r="O38" i="4"/>
  <c r="X36" i="4"/>
  <c r="X38" i="4"/>
  <c r="L37" i="4"/>
  <c r="L39" i="4"/>
  <c r="C39" i="4"/>
  <c r="G39" i="4"/>
  <c r="K39" i="4"/>
  <c r="V39" i="4"/>
  <c r="Z39" i="4"/>
  <c r="K35" i="4"/>
  <c r="J35" i="4"/>
  <c r="N35" i="4"/>
  <c r="W35" i="4"/>
  <c r="B36" i="4"/>
  <c r="B38" i="4"/>
  <c r="G36" i="4"/>
  <c r="G38" i="4"/>
  <c r="D39" i="4"/>
  <c r="H39" i="4"/>
  <c r="M39" i="4"/>
  <c r="W39" i="4"/>
  <c r="O35" i="4"/>
  <c r="X35" i="4"/>
  <c r="I39" i="4"/>
  <c r="H35" i="4"/>
  <c r="L35" i="4"/>
  <c r="B37" i="4"/>
  <c r="B39" i="4"/>
  <c r="P39" i="4"/>
  <c r="Y39" i="4"/>
  <c r="F36" i="4"/>
  <c r="F38" i="4"/>
  <c r="Y35" i="4"/>
  <c r="M35" i="4"/>
  <c r="V35" i="4"/>
  <c r="Z35" i="4"/>
  <c r="C35" i="4"/>
  <c r="N36" i="4"/>
  <c r="N38" i="4"/>
  <c r="I35" i="4"/>
  <c r="I23" i="4"/>
</calcChain>
</file>

<file path=xl/sharedStrings.xml><?xml version="1.0" encoding="utf-8"?>
<sst xmlns="http://schemas.openxmlformats.org/spreadsheetml/2006/main" count="219" uniqueCount="121">
  <si>
    <t>도매</t>
    <phoneticPr fontId="2" type="noConversion"/>
  </si>
  <si>
    <t>도매/소매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</si>
  <si>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</si>
  <si>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</si>
  <si>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</si>
  <si>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구분</t>
    <phoneticPr fontId="2" type="noConversion"/>
  </si>
  <si>
    <t>상호</t>
    <phoneticPr fontId="2" type="noConversion"/>
  </si>
  <si>
    <t>도매/제조</t>
    <phoneticPr fontId="2" type="noConversion"/>
  </si>
  <si>
    <t>국가</t>
    <phoneticPr fontId="2" type="noConversion"/>
  </si>
  <si>
    <t>홍콩</t>
    <phoneticPr fontId="2" type="noConversion"/>
  </si>
  <si>
    <t>싱가포르</t>
    <phoneticPr fontId="2" type="noConversion"/>
  </si>
  <si>
    <t>대만</t>
    <phoneticPr fontId="2" type="noConversion"/>
  </si>
  <si>
    <t>일본</t>
    <phoneticPr fontId="2" type="noConversion"/>
  </si>
  <si>
    <t>베트남</t>
    <phoneticPr fontId="2" type="noConversion"/>
  </si>
  <si>
    <t>중국</t>
    <phoneticPr fontId="2" type="noConversion"/>
  </si>
  <si>
    <t>2013 매출</t>
    <phoneticPr fontId="2" type="noConversion"/>
  </si>
  <si>
    <t>2013 매출원가</t>
    <phoneticPr fontId="2" type="noConversion"/>
  </si>
  <si>
    <t>2013 판매관리비</t>
    <phoneticPr fontId="2" type="noConversion"/>
  </si>
  <si>
    <t>2013 영업이익</t>
    <phoneticPr fontId="2" type="noConversion"/>
  </si>
  <si>
    <t>2014 매출</t>
    <phoneticPr fontId="2" type="noConversion"/>
  </si>
  <si>
    <t>2014 매출원가</t>
    <phoneticPr fontId="2" type="noConversion"/>
  </si>
  <si>
    <t>2014 판매관리비</t>
    <phoneticPr fontId="2" type="noConversion"/>
  </si>
  <si>
    <t>2014 영업이익</t>
    <phoneticPr fontId="2" type="noConversion"/>
  </si>
  <si>
    <t>2015 매출</t>
    <phoneticPr fontId="2" type="noConversion"/>
  </si>
  <si>
    <t>2015 매출원가</t>
    <phoneticPr fontId="2" type="noConversion"/>
  </si>
  <si>
    <t>2015 판매관리비</t>
    <phoneticPr fontId="2" type="noConversion"/>
  </si>
  <si>
    <t>2015 영업이익</t>
    <phoneticPr fontId="2" type="noConversion"/>
  </si>
  <si>
    <t>매출합계</t>
    <phoneticPr fontId="2" type="noConversion"/>
  </si>
  <si>
    <t>매출원가합계</t>
    <phoneticPr fontId="2" type="noConversion"/>
  </si>
  <si>
    <t>판매관리비합계</t>
    <phoneticPr fontId="2" type="noConversion"/>
  </si>
  <si>
    <t>영업이익합계</t>
    <phoneticPr fontId="2" type="noConversion"/>
  </si>
  <si>
    <t>영업이익률(가중평균)</t>
    <phoneticPr fontId="2" type="noConversion"/>
  </si>
  <si>
    <t>R&amp;D비률(가중평균)</t>
    <phoneticPr fontId="2" type="noConversion"/>
  </si>
  <si>
    <t>2013 R&amp;D비용</t>
    <phoneticPr fontId="2" type="noConversion"/>
  </si>
  <si>
    <t>2014 R&amp;D비용</t>
    <phoneticPr fontId="2" type="noConversion"/>
  </si>
  <si>
    <t>2015 R&amp;D비용</t>
    <phoneticPr fontId="2" type="noConversion"/>
  </si>
  <si>
    <t>제조</t>
    <phoneticPr fontId="2" type="noConversion"/>
  </si>
  <si>
    <t>홈페이지 검색 결과 도매를 주업종으로 하는 것으로 확인됨</t>
    <phoneticPr fontId="2" type="noConversion"/>
  </si>
  <si>
    <t>추가정보</t>
    <phoneticPr fontId="2" type="noConversion"/>
  </si>
  <si>
    <t>자동차부품</t>
    <phoneticPr fontId="2" type="noConversion"/>
  </si>
  <si>
    <t>가구</t>
    <phoneticPr fontId="2" type="noConversion"/>
  </si>
  <si>
    <t>전자기기부품</t>
    <phoneticPr fontId="2" type="noConversion"/>
  </si>
  <si>
    <t>기업규모</t>
    <phoneticPr fontId="2" type="noConversion"/>
  </si>
  <si>
    <t>small</t>
    <phoneticPr fontId="2" type="noConversion"/>
  </si>
  <si>
    <t>부적정</t>
    <phoneticPr fontId="2" type="noConversion"/>
  </si>
  <si>
    <t>적정</t>
    <phoneticPr fontId="2" type="noConversion"/>
  </si>
  <si>
    <t>사무용 가구</t>
    <phoneticPr fontId="2" type="noConversion"/>
  </si>
  <si>
    <t xml:space="preserve"> </t>
    <phoneticPr fontId="2" type="noConversion"/>
  </si>
  <si>
    <t>핸드폰용 전자부품</t>
    <phoneticPr fontId="2" type="noConversion"/>
  </si>
  <si>
    <t>홈페이지 검색 결과 제조를 주업종으로 하는 것으로 확인됨</t>
    <phoneticPr fontId="2" type="noConversion"/>
  </si>
  <si>
    <t>US-SIC(업종코드)</t>
    <phoneticPr fontId="2" type="noConversion"/>
  </si>
  <si>
    <t>BvD Independence Indicator(독립성지표)</t>
    <phoneticPr fontId="2" type="noConversion"/>
  </si>
  <si>
    <t>Very Large</t>
    <phoneticPr fontId="2" type="noConversion"/>
  </si>
  <si>
    <t>Medium</t>
    <phoneticPr fontId="2" type="noConversion"/>
  </si>
  <si>
    <t>감사의견</t>
    <phoneticPr fontId="2" type="noConversion"/>
  </si>
  <si>
    <t>R&amp;D비용합계</t>
    <phoneticPr fontId="2" type="noConversion"/>
  </si>
  <si>
    <t>업태</t>
    <phoneticPr fontId="2" type="noConversion"/>
  </si>
  <si>
    <t>종목</t>
    <phoneticPr fontId="2" type="noConversion"/>
  </si>
  <si>
    <t>2013 매출총이익</t>
    <phoneticPr fontId="2" type="noConversion"/>
  </si>
  <si>
    <t>2013 Berry Ratio</t>
    <phoneticPr fontId="2" type="noConversion"/>
  </si>
  <si>
    <t>2014 매출총이익</t>
    <phoneticPr fontId="2" type="noConversion"/>
  </si>
  <si>
    <t>2014 Berry Ratio</t>
    <phoneticPr fontId="2" type="noConversion"/>
  </si>
  <si>
    <t>2015 매출총이익</t>
    <phoneticPr fontId="2" type="noConversion"/>
  </si>
  <si>
    <t>2015 Berry Ratio</t>
    <phoneticPr fontId="2" type="noConversion"/>
  </si>
  <si>
    <t>홈페이지 검색결과 제조를 주업종으로 하고 있는 것으로 파악됨</t>
    <phoneticPr fontId="2" type="noConversion"/>
  </si>
  <si>
    <t>독일</t>
    <phoneticPr fontId="2" type="noConversion"/>
  </si>
  <si>
    <t>가전제품 전자부품</t>
    <phoneticPr fontId="2" type="noConversion"/>
  </si>
  <si>
    <t>전기청소기 전자부품</t>
    <phoneticPr fontId="2" type="noConversion"/>
  </si>
  <si>
    <t>A사</t>
    <phoneticPr fontId="2" type="noConversion"/>
  </si>
  <si>
    <t>B사</t>
    <phoneticPr fontId="2" type="noConversion"/>
  </si>
  <si>
    <t>C사</t>
    <phoneticPr fontId="2" type="noConversion"/>
  </si>
  <si>
    <t>D사</t>
    <phoneticPr fontId="2" type="noConversion"/>
  </si>
  <si>
    <t>E사</t>
    <phoneticPr fontId="2" type="noConversion"/>
  </si>
  <si>
    <t>F사</t>
    <phoneticPr fontId="2" type="noConversion"/>
  </si>
  <si>
    <t>G사</t>
    <phoneticPr fontId="2" type="noConversion"/>
  </si>
  <si>
    <t>H사</t>
    <phoneticPr fontId="2" type="noConversion"/>
  </si>
  <si>
    <t>I사</t>
    <phoneticPr fontId="2" type="noConversion"/>
  </si>
  <si>
    <t>J사</t>
    <phoneticPr fontId="2" type="noConversion"/>
  </si>
  <si>
    <t>K사</t>
    <phoneticPr fontId="2" type="noConversion"/>
  </si>
  <si>
    <t>L사</t>
    <phoneticPr fontId="2" type="noConversion"/>
  </si>
  <si>
    <t>M사</t>
    <phoneticPr fontId="2" type="noConversion"/>
  </si>
  <si>
    <t>N사</t>
    <phoneticPr fontId="2" type="noConversion"/>
  </si>
  <si>
    <t>O사</t>
    <phoneticPr fontId="2" type="noConversion"/>
  </si>
  <si>
    <t>P사</t>
    <phoneticPr fontId="2" type="noConversion"/>
  </si>
  <si>
    <t>Q사</t>
    <phoneticPr fontId="2" type="noConversion"/>
  </si>
  <si>
    <t>R사</t>
    <phoneticPr fontId="2" type="noConversion"/>
  </si>
  <si>
    <t>S사</t>
    <phoneticPr fontId="2" type="noConversion"/>
  </si>
  <si>
    <t>T사</t>
    <phoneticPr fontId="2" type="noConversion"/>
  </si>
  <si>
    <t>U사</t>
    <phoneticPr fontId="2" type="noConversion"/>
  </si>
  <si>
    <t>V사</t>
    <phoneticPr fontId="2" type="noConversion"/>
  </si>
  <si>
    <t>W사</t>
    <phoneticPr fontId="2" type="noConversion"/>
  </si>
  <si>
    <t>X사</t>
    <phoneticPr fontId="2" type="noConversion"/>
  </si>
  <si>
    <t>Y사</t>
    <phoneticPr fontId="2" type="noConversion"/>
  </si>
  <si>
    <t>영국</t>
    <phoneticPr fontId="2" type="noConversion"/>
  </si>
  <si>
    <t>인도</t>
    <phoneticPr fontId="2" type="noConversion"/>
  </si>
  <si>
    <t>태국</t>
    <phoneticPr fontId="2" type="noConversion"/>
  </si>
  <si>
    <t>한국</t>
    <phoneticPr fontId="2" type="noConversion"/>
  </si>
  <si>
    <t>c</t>
    <phoneticPr fontId="2" type="noConversion"/>
  </si>
  <si>
    <t>의견거절</t>
    <phoneticPr fontId="2" type="noConversion"/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</si>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</sst>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176" fontId="0" fillId="2" borderId="7" xfId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2" borderId="8" xfId="1" applyFont="1" applyFill="1" applyBorder="1" applyAlignment="1">
      <alignment horizontal="center" vertical="center"/>
    </xf>
    <xf numFmtId="176" fontId="0" fillId="2" borderId="13" xfId="1" applyFont="1" applyFill="1" applyBorder="1" applyAlignment="1">
      <alignment horizontal="center" vertical="center"/>
    </xf>
    <xf numFmtId="176" fontId="0" fillId="2" borderId="1" xfId="1" applyFont="1" applyFill="1" applyBorder="1" applyAlignment="1">
      <alignment horizontal="center" vertical="center"/>
    </xf>
    <xf numFmtId="176" fontId="0" fillId="2" borderId="10" xfId="1" applyFont="1" applyFill="1" applyBorder="1" applyAlignment="1">
      <alignment horizontal="center" vertical="center"/>
    </xf>
    <xf numFmtId="177" fontId="0" fillId="2" borderId="2" xfId="1" applyNumberFormat="1" applyFont="1" applyFill="1" applyBorder="1" applyAlignment="1">
      <alignment horizontal="center" vertical="center"/>
    </xf>
    <xf numFmtId="176" fontId="0" fillId="2" borderId="4" xfId="1" applyFont="1" applyFill="1" applyBorder="1" applyAlignment="1">
      <alignment horizontal="center" vertical="center"/>
    </xf>
    <xf numFmtId="176" fontId="0" fillId="2" borderId="9" xfId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workbookViewId="0">
      <selection activeCell="F8" sqref="F8"/>
    </sheetView>
  </sheetViews>
  <sheetFormatPr defaultColWidth="9.03515625" defaultRowHeight="16.5" x14ac:dyDescent="0.25"/>
  <cols>
    <col min="1" max="1" width="20.30078125" style="5" customWidth="1"/>
    <col min="2" max="26" width="15.96875" style="5" customWidth="1"/>
    <col min="27" max="16384" width="9.03515625" style="5"/>
  </cols>
  <sheetData>
    <row r="1" spans="1:26" ht="17.25" thickBot="1" x14ac:dyDescent="0.3">
      <c r="A1" s="3" t="s">
        <v>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</row>
    <row r="2" spans="1:26" x14ac:dyDescent="0.25">
      <c r="A2" s="6" t="s">
        <v>6</v>
      </c>
      <c r="B2" s="4" t="s">
        <v>68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79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7" t="s">
        <v>87</v>
      </c>
      <c r="V2" s="4" t="s">
        <v>88</v>
      </c>
      <c r="W2" s="4" t="s">
        <v>89</v>
      </c>
      <c r="X2" s="4" t="s">
        <v>90</v>
      </c>
      <c r="Y2" s="4" t="s">
        <v>91</v>
      </c>
      <c r="Z2" s="7" t="s">
        <v>92</v>
      </c>
    </row>
    <row r="3" spans="1:26" x14ac:dyDescent="0.25">
      <c r="A3" s="8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11</v>
      </c>
      <c r="G3" s="1" t="s">
        <v>13</v>
      </c>
      <c r="H3" s="1" t="s">
        <v>95</v>
      </c>
      <c r="I3" s="1" t="s">
        <v>11</v>
      </c>
      <c r="J3" s="1" t="s">
        <v>9</v>
      </c>
      <c r="K3" s="1" t="s">
        <v>94</v>
      </c>
      <c r="L3" s="1" t="s">
        <v>12</v>
      </c>
      <c r="M3" s="1" t="s">
        <v>9</v>
      </c>
      <c r="N3" s="1" t="s">
        <v>11</v>
      </c>
      <c r="O3" s="1" t="s">
        <v>10</v>
      </c>
      <c r="P3" s="1" t="s">
        <v>93</v>
      </c>
      <c r="Q3" s="1" t="s">
        <v>12</v>
      </c>
      <c r="R3" s="1" t="s">
        <v>10</v>
      </c>
      <c r="S3" s="1" t="s">
        <v>12</v>
      </c>
      <c r="T3" s="1" t="s">
        <v>14</v>
      </c>
      <c r="U3" s="9" t="s">
        <v>65</v>
      </c>
      <c r="V3" s="1" t="s">
        <v>96</v>
      </c>
      <c r="W3" s="1" t="s">
        <v>10</v>
      </c>
      <c r="X3" s="1" t="s">
        <v>11</v>
      </c>
      <c r="Y3" s="1" t="s">
        <v>9</v>
      </c>
      <c r="Z3" s="9" t="s">
        <v>14</v>
      </c>
    </row>
    <row r="4" spans="1:26" x14ac:dyDescent="0.25">
      <c r="A4" s="8" t="s">
        <v>50</v>
      </c>
      <c r="B4" s="1">
        <v>5015</v>
      </c>
      <c r="C4" s="1">
        <v>5015</v>
      </c>
      <c r="D4" s="1">
        <v>5015</v>
      </c>
      <c r="E4" s="1">
        <v>3714</v>
      </c>
      <c r="F4" s="1">
        <v>5015</v>
      </c>
      <c r="G4" s="1">
        <v>5015</v>
      </c>
      <c r="H4" s="1">
        <v>5015</v>
      </c>
      <c r="I4" s="1">
        <v>5065</v>
      </c>
      <c r="J4" s="1">
        <v>5015</v>
      </c>
      <c r="K4" s="1">
        <v>5021</v>
      </c>
      <c r="L4" s="1">
        <v>5015</v>
      </c>
      <c r="M4" s="1">
        <v>5015</v>
      </c>
      <c r="N4" s="1">
        <v>5015</v>
      </c>
      <c r="O4" s="1">
        <v>5065</v>
      </c>
      <c r="P4" s="1">
        <v>5015</v>
      </c>
      <c r="Q4" s="1">
        <v>5015</v>
      </c>
      <c r="R4" s="1">
        <v>5065</v>
      </c>
      <c r="S4" s="1">
        <v>3714</v>
      </c>
      <c r="T4" s="1">
        <v>5065</v>
      </c>
      <c r="U4" s="9">
        <v>5015</v>
      </c>
      <c r="V4" s="1">
        <v>5015</v>
      </c>
      <c r="W4" s="1">
        <v>5065</v>
      </c>
      <c r="X4" s="1">
        <v>3714</v>
      </c>
      <c r="Y4" s="1">
        <v>5065</v>
      </c>
      <c r="Z4" s="9">
        <v>5015</v>
      </c>
    </row>
    <row r="5" spans="1:26" x14ac:dyDescent="0.25">
      <c r="A5" s="8" t="s">
        <v>56</v>
      </c>
      <c r="B5" s="1" t="s">
        <v>0</v>
      </c>
      <c r="C5" s="1" t="s">
        <v>0</v>
      </c>
      <c r="D5" s="1" t="s">
        <v>1</v>
      </c>
      <c r="E5" s="1" t="s">
        <v>36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7</v>
      </c>
      <c r="M5" s="1" t="s">
        <v>0</v>
      </c>
      <c r="N5" s="1" t="s">
        <v>0</v>
      </c>
      <c r="O5" s="1" t="s">
        <v>7</v>
      </c>
      <c r="P5" s="1" t="s">
        <v>0</v>
      </c>
      <c r="Q5" s="1" t="s">
        <v>0</v>
      </c>
      <c r="R5" s="1" t="s">
        <v>0</v>
      </c>
      <c r="S5" s="1" t="s">
        <v>36</v>
      </c>
      <c r="T5" s="1" t="s">
        <v>0</v>
      </c>
      <c r="U5" s="9" t="s">
        <v>0</v>
      </c>
      <c r="V5" s="1" t="s">
        <v>0</v>
      </c>
      <c r="W5" s="1" t="s">
        <v>0</v>
      </c>
      <c r="X5" s="1" t="s">
        <v>36</v>
      </c>
      <c r="Y5" s="1" t="s">
        <v>0</v>
      </c>
      <c r="Z5" s="9" t="s">
        <v>0</v>
      </c>
    </row>
    <row r="6" spans="1:26" s="13" customFormat="1" x14ac:dyDescent="0.25">
      <c r="A6" s="10" t="s">
        <v>57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41</v>
      </c>
      <c r="J6" s="2" t="s">
        <v>39</v>
      </c>
      <c r="K6" s="2" t="s">
        <v>40</v>
      </c>
      <c r="L6" s="2" t="s">
        <v>39</v>
      </c>
      <c r="M6" s="2" t="s">
        <v>39</v>
      </c>
      <c r="N6" s="2" t="s">
        <v>39</v>
      </c>
      <c r="O6" s="2" t="s">
        <v>41</v>
      </c>
      <c r="P6" s="2" t="s">
        <v>39</v>
      </c>
      <c r="Q6" s="2" t="s">
        <v>39</v>
      </c>
      <c r="R6" s="2" t="s">
        <v>41</v>
      </c>
      <c r="S6" s="2" t="s">
        <v>39</v>
      </c>
      <c r="T6" s="2" t="s">
        <v>41</v>
      </c>
      <c r="U6" s="12" t="s">
        <v>39</v>
      </c>
      <c r="V6" s="2" t="s">
        <v>39</v>
      </c>
      <c r="W6" s="2" t="s">
        <v>41</v>
      </c>
      <c r="X6" s="2" t="s">
        <v>39</v>
      </c>
      <c r="Y6" s="2" t="s">
        <v>41</v>
      </c>
      <c r="Z6" s="12" t="s">
        <v>39</v>
      </c>
    </row>
    <row r="7" spans="1:26" s="13" customFormat="1" ht="30" x14ac:dyDescent="0.25">
      <c r="A7" s="11" t="s">
        <v>51</v>
      </c>
      <c r="B7" s="2" t="s">
        <v>3</v>
      </c>
      <c r="C7" s="2" t="s">
        <v>2</v>
      </c>
      <c r="D7" s="2" t="s">
        <v>2</v>
      </c>
      <c r="E7" s="2" t="s">
        <v>3</v>
      </c>
      <c r="F7" s="2" t="s">
        <v>3</v>
      </c>
      <c r="G7" s="2" t="s">
        <v>2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2</v>
      </c>
      <c r="N7" s="2" t="s">
        <v>4</v>
      </c>
      <c r="O7" s="2" t="s">
        <v>2</v>
      </c>
      <c r="P7" s="2" t="s">
        <v>2</v>
      </c>
      <c r="Q7" s="2" t="s">
        <v>2</v>
      </c>
      <c r="R7" s="2" t="s">
        <v>3</v>
      </c>
      <c r="S7" s="2" t="s">
        <v>3</v>
      </c>
      <c r="T7" s="2" t="s">
        <v>97</v>
      </c>
      <c r="U7" s="12" t="s">
        <v>2</v>
      </c>
      <c r="V7" s="2" t="s">
        <v>97</v>
      </c>
      <c r="W7" s="2" t="s">
        <v>3</v>
      </c>
      <c r="X7" s="2" t="s">
        <v>3</v>
      </c>
      <c r="Y7" s="2" t="s">
        <v>3</v>
      </c>
      <c r="Z7" s="12" t="s">
        <v>2</v>
      </c>
    </row>
    <row r="8" spans="1:26" s="13" customFormat="1" x14ac:dyDescent="0.25">
      <c r="A8" s="10" t="s">
        <v>42</v>
      </c>
      <c r="B8" s="2" t="s">
        <v>99</v>
      </c>
      <c r="C8" s="2" t="s">
        <v>53</v>
      </c>
      <c r="D8" s="2" t="s">
        <v>43</v>
      </c>
      <c r="E8" s="2" t="s">
        <v>53</v>
      </c>
      <c r="F8" s="2" t="s">
        <v>99</v>
      </c>
      <c r="G8" s="2" t="s">
        <v>53</v>
      </c>
      <c r="H8" s="2" t="s">
        <v>53</v>
      </c>
      <c r="I8" s="2" t="s">
        <v>53</v>
      </c>
      <c r="J8" s="2" t="s">
        <v>53</v>
      </c>
      <c r="K8" s="2" t="s">
        <v>53</v>
      </c>
      <c r="L8" s="2" t="s">
        <v>53</v>
      </c>
      <c r="M8" s="2" t="s">
        <v>43</v>
      </c>
      <c r="N8" s="2" t="s">
        <v>53</v>
      </c>
      <c r="O8" s="2" t="s">
        <v>53</v>
      </c>
      <c r="P8" s="2" t="s">
        <v>52</v>
      </c>
      <c r="Q8" s="2" t="s">
        <v>99</v>
      </c>
      <c r="R8" s="2" t="s">
        <v>53</v>
      </c>
      <c r="S8" s="2" t="s">
        <v>99</v>
      </c>
      <c r="T8" s="2" t="s">
        <v>53</v>
      </c>
      <c r="U8" s="12" t="s">
        <v>99</v>
      </c>
      <c r="V8" s="2" t="s">
        <v>99</v>
      </c>
      <c r="W8" s="2" t="s">
        <v>99</v>
      </c>
      <c r="X8" s="2" t="s">
        <v>99</v>
      </c>
      <c r="Y8" s="2" t="s">
        <v>53</v>
      </c>
      <c r="Z8" s="12" t="s">
        <v>53</v>
      </c>
    </row>
    <row r="9" spans="1:26" x14ac:dyDescent="0.25">
      <c r="A9" s="14" t="s">
        <v>15</v>
      </c>
      <c r="B9" s="21">
        <v>10000</v>
      </c>
      <c r="C9" s="21">
        <v>120000</v>
      </c>
      <c r="D9" s="21">
        <v>900</v>
      </c>
      <c r="E9" s="21">
        <v>15000</v>
      </c>
      <c r="F9" s="21">
        <v>70000</v>
      </c>
      <c r="G9" s="21">
        <v>90000</v>
      </c>
      <c r="H9" s="21">
        <v>150000</v>
      </c>
      <c r="I9" s="21">
        <v>250000</v>
      </c>
      <c r="J9" s="21">
        <v>310000</v>
      </c>
      <c r="K9" s="21">
        <v>770000</v>
      </c>
      <c r="L9" s="21">
        <v>250000</v>
      </c>
      <c r="M9" s="21">
        <v>1200</v>
      </c>
      <c r="N9" s="21">
        <v>350000</v>
      </c>
      <c r="O9" s="21">
        <v>430000</v>
      </c>
      <c r="P9" s="21">
        <v>15000000</v>
      </c>
      <c r="Q9" s="21">
        <v>650000</v>
      </c>
      <c r="R9" s="21">
        <v>230000</v>
      </c>
      <c r="S9" s="21">
        <v>950000</v>
      </c>
      <c r="T9" s="21">
        <v>340000</v>
      </c>
      <c r="U9" s="22">
        <v>230000</v>
      </c>
      <c r="V9" s="21">
        <v>750000</v>
      </c>
      <c r="W9" s="21">
        <v>230000</v>
      </c>
      <c r="X9" s="21">
        <v>950000</v>
      </c>
      <c r="Y9" s="21">
        <v>340000</v>
      </c>
      <c r="Z9" s="22">
        <v>250000</v>
      </c>
    </row>
    <row r="10" spans="1:26" x14ac:dyDescent="0.25">
      <c r="A10" s="8" t="s">
        <v>16</v>
      </c>
      <c r="B10" s="23">
        <v>8000</v>
      </c>
      <c r="C10" s="23">
        <v>90000</v>
      </c>
      <c r="D10" s="23">
        <v>650</v>
      </c>
      <c r="E10" s="23">
        <v>11000</v>
      </c>
      <c r="F10" s="23">
        <v>55000</v>
      </c>
      <c r="G10" s="23">
        <v>65000</v>
      </c>
      <c r="H10" s="23">
        <v>110000</v>
      </c>
      <c r="I10" s="23">
        <v>210000</v>
      </c>
      <c r="J10" s="23">
        <v>270000</v>
      </c>
      <c r="K10" s="23">
        <v>650000</v>
      </c>
      <c r="L10" s="23">
        <v>195000</v>
      </c>
      <c r="M10" s="23">
        <v>850</v>
      </c>
      <c r="N10" s="23">
        <v>280000</v>
      </c>
      <c r="O10" s="23">
        <v>370000</v>
      </c>
      <c r="P10" s="23">
        <v>11000000</v>
      </c>
      <c r="Q10" s="23">
        <v>450000</v>
      </c>
      <c r="R10" s="23">
        <v>170000</v>
      </c>
      <c r="S10" s="23">
        <v>720000</v>
      </c>
      <c r="T10" s="23">
        <v>230000</v>
      </c>
      <c r="U10" s="24">
        <v>170000</v>
      </c>
      <c r="V10" s="23">
        <v>510000</v>
      </c>
      <c r="W10" s="23">
        <v>170000</v>
      </c>
      <c r="X10" s="23">
        <v>720000</v>
      </c>
      <c r="Y10" s="23">
        <v>230000</v>
      </c>
      <c r="Z10" s="24">
        <v>175000</v>
      </c>
    </row>
    <row r="11" spans="1:26" x14ac:dyDescent="0.25">
      <c r="A11" s="8" t="s">
        <v>58</v>
      </c>
      <c r="B11" s="23">
        <f>B9-B10</f>
        <v>2000</v>
      </c>
      <c r="C11" s="23">
        <f t="shared" ref="C11:Z11" si="0">C9-C10</f>
        <v>30000</v>
      </c>
      <c r="D11" s="23">
        <f t="shared" si="0"/>
        <v>250</v>
      </c>
      <c r="E11" s="23">
        <f t="shared" si="0"/>
        <v>4000</v>
      </c>
      <c r="F11" s="23">
        <f t="shared" si="0"/>
        <v>15000</v>
      </c>
      <c r="G11" s="23">
        <f t="shared" si="0"/>
        <v>25000</v>
      </c>
      <c r="H11" s="23">
        <f t="shared" si="0"/>
        <v>40000</v>
      </c>
      <c r="I11" s="23">
        <f t="shared" si="0"/>
        <v>40000</v>
      </c>
      <c r="J11" s="23">
        <f t="shared" si="0"/>
        <v>40000</v>
      </c>
      <c r="K11" s="23">
        <f t="shared" si="0"/>
        <v>120000</v>
      </c>
      <c r="L11" s="23">
        <f t="shared" si="0"/>
        <v>55000</v>
      </c>
      <c r="M11" s="23">
        <f t="shared" si="0"/>
        <v>350</v>
      </c>
      <c r="N11" s="23">
        <f t="shared" si="0"/>
        <v>70000</v>
      </c>
      <c r="O11" s="23">
        <f t="shared" si="0"/>
        <v>60000</v>
      </c>
      <c r="P11" s="23">
        <f t="shared" si="0"/>
        <v>4000000</v>
      </c>
      <c r="Q11" s="23">
        <f t="shared" ref="Q11:U11" si="1">Q9-Q10</f>
        <v>200000</v>
      </c>
      <c r="R11" s="23">
        <f t="shared" si="1"/>
        <v>60000</v>
      </c>
      <c r="S11" s="23">
        <f t="shared" si="1"/>
        <v>230000</v>
      </c>
      <c r="T11" s="23">
        <f t="shared" si="1"/>
        <v>110000</v>
      </c>
      <c r="U11" s="23">
        <f t="shared" si="1"/>
        <v>60000</v>
      </c>
      <c r="V11" s="23">
        <f t="shared" si="0"/>
        <v>240000</v>
      </c>
      <c r="W11" s="23">
        <f t="shared" si="0"/>
        <v>60000</v>
      </c>
      <c r="X11" s="23">
        <f t="shared" si="0"/>
        <v>230000</v>
      </c>
      <c r="Y11" s="23">
        <f t="shared" si="0"/>
        <v>110000</v>
      </c>
      <c r="Z11" s="23">
        <f t="shared" si="0"/>
        <v>75000</v>
      </c>
    </row>
    <row r="12" spans="1:26" x14ac:dyDescent="0.25">
      <c r="A12" s="8" t="s">
        <v>17</v>
      </c>
      <c r="B12" s="23">
        <f>B11-B13</f>
        <v>1850</v>
      </c>
      <c r="C12" s="23">
        <f t="shared" ref="C12:Z12" si="2">C11-C13</f>
        <v>26520</v>
      </c>
      <c r="D12" s="23">
        <f t="shared" si="2"/>
        <v>214</v>
      </c>
      <c r="E12" s="23">
        <f t="shared" si="2"/>
        <v>3700</v>
      </c>
      <c r="F12" s="23">
        <f t="shared" si="2"/>
        <v>18500</v>
      </c>
      <c r="G12" s="23">
        <f t="shared" si="2"/>
        <v>20500</v>
      </c>
      <c r="H12" s="23">
        <f t="shared" si="2"/>
        <v>36100</v>
      </c>
      <c r="I12" s="23">
        <f t="shared" si="2"/>
        <v>34750</v>
      </c>
      <c r="J12" s="23">
        <f t="shared" si="2"/>
        <v>52710</v>
      </c>
      <c r="K12" s="23">
        <f t="shared" si="2"/>
        <v>93050</v>
      </c>
      <c r="L12" s="23">
        <f t="shared" si="2"/>
        <v>48750</v>
      </c>
      <c r="M12" s="23">
        <f t="shared" si="2"/>
        <v>324.8</v>
      </c>
      <c r="N12" s="23">
        <f t="shared" si="2"/>
        <v>64050</v>
      </c>
      <c r="O12" s="23">
        <f t="shared" si="2"/>
        <v>59570</v>
      </c>
      <c r="P12" s="23">
        <f t="shared" si="2"/>
        <v>3535000</v>
      </c>
      <c r="Q12" s="23">
        <f t="shared" ref="Q12:U12" si="3">Q11-Q13</f>
        <v>182450</v>
      </c>
      <c r="R12" s="23">
        <f t="shared" si="3"/>
        <v>63450</v>
      </c>
      <c r="S12" s="23">
        <f t="shared" si="3"/>
        <v>204350</v>
      </c>
      <c r="T12" s="23">
        <f t="shared" si="3"/>
        <v>91300</v>
      </c>
      <c r="U12" s="23">
        <f t="shared" si="3"/>
        <v>51950</v>
      </c>
      <c r="V12" s="23">
        <f t="shared" si="2"/>
        <v>201750</v>
      </c>
      <c r="W12" s="23">
        <f t="shared" si="2"/>
        <v>63450</v>
      </c>
      <c r="X12" s="23">
        <f t="shared" si="2"/>
        <v>204350</v>
      </c>
      <c r="Y12" s="23">
        <f t="shared" si="2"/>
        <v>91300</v>
      </c>
      <c r="Z12" s="23">
        <f t="shared" si="2"/>
        <v>63750</v>
      </c>
    </row>
    <row r="13" spans="1:26" x14ac:dyDescent="0.25">
      <c r="A13" s="8" t="s">
        <v>18</v>
      </c>
      <c r="B13" s="23">
        <f>B9*1.5%</f>
        <v>150</v>
      </c>
      <c r="C13" s="23">
        <f>C9*2.9%</f>
        <v>3479.9999999999995</v>
      </c>
      <c r="D13" s="23">
        <f>D9*4%</f>
        <v>36</v>
      </c>
      <c r="E13" s="23">
        <f>E9*2%</f>
        <v>300</v>
      </c>
      <c r="F13" s="23">
        <f>F9*-5%</f>
        <v>-3500</v>
      </c>
      <c r="G13" s="23">
        <f>G9*5%</f>
        <v>4500</v>
      </c>
      <c r="H13" s="23">
        <f>H9*2.6%</f>
        <v>3900.0000000000005</v>
      </c>
      <c r="I13" s="23">
        <f>I9*2.1%</f>
        <v>5250</v>
      </c>
      <c r="J13" s="23">
        <f>J9*-4.1%</f>
        <v>-12709.999999999998</v>
      </c>
      <c r="K13" s="23">
        <f>K9*3.5%</f>
        <v>26950.000000000004</v>
      </c>
      <c r="L13" s="23">
        <f>L9*2.5%</f>
        <v>6250</v>
      </c>
      <c r="M13" s="23">
        <f>M9*2.1%</f>
        <v>25.200000000000003</v>
      </c>
      <c r="N13" s="23">
        <f>N9*1.7%</f>
        <v>5950</v>
      </c>
      <c r="O13" s="23">
        <f>O9*0.1%</f>
        <v>430</v>
      </c>
      <c r="P13" s="23">
        <f>P9*3.1%</f>
        <v>465000</v>
      </c>
      <c r="Q13" s="23">
        <f>Q9*2.7%</f>
        <v>17550.000000000004</v>
      </c>
      <c r="R13" s="23">
        <f>R9*-1.5%</f>
        <v>-3450</v>
      </c>
      <c r="S13" s="23">
        <f>S9*2.7%</f>
        <v>25650.000000000004</v>
      </c>
      <c r="T13" s="23">
        <f>T9*5.5%</f>
        <v>18700</v>
      </c>
      <c r="U13" s="24">
        <f>U9*3.5%</f>
        <v>8050.0000000000009</v>
      </c>
      <c r="V13" s="23">
        <f>V9*5.1%</f>
        <v>38250</v>
      </c>
      <c r="W13" s="23">
        <f>W9*-1.5%</f>
        <v>-3450</v>
      </c>
      <c r="X13" s="23">
        <f>X9*2.7%</f>
        <v>25650.000000000004</v>
      </c>
      <c r="Y13" s="23">
        <f>Y9*5.5%</f>
        <v>18700</v>
      </c>
      <c r="Z13" s="24">
        <f>Z9*4.5%</f>
        <v>11250</v>
      </c>
    </row>
    <row r="14" spans="1:26" x14ac:dyDescent="0.25">
      <c r="A14" s="8" t="s">
        <v>33</v>
      </c>
      <c r="B14" s="23">
        <f>B9*1.6%</f>
        <v>160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23">
        <f>L9*7%</f>
        <v>17500</v>
      </c>
      <c r="M14" s="1"/>
      <c r="N14" s="1"/>
      <c r="O14" s="23">
        <f>O9*0.4%</f>
        <v>1720</v>
      </c>
      <c r="P14" s="1"/>
      <c r="Q14" s="1"/>
      <c r="R14" s="1"/>
      <c r="S14" s="1"/>
      <c r="T14" s="1"/>
      <c r="U14" s="9"/>
      <c r="V14" s="1"/>
      <c r="W14" s="1"/>
      <c r="X14" s="1"/>
      <c r="Y14" s="1"/>
      <c r="Z14" s="9"/>
    </row>
    <row r="15" spans="1:26" x14ac:dyDescent="0.25">
      <c r="A15" s="17" t="s">
        <v>59</v>
      </c>
      <c r="B15" s="25">
        <f>B11/B12</f>
        <v>1.0810810810810811</v>
      </c>
      <c r="C15" s="25">
        <f t="shared" ref="C15:Z15" si="4">C11/C12</f>
        <v>1.1312217194570136</v>
      </c>
      <c r="D15" s="25">
        <f t="shared" si="4"/>
        <v>1.1682242990654206</v>
      </c>
      <c r="E15" s="25">
        <f t="shared" si="4"/>
        <v>1.0810810810810811</v>
      </c>
      <c r="F15" s="25">
        <f t="shared" si="4"/>
        <v>0.81081081081081086</v>
      </c>
      <c r="G15" s="25">
        <f t="shared" si="4"/>
        <v>1.2195121951219512</v>
      </c>
      <c r="H15" s="25">
        <f t="shared" si="4"/>
        <v>1.10803324099723</v>
      </c>
      <c r="I15" s="25">
        <f t="shared" si="4"/>
        <v>1.1510791366906474</v>
      </c>
      <c r="J15" s="25">
        <f t="shared" si="4"/>
        <v>0.75886928476569915</v>
      </c>
      <c r="K15" s="25">
        <f t="shared" si="4"/>
        <v>1.2896292315959161</v>
      </c>
      <c r="L15" s="25">
        <f t="shared" si="4"/>
        <v>1.1282051282051282</v>
      </c>
      <c r="M15" s="25">
        <f t="shared" si="4"/>
        <v>1.0775862068965516</v>
      </c>
      <c r="N15" s="25">
        <f t="shared" si="4"/>
        <v>1.0928961748633881</v>
      </c>
      <c r="O15" s="25">
        <f t="shared" si="4"/>
        <v>1.0072183985227463</v>
      </c>
      <c r="P15" s="25">
        <f t="shared" si="4"/>
        <v>1.1315417256011315</v>
      </c>
      <c r="Q15" s="25">
        <f t="shared" ref="Q15:U15" si="5">Q11/Q12</f>
        <v>1.0961907371882709</v>
      </c>
      <c r="R15" s="25">
        <f t="shared" si="5"/>
        <v>0.94562647754137119</v>
      </c>
      <c r="S15" s="25">
        <f t="shared" si="5"/>
        <v>1.1255199412772205</v>
      </c>
      <c r="T15" s="25">
        <f t="shared" si="5"/>
        <v>1.2048192771084338</v>
      </c>
      <c r="U15" s="25">
        <f t="shared" si="5"/>
        <v>1.1549566891241578</v>
      </c>
      <c r="V15" s="25">
        <v>0.8</v>
      </c>
      <c r="W15" s="25">
        <v>0.8</v>
      </c>
      <c r="X15" s="25">
        <f t="shared" si="4"/>
        <v>1.1255199412772205</v>
      </c>
      <c r="Y15" s="25">
        <v>1.4</v>
      </c>
      <c r="Z15" s="25">
        <f t="shared" si="4"/>
        <v>1.1764705882352942</v>
      </c>
    </row>
    <row r="16" spans="1:26" ht="17.25" thickBot="1" x14ac:dyDescent="0.3">
      <c r="A16" s="15" t="s">
        <v>54</v>
      </c>
      <c r="B16" s="18"/>
      <c r="C16" s="19" t="s">
        <v>45</v>
      </c>
      <c r="D16" s="19"/>
      <c r="E16" s="19" t="s">
        <v>47</v>
      </c>
      <c r="F16" s="19"/>
      <c r="G16" s="19" t="s">
        <v>45</v>
      </c>
      <c r="H16" s="19" t="s">
        <v>98</v>
      </c>
      <c r="I16" s="19" t="s">
        <v>45</v>
      </c>
      <c r="J16" s="19"/>
      <c r="K16" s="19"/>
      <c r="L16" s="18"/>
      <c r="M16" s="19"/>
      <c r="N16" s="19"/>
      <c r="O16" s="18"/>
      <c r="P16" s="19"/>
      <c r="Q16" s="19"/>
      <c r="R16" s="19"/>
      <c r="S16" s="19"/>
      <c r="T16" s="19"/>
      <c r="U16" s="20" t="s">
        <v>44</v>
      </c>
      <c r="V16" s="19"/>
      <c r="W16" s="19"/>
      <c r="X16" s="19"/>
      <c r="Y16" s="19"/>
      <c r="Z16" s="20" t="s">
        <v>45</v>
      </c>
    </row>
    <row r="17" spans="1:26" x14ac:dyDescent="0.25">
      <c r="A17" s="6" t="s">
        <v>19</v>
      </c>
      <c r="B17" s="26">
        <v>12000</v>
      </c>
      <c r="C17" s="26">
        <v>150000</v>
      </c>
      <c r="D17" s="26">
        <v>1000</v>
      </c>
      <c r="E17" s="26">
        <v>17000</v>
      </c>
      <c r="F17" s="26">
        <v>80000</v>
      </c>
      <c r="G17" s="26">
        <v>95000</v>
      </c>
      <c r="H17" s="26">
        <v>130000</v>
      </c>
      <c r="I17" s="26">
        <v>255000</v>
      </c>
      <c r="J17" s="26">
        <v>300000</v>
      </c>
      <c r="K17" s="26">
        <v>800000</v>
      </c>
      <c r="L17" s="26">
        <v>230000</v>
      </c>
      <c r="M17" s="26">
        <v>1500</v>
      </c>
      <c r="N17" s="26">
        <v>400000</v>
      </c>
      <c r="O17" s="26">
        <v>550000</v>
      </c>
      <c r="P17" s="26">
        <v>17000000</v>
      </c>
      <c r="Q17" s="26">
        <v>560000</v>
      </c>
      <c r="R17" s="26">
        <v>220000</v>
      </c>
      <c r="S17" s="26">
        <v>910000</v>
      </c>
      <c r="T17" s="26">
        <v>410000</v>
      </c>
      <c r="U17" s="27">
        <v>190000</v>
      </c>
      <c r="V17" s="26">
        <v>660000</v>
      </c>
      <c r="W17" s="26">
        <v>220000</v>
      </c>
      <c r="X17" s="26">
        <v>910000</v>
      </c>
      <c r="Y17" s="26">
        <v>410000</v>
      </c>
      <c r="Z17" s="27">
        <v>195000</v>
      </c>
    </row>
    <row r="18" spans="1:26" x14ac:dyDescent="0.25">
      <c r="A18" s="8" t="s">
        <v>20</v>
      </c>
      <c r="B18" s="23">
        <v>9000</v>
      </c>
      <c r="C18" s="23">
        <v>115000</v>
      </c>
      <c r="D18" s="23">
        <v>710</v>
      </c>
      <c r="E18" s="23">
        <v>12000</v>
      </c>
      <c r="F18" s="23">
        <v>60000</v>
      </c>
      <c r="G18" s="23">
        <v>70000</v>
      </c>
      <c r="H18" s="23">
        <v>88000</v>
      </c>
      <c r="I18" s="23">
        <v>220000</v>
      </c>
      <c r="J18" s="23">
        <v>265000</v>
      </c>
      <c r="K18" s="23">
        <v>680000</v>
      </c>
      <c r="L18" s="23">
        <v>180000</v>
      </c>
      <c r="M18" s="23">
        <v>1100</v>
      </c>
      <c r="N18" s="23">
        <v>340000</v>
      </c>
      <c r="O18" s="23">
        <v>480000</v>
      </c>
      <c r="P18" s="23">
        <v>13000000</v>
      </c>
      <c r="Q18" s="23">
        <v>380000</v>
      </c>
      <c r="R18" s="23">
        <v>165000</v>
      </c>
      <c r="S18" s="23">
        <v>670000</v>
      </c>
      <c r="T18" s="23">
        <v>270000</v>
      </c>
      <c r="U18" s="24">
        <v>140000</v>
      </c>
      <c r="V18" s="23">
        <v>410000</v>
      </c>
      <c r="W18" s="23">
        <v>165000</v>
      </c>
      <c r="X18" s="23">
        <v>670000</v>
      </c>
      <c r="Y18" s="23">
        <v>270000</v>
      </c>
      <c r="Z18" s="24">
        <v>145000</v>
      </c>
    </row>
    <row r="19" spans="1:26" x14ac:dyDescent="0.25">
      <c r="A19" s="8" t="s">
        <v>60</v>
      </c>
      <c r="B19" s="23">
        <f>B17-B18</f>
        <v>3000</v>
      </c>
      <c r="C19" s="23">
        <f t="shared" ref="C19:Z19" si="6">C17-C18</f>
        <v>35000</v>
      </c>
      <c r="D19" s="23">
        <f t="shared" si="6"/>
        <v>290</v>
      </c>
      <c r="E19" s="23">
        <f t="shared" si="6"/>
        <v>5000</v>
      </c>
      <c r="F19" s="23">
        <f t="shared" si="6"/>
        <v>20000</v>
      </c>
      <c r="G19" s="23">
        <f t="shared" si="6"/>
        <v>25000</v>
      </c>
      <c r="H19" s="23">
        <f t="shared" si="6"/>
        <v>42000</v>
      </c>
      <c r="I19" s="23">
        <f t="shared" si="6"/>
        <v>35000</v>
      </c>
      <c r="J19" s="23">
        <f t="shared" si="6"/>
        <v>35000</v>
      </c>
      <c r="K19" s="23">
        <f t="shared" si="6"/>
        <v>120000</v>
      </c>
      <c r="L19" s="23">
        <f t="shared" si="6"/>
        <v>50000</v>
      </c>
      <c r="M19" s="23">
        <f t="shared" si="6"/>
        <v>400</v>
      </c>
      <c r="N19" s="23">
        <f t="shared" si="6"/>
        <v>60000</v>
      </c>
      <c r="O19" s="23">
        <f t="shared" si="6"/>
        <v>70000</v>
      </c>
      <c r="P19" s="23">
        <f t="shared" si="6"/>
        <v>4000000</v>
      </c>
      <c r="Q19" s="23">
        <f t="shared" ref="Q19:U19" si="7">Q17-Q18</f>
        <v>180000</v>
      </c>
      <c r="R19" s="23">
        <f t="shared" si="7"/>
        <v>55000</v>
      </c>
      <c r="S19" s="23">
        <f t="shared" si="7"/>
        <v>240000</v>
      </c>
      <c r="T19" s="23">
        <f t="shared" si="7"/>
        <v>140000</v>
      </c>
      <c r="U19" s="23">
        <f t="shared" si="7"/>
        <v>50000</v>
      </c>
      <c r="V19" s="23">
        <f t="shared" si="6"/>
        <v>250000</v>
      </c>
      <c r="W19" s="23">
        <f t="shared" si="6"/>
        <v>55000</v>
      </c>
      <c r="X19" s="23">
        <f t="shared" si="6"/>
        <v>240000</v>
      </c>
      <c r="Y19" s="23">
        <f t="shared" si="6"/>
        <v>140000</v>
      </c>
      <c r="Z19" s="23">
        <f t="shared" si="6"/>
        <v>50000</v>
      </c>
    </row>
    <row r="20" spans="1:26" x14ac:dyDescent="0.25">
      <c r="A20" s="8" t="s">
        <v>21</v>
      </c>
      <c r="B20" s="23">
        <f>B17-B18-B21</f>
        <v>2688</v>
      </c>
      <c r="C20" s="23">
        <f>C17-C18-C21</f>
        <v>30650</v>
      </c>
      <c r="D20" s="23">
        <f t="shared" ref="D20:Z20" si="8">D17-D18-D21</f>
        <v>251</v>
      </c>
      <c r="E20" s="23">
        <f t="shared" si="8"/>
        <v>4677</v>
      </c>
      <c r="F20" s="23">
        <f t="shared" si="8"/>
        <v>16080</v>
      </c>
      <c r="G20" s="23">
        <f t="shared" si="8"/>
        <v>22055</v>
      </c>
      <c r="H20" s="23">
        <f t="shared" si="8"/>
        <v>38360</v>
      </c>
      <c r="I20" s="23">
        <f t="shared" si="8"/>
        <v>29772.5</v>
      </c>
      <c r="J20" s="23">
        <f t="shared" si="8"/>
        <v>26000</v>
      </c>
      <c r="K20" s="23">
        <f t="shared" si="8"/>
        <v>99200</v>
      </c>
      <c r="L20" s="23">
        <f t="shared" si="8"/>
        <v>48620</v>
      </c>
      <c r="M20" s="23">
        <f t="shared" si="8"/>
        <v>369.25</v>
      </c>
      <c r="N20" s="23">
        <f t="shared" si="8"/>
        <v>52800</v>
      </c>
      <c r="O20" s="23">
        <f t="shared" si="8"/>
        <v>58175</v>
      </c>
      <c r="P20" s="23">
        <f t="shared" si="8"/>
        <v>3481500</v>
      </c>
      <c r="Q20" s="23">
        <f t="shared" ref="Q20:U20" si="9">Q17-Q18-Q21</f>
        <v>167120</v>
      </c>
      <c r="R20" s="23">
        <f t="shared" si="9"/>
        <v>47960</v>
      </c>
      <c r="S20" s="23">
        <f t="shared" si="9"/>
        <v>219980</v>
      </c>
      <c r="T20" s="23">
        <f t="shared" si="9"/>
        <v>119910</v>
      </c>
      <c r="U20" s="24">
        <f t="shared" si="9"/>
        <v>41450</v>
      </c>
      <c r="V20" s="23">
        <f t="shared" si="8"/>
        <v>216340</v>
      </c>
      <c r="W20" s="23">
        <f t="shared" si="8"/>
        <v>47960</v>
      </c>
      <c r="X20" s="23">
        <f t="shared" si="8"/>
        <v>219980</v>
      </c>
      <c r="Y20" s="23">
        <f t="shared" si="8"/>
        <v>119910</v>
      </c>
      <c r="Z20" s="24">
        <f t="shared" si="8"/>
        <v>41225</v>
      </c>
    </row>
    <row r="21" spans="1:26" x14ac:dyDescent="0.25">
      <c r="A21" s="8" t="s">
        <v>22</v>
      </c>
      <c r="B21" s="23">
        <f>B17*2.6%</f>
        <v>312</v>
      </c>
      <c r="C21" s="23">
        <f>C17*2.9%</f>
        <v>4350</v>
      </c>
      <c r="D21" s="23">
        <f>D17*3.9%</f>
        <v>39</v>
      </c>
      <c r="E21" s="23">
        <f>E17*1.9%</f>
        <v>323</v>
      </c>
      <c r="F21" s="23">
        <f>F17*4.9%</f>
        <v>3920</v>
      </c>
      <c r="G21" s="23">
        <f>G17*3.1%</f>
        <v>2945</v>
      </c>
      <c r="H21" s="23">
        <f>H17*2.8%</f>
        <v>3639.9999999999995</v>
      </c>
      <c r="I21" s="23">
        <f>I17*2.05%</f>
        <v>5227.4999999999991</v>
      </c>
      <c r="J21" s="23">
        <f>J17*3%</f>
        <v>9000</v>
      </c>
      <c r="K21" s="23">
        <f>K17*2.6%</f>
        <v>20800.000000000004</v>
      </c>
      <c r="L21" s="23">
        <f>L17*0.6%</f>
        <v>1380</v>
      </c>
      <c r="M21" s="23">
        <f>M17*2.05%</f>
        <v>30.749999999999996</v>
      </c>
      <c r="N21" s="23">
        <f>N17*1.8%</f>
        <v>7200.0000000000009</v>
      </c>
      <c r="O21" s="23">
        <f>O17*2.15%</f>
        <v>11824.999999999998</v>
      </c>
      <c r="P21" s="23">
        <f>P17*3.05%</f>
        <v>518500</v>
      </c>
      <c r="Q21" s="23">
        <f>Q17*2.3%</f>
        <v>12880</v>
      </c>
      <c r="R21" s="23">
        <f>R17*3.2%</f>
        <v>7040</v>
      </c>
      <c r="S21" s="23">
        <f>S17*2.2%</f>
        <v>20020.000000000004</v>
      </c>
      <c r="T21" s="23">
        <f>T17*4.9%</f>
        <v>20090</v>
      </c>
      <c r="U21" s="24">
        <f>U17*4.5%</f>
        <v>8550</v>
      </c>
      <c r="V21" s="23">
        <f>V17*5.1%</f>
        <v>33660</v>
      </c>
      <c r="W21" s="23">
        <f>W17*3.2%</f>
        <v>7040</v>
      </c>
      <c r="X21" s="23">
        <f>X17*2.2%</f>
        <v>20020.000000000004</v>
      </c>
      <c r="Y21" s="23">
        <f>Y17*4.9%</f>
        <v>20090</v>
      </c>
      <c r="Z21" s="24">
        <f>Z17*4.5%</f>
        <v>8775</v>
      </c>
    </row>
    <row r="22" spans="1:26" x14ac:dyDescent="0.25">
      <c r="A22" s="8" t="s">
        <v>34</v>
      </c>
      <c r="B22" s="23">
        <f>B17*1.3%</f>
        <v>156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23">
        <f>L17*0.5%</f>
        <v>1150</v>
      </c>
      <c r="M22" s="1"/>
      <c r="N22" s="1"/>
      <c r="O22" s="23">
        <f>O17*0.6%</f>
        <v>3300</v>
      </c>
      <c r="P22" s="1"/>
      <c r="Q22" s="1"/>
      <c r="R22" s="1"/>
      <c r="S22" s="1"/>
      <c r="T22" s="1"/>
      <c r="U22" s="9"/>
      <c r="V22" s="1"/>
      <c r="W22" s="1"/>
      <c r="X22" s="1"/>
      <c r="Y22" s="1"/>
      <c r="Z22" s="9"/>
    </row>
    <row r="23" spans="1:26" x14ac:dyDescent="0.25">
      <c r="A23" s="17" t="s">
        <v>61</v>
      </c>
      <c r="B23" s="25">
        <f>B19/B20</f>
        <v>1.1160714285714286</v>
      </c>
      <c r="C23" s="25">
        <f t="shared" ref="C23:Z23" si="10">C19/C20</f>
        <v>1.1419249592169658</v>
      </c>
      <c r="D23" s="25">
        <f t="shared" si="10"/>
        <v>1.155378486055777</v>
      </c>
      <c r="E23" s="25">
        <f t="shared" si="10"/>
        <v>1.0690613641223006</v>
      </c>
      <c r="F23" s="25">
        <f t="shared" si="10"/>
        <v>1.2437810945273631</v>
      </c>
      <c r="G23" s="25">
        <f t="shared" si="10"/>
        <v>1.1335298118340513</v>
      </c>
      <c r="H23" s="25">
        <f t="shared" si="10"/>
        <v>1.0948905109489051</v>
      </c>
      <c r="I23" s="25">
        <f t="shared" si="10"/>
        <v>1.175581492988496</v>
      </c>
      <c r="J23" s="25">
        <f t="shared" si="10"/>
        <v>1.3461538461538463</v>
      </c>
      <c r="K23" s="25">
        <f t="shared" si="10"/>
        <v>1.2096774193548387</v>
      </c>
      <c r="L23" s="25">
        <f t="shared" si="10"/>
        <v>1.0283833813245578</v>
      </c>
      <c r="M23" s="25">
        <f t="shared" si="10"/>
        <v>1.0832769126607988</v>
      </c>
      <c r="N23" s="25">
        <f t="shared" si="10"/>
        <v>1.1363636363636365</v>
      </c>
      <c r="O23" s="25">
        <f t="shared" si="10"/>
        <v>1.2032660077352815</v>
      </c>
      <c r="P23" s="25">
        <f t="shared" si="10"/>
        <v>1.1489300588826654</v>
      </c>
      <c r="Q23" s="25">
        <f t="shared" ref="Q23:U23" si="11">Q19/Q20</f>
        <v>1.077070368597415</v>
      </c>
      <c r="R23" s="25">
        <f t="shared" si="11"/>
        <v>1.1467889908256881</v>
      </c>
      <c r="S23" s="25">
        <f t="shared" si="11"/>
        <v>1.0910082734794073</v>
      </c>
      <c r="T23" s="25">
        <f t="shared" si="11"/>
        <v>1.1675423234092235</v>
      </c>
      <c r="U23" s="25">
        <f t="shared" si="11"/>
        <v>1.2062726176115801</v>
      </c>
      <c r="V23" s="25">
        <f t="shared" si="10"/>
        <v>1.1555884256263289</v>
      </c>
      <c r="W23" s="25">
        <f t="shared" si="10"/>
        <v>1.1467889908256881</v>
      </c>
      <c r="X23" s="25">
        <f t="shared" si="10"/>
        <v>1.0910082734794073</v>
      </c>
      <c r="Y23" s="25">
        <f t="shared" si="10"/>
        <v>1.1675423234092235</v>
      </c>
      <c r="Z23" s="25">
        <f t="shared" si="10"/>
        <v>1.212856276531231</v>
      </c>
    </row>
    <row r="24" spans="1:26" ht="17.25" thickBot="1" x14ac:dyDescent="0.3">
      <c r="A24" s="15" t="s">
        <v>54</v>
      </c>
      <c r="B24" s="18"/>
      <c r="C24" s="19" t="s">
        <v>45</v>
      </c>
      <c r="D24" s="19"/>
      <c r="E24" s="19"/>
      <c r="F24" s="19"/>
      <c r="G24" s="19" t="s">
        <v>45</v>
      </c>
      <c r="H24" s="19"/>
      <c r="I24" s="19"/>
      <c r="J24" s="19"/>
      <c r="K24" s="19"/>
      <c r="L24" s="18"/>
      <c r="M24" s="19"/>
      <c r="N24" s="19"/>
      <c r="O24" s="18"/>
      <c r="P24" s="19" t="s">
        <v>47</v>
      </c>
      <c r="Q24" s="19"/>
      <c r="R24" s="19"/>
      <c r="S24" s="19"/>
      <c r="T24" s="19"/>
      <c r="U24" s="20" t="s">
        <v>98</v>
      </c>
      <c r="V24" s="19"/>
      <c r="W24" s="19"/>
      <c r="X24" s="19"/>
      <c r="Y24" s="19"/>
      <c r="Z24" s="20" t="s">
        <v>45</v>
      </c>
    </row>
    <row r="25" spans="1:26" x14ac:dyDescent="0.25">
      <c r="A25" s="6" t="s">
        <v>23</v>
      </c>
      <c r="B25" s="26">
        <v>11000</v>
      </c>
      <c r="C25" s="26">
        <v>130000</v>
      </c>
      <c r="D25" s="26">
        <v>850</v>
      </c>
      <c r="E25" s="26">
        <v>18000</v>
      </c>
      <c r="F25" s="26"/>
      <c r="G25" s="26">
        <v>96000</v>
      </c>
      <c r="H25" s="26">
        <v>160000</v>
      </c>
      <c r="I25" s="26">
        <v>210000</v>
      </c>
      <c r="J25" s="26">
        <v>290000</v>
      </c>
      <c r="K25" s="26">
        <v>850000</v>
      </c>
      <c r="L25" s="26">
        <v>235000</v>
      </c>
      <c r="M25" s="26">
        <v>1900</v>
      </c>
      <c r="N25" s="26">
        <v>420000</v>
      </c>
      <c r="O25" s="26">
        <v>520000</v>
      </c>
      <c r="P25" s="26">
        <v>16000000</v>
      </c>
      <c r="Q25" s="26">
        <v>530000</v>
      </c>
      <c r="R25" s="26">
        <v>280000</v>
      </c>
      <c r="S25" s="26">
        <v>890000</v>
      </c>
      <c r="T25" s="26">
        <v>370000</v>
      </c>
      <c r="U25" s="27">
        <v>200000</v>
      </c>
      <c r="V25" s="26">
        <v>530000</v>
      </c>
      <c r="W25" s="26">
        <v>280000</v>
      </c>
      <c r="X25" s="26">
        <v>890000</v>
      </c>
      <c r="Y25" s="26">
        <v>370000</v>
      </c>
      <c r="Z25" s="27">
        <v>210000</v>
      </c>
    </row>
    <row r="26" spans="1:26" x14ac:dyDescent="0.25">
      <c r="A26" s="8" t="s">
        <v>24</v>
      </c>
      <c r="B26" s="23">
        <v>8600</v>
      </c>
      <c r="C26" s="23">
        <v>100000</v>
      </c>
      <c r="D26" s="23">
        <v>590</v>
      </c>
      <c r="E26" s="23">
        <v>13500</v>
      </c>
      <c r="F26" s="23"/>
      <c r="G26" s="23">
        <v>73000</v>
      </c>
      <c r="H26" s="23">
        <v>110000</v>
      </c>
      <c r="I26" s="23">
        <v>185000</v>
      </c>
      <c r="J26" s="23">
        <v>270000</v>
      </c>
      <c r="K26" s="23">
        <v>700000</v>
      </c>
      <c r="L26" s="23">
        <v>185000</v>
      </c>
      <c r="M26" s="23">
        <v>1500</v>
      </c>
      <c r="N26" s="23">
        <v>360000</v>
      </c>
      <c r="O26" s="23">
        <v>460000</v>
      </c>
      <c r="P26" s="23">
        <v>12500000</v>
      </c>
      <c r="Q26" s="23">
        <v>340000</v>
      </c>
      <c r="R26" s="23">
        <v>210000</v>
      </c>
      <c r="S26" s="23">
        <v>630000</v>
      </c>
      <c r="T26" s="23">
        <v>230000</v>
      </c>
      <c r="U26" s="24">
        <v>150000</v>
      </c>
      <c r="V26" s="23">
        <v>340000</v>
      </c>
      <c r="W26" s="23">
        <v>210000</v>
      </c>
      <c r="X26" s="23">
        <v>630000</v>
      </c>
      <c r="Y26" s="23">
        <v>230000</v>
      </c>
      <c r="Z26" s="24">
        <v>155000</v>
      </c>
    </row>
    <row r="27" spans="1:26" x14ac:dyDescent="0.25">
      <c r="A27" s="8" t="s">
        <v>62</v>
      </c>
      <c r="B27" s="23">
        <f>B25-B26</f>
        <v>2400</v>
      </c>
      <c r="C27" s="23">
        <f t="shared" ref="C27:Z27" si="12">C25-C26</f>
        <v>30000</v>
      </c>
      <c r="D27" s="23">
        <f t="shared" si="12"/>
        <v>260</v>
      </c>
      <c r="E27" s="23">
        <f t="shared" si="12"/>
        <v>4500</v>
      </c>
      <c r="F27" s="23">
        <f t="shared" si="12"/>
        <v>0</v>
      </c>
      <c r="G27" s="23">
        <f t="shared" si="12"/>
        <v>23000</v>
      </c>
      <c r="H27" s="23">
        <f t="shared" si="12"/>
        <v>50000</v>
      </c>
      <c r="I27" s="23">
        <f t="shared" si="12"/>
        <v>25000</v>
      </c>
      <c r="J27" s="23">
        <f t="shared" si="12"/>
        <v>20000</v>
      </c>
      <c r="K27" s="23">
        <f t="shared" si="12"/>
        <v>150000</v>
      </c>
      <c r="L27" s="23">
        <f t="shared" si="12"/>
        <v>50000</v>
      </c>
      <c r="M27" s="23">
        <f t="shared" si="12"/>
        <v>400</v>
      </c>
      <c r="N27" s="23">
        <f t="shared" si="12"/>
        <v>60000</v>
      </c>
      <c r="O27" s="23">
        <f t="shared" si="12"/>
        <v>60000</v>
      </c>
      <c r="P27" s="23">
        <f t="shared" si="12"/>
        <v>3500000</v>
      </c>
      <c r="Q27" s="23">
        <f t="shared" ref="Q27:U27" si="13">Q25-Q26</f>
        <v>190000</v>
      </c>
      <c r="R27" s="23">
        <f t="shared" si="13"/>
        <v>70000</v>
      </c>
      <c r="S27" s="23">
        <f t="shared" si="13"/>
        <v>260000</v>
      </c>
      <c r="T27" s="23">
        <f t="shared" si="13"/>
        <v>140000</v>
      </c>
      <c r="U27" s="23">
        <f t="shared" si="13"/>
        <v>50000</v>
      </c>
      <c r="V27" s="23">
        <f t="shared" si="12"/>
        <v>190000</v>
      </c>
      <c r="W27" s="23">
        <f t="shared" si="12"/>
        <v>70000</v>
      </c>
      <c r="X27" s="23">
        <f t="shared" si="12"/>
        <v>260000</v>
      </c>
      <c r="Y27" s="23">
        <f t="shared" si="12"/>
        <v>140000</v>
      </c>
      <c r="Z27" s="23">
        <f t="shared" si="12"/>
        <v>55000</v>
      </c>
    </row>
    <row r="28" spans="1:26" x14ac:dyDescent="0.25">
      <c r="A28" s="8" t="s">
        <v>25</v>
      </c>
      <c r="B28" s="23">
        <f>B25-B26-B29</f>
        <v>2125</v>
      </c>
      <c r="C28" s="23">
        <f>C25-C26-C29</f>
        <v>25580</v>
      </c>
      <c r="D28" s="23">
        <f>D25-D26-D29</f>
        <v>225.15</v>
      </c>
      <c r="E28" s="23">
        <f>E25-E26-E29</f>
        <v>4158</v>
      </c>
      <c r="F28" s="23"/>
      <c r="G28" s="23">
        <f t="shared" ref="G28:Z28" si="14">G25-G26-G29</f>
        <v>19064</v>
      </c>
      <c r="H28" s="23">
        <f t="shared" si="14"/>
        <v>46000</v>
      </c>
      <c r="I28" s="23">
        <f t="shared" si="14"/>
        <v>19120</v>
      </c>
      <c r="J28" s="23">
        <f t="shared" si="14"/>
        <v>20089.900000000001</v>
      </c>
      <c r="K28" s="23">
        <f t="shared" si="14"/>
        <v>112600</v>
      </c>
      <c r="L28" s="23">
        <f t="shared" si="14"/>
        <v>46592.5</v>
      </c>
      <c r="M28" s="23">
        <f t="shared" si="14"/>
        <v>358.2</v>
      </c>
      <c r="N28" s="23">
        <f t="shared" si="14"/>
        <v>56850</v>
      </c>
      <c r="O28" s="23">
        <f t="shared" si="14"/>
        <v>54540</v>
      </c>
      <c r="P28" s="23">
        <f t="shared" si="14"/>
        <v>3010400</v>
      </c>
      <c r="Q28" s="23">
        <f t="shared" ref="Q28:U28" si="15">Q25-Q26-Q29</f>
        <v>175690</v>
      </c>
      <c r="R28" s="23">
        <f t="shared" si="15"/>
        <v>58240</v>
      </c>
      <c r="S28" s="23">
        <f t="shared" si="15"/>
        <v>234190</v>
      </c>
      <c r="T28" s="23">
        <f t="shared" si="15"/>
        <v>120020</v>
      </c>
      <c r="U28" s="24">
        <f t="shared" si="15"/>
        <v>44600</v>
      </c>
      <c r="V28" s="23">
        <f t="shared" si="14"/>
        <v>162970</v>
      </c>
      <c r="W28" s="23">
        <f t="shared" si="14"/>
        <v>73920</v>
      </c>
      <c r="X28" s="23">
        <f t="shared" si="14"/>
        <v>234190</v>
      </c>
      <c r="Y28" s="23">
        <f t="shared" si="14"/>
        <v>120020</v>
      </c>
      <c r="Z28" s="24">
        <f t="shared" si="14"/>
        <v>49330</v>
      </c>
    </row>
    <row r="29" spans="1:26" x14ac:dyDescent="0.25">
      <c r="A29" s="8" t="s">
        <v>26</v>
      </c>
      <c r="B29" s="23">
        <f>B25*2.5%</f>
        <v>275</v>
      </c>
      <c r="C29" s="23">
        <f>C25*3.4%</f>
        <v>4420</v>
      </c>
      <c r="D29" s="23">
        <f>D25*4.1%</f>
        <v>34.849999999999994</v>
      </c>
      <c r="E29" s="23">
        <f>E25*1.9%</f>
        <v>342</v>
      </c>
      <c r="F29" s="23"/>
      <c r="G29" s="23">
        <f>G25*4.1%</f>
        <v>3935.9999999999995</v>
      </c>
      <c r="H29" s="23">
        <f>H25*2.5%</f>
        <v>4000</v>
      </c>
      <c r="I29" s="23">
        <f>I25*2.8%</f>
        <v>5879.9999999999991</v>
      </c>
      <c r="J29" s="23">
        <f>J25*-3.1%%</f>
        <v>-89.9</v>
      </c>
      <c r="K29" s="23">
        <f>K25*4.4%</f>
        <v>37400.000000000007</v>
      </c>
      <c r="L29" s="23">
        <f>L25*1.45%</f>
        <v>3407.4999999999995</v>
      </c>
      <c r="M29" s="23">
        <f>M25*2.2%</f>
        <v>41.800000000000004</v>
      </c>
      <c r="N29" s="23">
        <f>N25*0.75%</f>
        <v>3150</v>
      </c>
      <c r="O29" s="23">
        <f>O25*1.05%</f>
        <v>5460</v>
      </c>
      <c r="P29" s="23">
        <f>P25*3.06%</f>
        <v>489600.00000000006</v>
      </c>
      <c r="Q29" s="23">
        <f>Q25*2.7%</f>
        <v>14310.000000000002</v>
      </c>
      <c r="R29" s="23">
        <f>R25*4.2%</f>
        <v>11760</v>
      </c>
      <c r="S29" s="23">
        <f>S25*2.9%</f>
        <v>25810</v>
      </c>
      <c r="T29" s="23">
        <f>T25*5.4%</f>
        <v>19980.000000000004</v>
      </c>
      <c r="U29" s="24">
        <f>U25*2.7%</f>
        <v>5400.0000000000009</v>
      </c>
      <c r="V29" s="23">
        <f>V25*5.1%</f>
        <v>27030</v>
      </c>
      <c r="W29" s="23">
        <f>W25*-1.4%</f>
        <v>-3919.9999999999995</v>
      </c>
      <c r="X29" s="23">
        <f>X25*2.9%</f>
        <v>25810</v>
      </c>
      <c r="Y29" s="23">
        <f>Y25*5.4%</f>
        <v>19980.000000000004</v>
      </c>
      <c r="Z29" s="24">
        <f>Z25*2.7%</f>
        <v>5670.0000000000009</v>
      </c>
    </row>
    <row r="30" spans="1:26" x14ac:dyDescent="0.25">
      <c r="A30" s="8" t="s">
        <v>35</v>
      </c>
      <c r="B30" s="23">
        <f>B25*1.7%</f>
        <v>187</v>
      </c>
      <c r="C30" s="1">
        <v>0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23">
        <f>L25*0.6%</f>
        <v>1410</v>
      </c>
      <c r="M30" s="1"/>
      <c r="N30" s="1"/>
      <c r="O30" s="23">
        <f>O25*1.1%</f>
        <v>5720.0000000000009</v>
      </c>
      <c r="P30" s="1"/>
      <c r="Q30" s="1"/>
      <c r="R30" s="1"/>
      <c r="S30" s="1"/>
      <c r="T30" s="1"/>
      <c r="U30" s="9"/>
      <c r="V30" s="1"/>
      <c r="W30" s="1"/>
      <c r="X30" s="1"/>
      <c r="Y30" s="1"/>
      <c r="Z30" s="9"/>
    </row>
    <row r="31" spans="1:26" x14ac:dyDescent="0.25">
      <c r="A31" s="17" t="s">
        <v>63</v>
      </c>
      <c r="B31" s="25">
        <f>B27/B28</f>
        <v>1.1294117647058823</v>
      </c>
      <c r="C31" s="25">
        <f t="shared" ref="C31:Z31" si="16">C27/C28</f>
        <v>1.1727912431587177</v>
      </c>
      <c r="D31" s="25">
        <f t="shared" si="16"/>
        <v>1.1547856984232734</v>
      </c>
      <c r="E31" s="25">
        <f t="shared" si="16"/>
        <v>1.0822510822510822</v>
      </c>
      <c r="F31" s="25" t="s">
        <v>47</v>
      </c>
      <c r="G31" s="25">
        <f t="shared" si="16"/>
        <v>1.2064624422996224</v>
      </c>
      <c r="H31" s="25">
        <f t="shared" si="16"/>
        <v>1.0869565217391304</v>
      </c>
      <c r="I31" s="25">
        <f t="shared" si="16"/>
        <v>1.3075313807531381</v>
      </c>
      <c r="J31" s="25">
        <f t="shared" si="16"/>
        <v>0.99552511460982873</v>
      </c>
      <c r="K31" s="25">
        <f t="shared" si="16"/>
        <v>1.3321492007104796</v>
      </c>
      <c r="L31" s="25">
        <f t="shared" si="16"/>
        <v>1.0731340881043085</v>
      </c>
      <c r="M31" s="25">
        <f t="shared" si="16"/>
        <v>1.1166945840312674</v>
      </c>
      <c r="N31" s="25">
        <f t="shared" si="16"/>
        <v>1.0554089709762533</v>
      </c>
      <c r="O31" s="25">
        <f t="shared" si="16"/>
        <v>1.1001100110011002</v>
      </c>
      <c r="P31" s="25">
        <f t="shared" si="16"/>
        <v>1.1626361945256445</v>
      </c>
      <c r="Q31" s="25">
        <f t="shared" ref="Q31:U31" si="17">Q27/Q28</f>
        <v>1.0814502817462577</v>
      </c>
      <c r="R31" s="25">
        <f t="shared" si="17"/>
        <v>1.2019230769230769</v>
      </c>
      <c r="S31" s="25">
        <f t="shared" si="17"/>
        <v>1.1102096588240318</v>
      </c>
      <c r="T31" s="25">
        <f t="shared" si="17"/>
        <v>1.1664722546242292</v>
      </c>
      <c r="U31" s="25">
        <f t="shared" si="17"/>
        <v>1.1210762331838564</v>
      </c>
      <c r="V31" s="25">
        <f t="shared" si="16"/>
        <v>1.1658587470086519</v>
      </c>
      <c r="W31" s="25">
        <f t="shared" si="16"/>
        <v>0.94696969696969702</v>
      </c>
      <c r="X31" s="25">
        <f t="shared" si="16"/>
        <v>1.1102096588240318</v>
      </c>
      <c r="Y31" s="25">
        <f t="shared" si="16"/>
        <v>1.1664722546242292</v>
      </c>
      <c r="Z31" s="25">
        <f t="shared" si="16"/>
        <v>1.1149401986620717</v>
      </c>
    </row>
    <row r="32" spans="1:26" ht="17.25" thickBot="1" x14ac:dyDescent="0.3">
      <c r="A32" s="15" t="s">
        <v>54</v>
      </c>
      <c r="B32" s="18"/>
      <c r="C32" s="19" t="s">
        <v>45</v>
      </c>
      <c r="D32" s="19"/>
      <c r="E32" s="19" t="s">
        <v>45</v>
      </c>
      <c r="F32" s="19"/>
      <c r="G32" s="19" t="s">
        <v>45</v>
      </c>
      <c r="H32" s="19"/>
      <c r="I32" s="19"/>
      <c r="J32" s="19"/>
      <c r="K32" s="19"/>
      <c r="L32" s="18"/>
      <c r="M32" s="19"/>
      <c r="N32" s="19"/>
      <c r="O32" s="18"/>
      <c r="P32" s="19"/>
      <c r="Q32" s="19"/>
      <c r="R32" s="19"/>
      <c r="S32" s="19"/>
      <c r="T32" s="19"/>
      <c r="U32" s="20" t="s">
        <v>45</v>
      </c>
      <c r="V32" s="19"/>
      <c r="W32" s="19"/>
      <c r="X32" s="19"/>
      <c r="Y32" s="19"/>
      <c r="Z32" s="20" t="s">
        <v>45</v>
      </c>
    </row>
    <row r="33" spans="1:26" x14ac:dyDescent="0.25">
      <c r="A33" s="1" t="s">
        <v>27</v>
      </c>
      <c r="B33" s="28">
        <f t="shared" ref="B33:Z33" si="18">B9+B17+B25</f>
        <v>33000</v>
      </c>
      <c r="C33" s="28">
        <f t="shared" si="18"/>
        <v>400000</v>
      </c>
      <c r="D33" s="28">
        <f t="shared" si="18"/>
        <v>2750</v>
      </c>
      <c r="E33" s="28">
        <f t="shared" si="18"/>
        <v>50000</v>
      </c>
      <c r="F33" s="28">
        <f t="shared" si="18"/>
        <v>150000</v>
      </c>
      <c r="G33" s="28">
        <f t="shared" si="18"/>
        <v>281000</v>
      </c>
      <c r="H33" s="28">
        <f t="shared" si="18"/>
        <v>440000</v>
      </c>
      <c r="I33" s="28">
        <f t="shared" si="18"/>
        <v>715000</v>
      </c>
      <c r="J33" s="28">
        <f t="shared" si="18"/>
        <v>900000</v>
      </c>
      <c r="K33" s="28">
        <f t="shared" si="18"/>
        <v>2420000</v>
      </c>
      <c r="L33" s="28">
        <f t="shared" si="18"/>
        <v>715000</v>
      </c>
      <c r="M33" s="28">
        <f t="shared" si="18"/>
        <v>4600</v>
      </c>
      <c r="N33" s="28">
        <f t="shared" si="18"/>
        <v>1170000</v>
      </c>
      <c r="O33" s="28">
        <f t="shared" si="18"/>
        <v>1500000</v>
      </c>
      <c r="P33" s="28">
        <f t="shared" si="18"/>
        <v>48000000</v>
      </c>
      <c r="Q33" s="28">
        <f t="shared" ref="Q33:U33" si="19">Q9+Q17+Q25</f>
        <v>1740000</v>
      </c>
      <c r="R33" s="28">
        <f t="shared" si="19"/>
        <v>730000</v>
      </c>
      <c r="S33" s="28">
        <f t="shared" si="19"/>
        <v>2750000</v>
      </c>
      <c r="T33" s="28">
        <f t="shared" si="19"/>
        <v>1120000</v>
      </c>
      <c r="U33" s="28">
        <f t="shared" si="19"/>
        <v>620000</v>
      </c>
      <c r="V33" s="28">
        <f t="shared" si="18"/>
        <v>1940000</v>
      </c>
      <c r="W33" s="28">
        <f t="shared" si="18"/>
        <v>730000</v>
      </c>
      <c r="X33" s="28">
        <f t="shared" si="18"/>
        <v>2750000</v>
      </c>
      <c r="Y33" s="28">
        <f t="shared" si="18"/>
        <v>1120000</v>
      </c>
      <c r="Z33" s="28">
        <f t="shared" si="18"/>
        <v>655000</v>
      </c>
    </row>
    <row r="34" spans="1:26" x14ac:dyDescent="0.25">
      <c r="A34" s="1" t="s">
        <v>28</v>
      </c>
      <c r="B34" s="28">
        <f t="shared" ref="B34:Z34" si="20">B10+B18+B26</f>
        <v>25600</v>
      </c>
      <c r="C34" s="28">
        <f t="shared" si="20"/>
        <v>305000</v>
      </c>
      <c r="D34" s="28">
        <f t="shared" si="20"/>
        <v>1950</v>
      </c>
      <c r="E34" s="28">
        <f t="shared" si="20"/>
        <v>36500</v>
      </c>
      <c r="F34" s="28">
        <f t="shared" si="20"/>
        <v>115000</v>
      </c>
      <c r="G34" s="28">
        <f t="shared" si="20"/>
        <v>208000</v>
      </c>
      <c r="H34" s="28">
        <f t="shared" si="20"/>
        <v>308000</v>
      </c>
      <c r="I34" s="28">
        <f t="shared" si="20"/>
        <v>615000</v>
      </c>
      <c r="J34" s="28">
        <f t="shared" si="20"/>
        <v>805000</v>
      </c>
      <c r="K34" s="28">
        <f t="shared" si="20"/>
        <v>2030000</v>
      </c>
      <c r="L34" s="28">
        <f t="shared" si="20"/>
        <v>560000</v>
      </c>
      <c r="M34" s="28">
        <f t="shared" si="20"/>
        <v>3450</v>
      </c>
      <c r="N34" s="28">
        <f t="shared" si="20"/>
        <v>980000</v>
      </c>
      <c r="O34" s="28">
        <f t="shared" si="20"/>
        <v>1310000</v>
      </c>
      <c r="P34" s="28">
        <f t="shared" si="20"/>
        <v>36500000</v>
      </c>
      <c r="Q34" s="28">
        <f t="shared" ref="Q34:U34" si="21">Q10+Q18+Q26</f>
        <v>1170000</v>
      </c>
      <c r="R34" s="28">
        <f t="shared" si="21"/>
        <v>545000</v>
      </c>
      <c r="S34" s="28">
        <f t="shared" si="21"/>
        <v>2020000</v>
      </c>
      <c r="T34" s="28">
        <f t="shared" si="21"/>
        <v>730000</v>
      </c>
      <c r="U34" s="28">
        <f t="shared" si="21"/>
        <v>460000</v>
      </c>
      <c r="V34" s="28">
        <f t="shared" si="20"/>
        <v>1260000</v>
      </c>
      <c r="W34" s="28">
        <f t="shared" si="20"/>
        <v>545000</v>
      </c>
      <c r="X34" s="28">
        <f t="shared" si="20"/>
        <v>2020000</v>
      </c>
      <c r="Y34" s="28">
        <f t="shared" si="20"/>
        <v>730000</v>
      </c>
      <c r="Z34" s="28">
        <f t="shared" si="20"/>
        <v>475000</v>
      </c>
    </row>
    <row r="35" spans="1:26" x14ac:dyDescent="0.25">
      <c r="A35" s="1" t="s">
        <v>29</v>
      </c>
      <c r="B35" s="28">
        <f t="shared" ref="B35:Z35" si="22">B12+B20+B28</f>
        <v>6663</v>
      </c>
      <c r="C35" s="28">
        <f t="shared" si="22"/>
        <v>82750</v>
      </c>
      <c r="D35" s="28">
        <f t="shared" si="22"/>
        <v>690.15</v>
      </c>
      <c r="E35" s="28">
        <f t="shared" si="22"/>
        <v>12535</v>
      </c>
      <c r="F35" s="28">
        <f t="shared" si="22"/>
        <v>34580</v>
      </c>
      <c r="G35" s="28">
        <f t="shared" si="22"/>
        <v>61619</v>
      </c>
      <c r="H35" s="28">
        <f t="shared" si="22"/>
        <v>120460</v>
      </c>
      <c r="I35" s="28">
        <f t="shared" si="22"/>
        <v>83642.5</v>
      </c>
      <c r="J35" s="28">
        <f t="shared" si="22"/>
        <v>98799.9</v>
      </c>
      <c r="K35" s="28">
        <f t="shared" si="22"/>
        <v>304850</v>
      </c>
      <c r="L35" s="28">
        <f t="shared" si="22"/>
        <v>143962.5</v>
      </c>
      <c r="M35" s="28">
        <f t="shared" si="22"/>
        <v>1052.25</v>
      </c>
      <c r="N35" s="28">
        <f t="shared" si="22"/>
        <v>173700</v>
      </c>
      <c r="O35" s="28">
        <f t="shared" si="22"/>
        <v>172285</v>
      </c>
      <c r="P35" s="28">
        <f t="shared" si="22"/>
        <v>10026900</v>
      </c>
      <c r="Q35" s="28">
        <f t="shared" ref="Q35:U35" si="23">Q12+Q20+Q28</f>
        <v>525260</v>
      </c>
      <c r="R35" s="28">
        <f t="shared" si="23"/>
        <v>169650</v>
      </c>
      <c r="S35" s="28">
        <f t="shared" si="23"/>
        <v>658520</v>
      </c>
      <c r="T35" s="28">
        <f t="shared" si="23"/>
        <v>331230</v>
      </c>
      <c r="U35" s="28">
        <f t="shared" si="23"/>
        <v>138000</v>
      </c>
      <c r="V35" s="28">
        <f t="shared" si="22"/>
        <v>581060</v>
      </c>
      <c r="W35" s="28">
        <f t="shared" si="22"/>
        <v>185330</v>
      </c>
      <c r="X35" s="28">
        <f t="shared" si="22"/>
        <v>658520</v>
      </c>
      <c r="Y35" s="28">
        <f t="shared" si="22"/>
        <v>331230</v>
      </c>
      <c r="Z35" s="28">
        <f t="shared" si="22"/>
        <v>154305</v>
      </c>
    </row>
    <row r="36" spans="1:26" x14ac:dyDescent="0.25">
      <c r="A36" s="1" t="s">
        <v>30</v>
      </c>
      <c r="B36" s="28">
        <f t="shared" ref="B36:Z36" si="24">B13+B21+B29</f>
        <v>737</v>
      </c>
      <c r="C36" s="28">
        <f t="shared" si="24"/>
        <v>12250</v>
      </c>
      <c r="D36" s="28">
        <f t="shared" si="24"/>
        <v>109.85</v>
      </c>
      <c r="E36" s="28">
        <f t="shared" si="24"/>
        <v>965</v>
      </c>
      <c r="F36" s="28">
        <f t="shared" si="24"/>
        <v>420</v>
      </c>
      <c r="G36" s="28">
        <f t="shared" si="24"/>
        <v>11381</v>
      </c>
      <c r="H36" s="28">
        <f t="shared" si="24"/>
        <v>11540</v>
      </c>
      <c r="I36" s="28">
        <f t="shared" si="24"/>
        <v>16357.5</v>
      </c>
      <c r="J36" s="28">
        <f t="shared" si="24"/>
        <v>-3799.8999999999983</v>
      </c>
      <c r="K36" s="28">
        <f t="shared" si="24"/>
        <v>85150.000000000015</v>
      </c>
      <c r="L36" s="28">
        <f t="shared" si="24"/>
        <v>11037.5</v>
      </c>
      <c r="M36" s="28">
        <f t="shared" si="24"/>
        <v>97.75</v>
      </c>
      <c r="N36" s="28">
        <f t="shared" si="24"/>
        <v>16300</v>
      </c>
      <c r="O36" s="28">
        <f t="shared" si="24"/>
        <v>17715</v>
      </c>
      <c r="P36" s="28">
        <f t="shared" si="24"/>
        <v>1473100</v>
      </c>
      <c r="Q36" s="28">
        <f t="shared" ref="Q36:U36" si="25">Q13+Q21+Q29</f>
        <v>44740.000000000007</v>
      </c>
      <c r="R36" s="28">
        <f t="shared" si="25"/>
        <v>15350</v>
      </c>
      <c r="S36" s="28">
        <f t="shared" si="25"/>
        <v>71480</v>
      </c>
      <c r="T36" s="28">
        <f t="shared" si="25"/>
        <v>58770</v>
      </c>
      <c r="U36" s="28">
        <f t="shared" si="25"/>
        <v>22000</v>
      </c>
      <c r="V36" s="28">
        <f t="shared" si="24"/>
        <v>98940</v>
      </c>
      <c r="W36" s="28">
        <f t="shared" si="24"/>
        <v>-329.99999999999955</v>
      </c>
      <c r="X36" s="28">
        <f t="shared" si="24"/>
        <v>71480</v>
      </c>
      <c r="Y36" s="28">
        <f t="shared" si="24"/>
        <v>58770</v>
      </c>
      <c r="Z36" s="28">
        <f t="shared" si="24"/>
        <v>25695</v>
      </c>
    </row>
    <row r="37" spans="1:26" x14ac:dyDescent="0.25">
      <c r="A37" s="1" t="s">
        <v>55</v>
      </c>
      <c r="B37" s="28">
        <f t="shared" ref="B37:Y37" si="26">B14+B22+B30</f>
        <v>503</v>
      </c>
      <c r="C37" s="28">
        <f t="shared" si="26"/>
        <v>0</v>
      </c>
      <c r="D37" s="28">
        <f t="shared" si="26"/>
        <v>0</v>
      </c>
      <c r="E37" s="28">
        <f t="shared" si="26"/>
        <v>0</v>
      </c>
      <c r="F37" s="28">
        <f t="shared" si="26"/>
        <v>0</v>
      </c>
      <c r="G37" s="28">
        <f t="shared" si="26"/>
        <v>0</v>
      </c>
      <c r="H37" s="28">
        <f t="shared" si="26"/>
        <v>0</v>
      </c>
      <c r="I37" s="28">
        <f t="shared" si="26"/>
        <v>0</v>
      </c>
      <c r="J37" s="28">
        <f t="shared" si="26"/>
        <v>0</v>
      </c>
      <c r="K37" s="28">
        <f t="shared" si="26"/>
        <v>0</v>
      </c>
      <c r="L37" s="28">
        <f t="shared" si="26"/>
        <v>20060</v>
      </c>
      <c r="M37" s="28">
        <f t="shared" si="26"/>
        <v>0</v>
      </c>
      <c r="N37" s="28">
        <f t="shared" si="26"/>
        <v>0</v>
      </c>
      <c r="O37" s="28">
        <f t="shared" si="26"/>
        <v>10740</v>
      </c>
      <c r="P37" s="28">
        <f t="shared" si="26"/>
        <v>0</v>
      </c>
      <c r="Q37" s="28">
        <f t="shared" ref="Q37:U37" si="27">Q14+Q22+Q30</f>
        <v>0</v>
      </c>
      <c r="R37" s="28">
        <f t="shared" si="27"/>
        <v>0</v>
      </c>
      <c r="S37" s="28">
        <f t="shared" si="27"/>
        <v>0</v>
      </c>
      <c r="T37" s="28">
        <f t="shared" si="27"/>
        <v>0</v>
      </c>
      <c r="U37" s="28">
        <f t="shared" si="27"/>
        <v>0</v>
      </c>
      <c r="V37" s="28">
        <f t="shared" si="26"/>
        <v>0</v>
      </c>
      <c r="W37" s="28">
        <f t="shared" si="26"/>
        <v>0</v>
      </c>
      <c r="X37" s="28">
        <v>75000</v>
      </c>
      <c r="Y37" s="28">
        <f t="shared" si="26"/>
        <v>0</v>
      </c>
      <c r="Z37" s="28">
        <v>15000</v>
      </c>
    </row>
    <row r="38" spans="1:26" x14ac:dyDescent="0.25">
      <c r="A38" s="1" t="s">
        <v>31</v>
      </c>
      <c r="B38" s="29">
        <f>B36/B33</f>
        <v>2.2333333333333334E-2</v>
      </c>
      <c r="C38" s="29">
        <f t="shared" ref="C38:Z38" si="28">C36/C33</f>
        <v>3.0624999999999999E-2</v>
      </c>
      <c r="D38" s="29">
        <f t="shared" si="28"/>
        <v>3.9945454545454541E-2</v>
      </c>
      <c r="E38" s="29">
        <f t="shared" si="28"/>
        <v>1.9300000000000001E-2</v>
      </c>
      <c r="F38" s="29">
        <f t="shared" si="28"/>
        <v>2.8E-3</v>
      </c>
      <c r="G38" s="29">
        <f t="shared" si="28"/>
        <v>4.0501779359430605E-2</v>
      </c>
      <c r="H38" s="29">
        <f t="shared" si="28"/>
        <v>2.6227272727272728E-2</v>
      </c>
      <c r="I38" s="29">
        <f t="shared" si="28"/>
        <v>2.2877622377622378E-2</v>
      </c>
      <c r="J38" s="29">
        <f t="shared" si="28"/>
        <v>-4.2221111111111088E-3</v>
      </c>
      <c r="K38" s="29">
        <f t="shared" si="28"/>
        <v>3.5185950413223144E-2</v>
      </c>
      <c r="L38" s="29">
        <f t="shared" si="28"/>
        <v>1.5437062937062937E-2</v>
      </c>
      <c r="M38" s="29">
        <f t="shared" si="28"/>
        <v>2.1250000000000002E-2</v>
      </c>
      <c r="N38" s="29">
        <f t="shared" si="28"/>
        <v>1.3931623931623931E-2</v>
      </c>
      <c r="O38" s="29">
        <f t="shared" si="28"/>
        <v>1.1809999999999999E-2</v>
      </c>
      <c r="P38" s="29">
        <f t="shared" si="28"/>
        <v>3.0689583333333333E-2</v>
      </c>
      <c r="Q38" s="29">
        <f t="shared" ref="Q38:U38" si="29">Q36/Q33</f>
        <v>2.5712643678160924E-2</v>
      </c>
      <c r="R38" s="29">
        <f t="shared" si="29"/>
        <v>2.1027397260273972E-2</v>
      </c>
      <c r="S38" s="29">
        <f t="shared" si="29"/>
        <v>2.5992727272727272E-2</v>
      </c>
      <c r="T38" s="29">
        <f t="shared" si="29"/>
        <v>5.2473214285714283E-2</v>
      </c>
      <c r="U38" s="29">
        <f t="shared" si="29"/>
        <v>3.5483870967741936E-2</v>
      </c>
      <c r="V38" s="29">
        <f t="shared" si="28"/>
        <v>5.0999999999999997E-2</v>
      </c>
      <c r="W38" s="29">
        <f t="shared" si="28"/>
        <v>-4.520547945205473E-4</v>
      </c>
      <c r="X38" s="29">
        <f t="shared" si="28"/>
        <v>2.5992727272727272E-2</v>
      </c>
      <c r="Y38" s="29">
        <f t="shared" si="28"/>
        <v>5.2473214285714283E-2</v>
      </c>
      <c r="Z38" s="29">
        <f t="shared" si="28"/>
        <v>3.922900763358779E-2</v>
      </c>
    </row>
    <row r="39" spans="1:26" x14ac:dyDescent="0.25">
      <c r="A39" s="1" t="s">
        <v>32</v>
      </c>
      <c r="B39" s="29">
        <f>B37/B33</f>
        <v>1.5242424242424243E-2</v>
      </c>
      <c r="C39" s="29">
        <f t="shared" ref="C39:Z39" si="30">C37/C33</f>
        <v>0</v>
      </c>
      <c r="D39" s="29">
        <f t="shared" si="30"/>
        <v>0</v>
      </c>
      <c r="E39" s="29">
        <f t="shared" si="30"/>
        <v>0</v>
      </c>
      <c r="F39" s="29">
        <f t="shared" si="30"/>
        <v>0</v>
      </c>
      <c r="G39" s="29">
        <f t="shared" si="30"/>
        <v>0</v>
      </c>
      <c r="H39" s="29">
        <f t="shared" si="30"/>
        <v>0</v>
      </c>
      <c r="I39" s="29">
        <f t="shared" si="30"/>
        <v>0</v>
      </c>
      <c r="J39" s="29">
        <f t="shared" si="30"/>
        <v>0</v>
      </c>
      <c r="K39" s="29">
        <f t="shared" si="30"/>
        <v>0</v>
      </c>
      <c r="L39" s="29">
        <f t="shared" si="30"/>
        <v>2.8055944055944054E-2</v>
      </c>
      <c r="M39" s="29">
        <f t="shared" si="30"/>
        <v>0</v>
      </c>
      <c r="N39" s="29">
        <f t="shared" si="30"/>
        <v>0</v>
      </c>
      <c r="O39" s="29">
        <f t="shared" si="30"/>
        <v>7.1599999999999997E-3</v>
      </c>
      <c r="P39" s="29">
        <f t="shared" si="30"/>
        <v>0</v>
      </c>
      <c r="Q39" s="29">
        <f t="shared" ref="Q39:U39" si="31">Q37/Q33</f>
        <v>0</v>
      </c>
      <c r="R39" s="29">
        <f t="shared" si="31"/>
        <v>0</v>
      </c>
      <c r="S39" s="29">
        <f t="shared" si="31"/>
        <v>0</v>
      </c>
      <c r="T39" s="29">
        <f t="shared" si="31"/>
        <v>0</v>
      </c>
      <c r="U39" s="29">
        <f t="shared" si="31"/>
        <v>0</v>
      </c>
      <c r="V39" s="29">
        <f t="shared" si="30"/>
        <v>0</v>
      </c>
      <c r="W39" s="29">
        <f t="shared" si="30"/>
        <v>0</v>
      </c>
      <c r="X39" s="29">
        <f t="shared" si="30"/>
        <v>2.7272727272727271E-2</v>
      </c>
      <c r="Y39" s="29">
        <f t="shared" si="30"/>
        <v>0</v>
      </c>
      <c r="Z39" s="29">
        <f t="shared" si="30"/>
        <v>2.2900763358778626E-2</v>
      </c>
    </row>
    <row r="40" spans="1:26" s="30" customFormat="1" ht="138.75" customHeight="1" x14ac:dyDescent="0.25">
      <c r="A40" s="16" t="s">
        <v>38</v>
      </c>
      <c r="B40" s="16"/>
      <c r="C40" s="16"/>
      <c r="D40" s="16" t="s">
        <v>37</v>
      </c>
      <c r="E40" s="16" t="s">
        <v>47</v>
      </c>
      <c r="F40" s="16"/>
      <c r="G40" s="16"/>
      <c r="H40" s="16"/>
      <c r="I40" s="16" t="s">
        <v>67</v>
      </c>
      <c r="J40" s="16" t="s">
        <v>47</v>
      </c>
      <c r="K40" s="16" t="s">
        <v>46</v>
      </c>
      <c r="L40" s="16" t="s">
        <v>49</v>
      </c>
      <c r="M40" s="16"/>
      <c r="N40" s="16"/>
      <c r="O40" s="16" t="s">
        <v>64</v>
      </c>
      <c r="P40" s="16"/>
      <c r="Q40" s="16"/>
      <c r="R40" s="16" t="s">
        <v>66</v>
      </c>
      <c r="S40" s="16"/>
      <c r="T40" s="16" t="s">
        <v>48</v>
      </c>
      <c r="U40" s="16"/>
      <c r="V40" s="16"/>
      <c r="W40" s="16" t="s">
        <v>66</v>
      </c>
      <c r="X40" s="16"/>
      <c r="Y40" s="16" t="s">
        <v>48</v>
      </c>
      <c r="Z40" s="16"/>
    </row>
  </sheetData>
  <phoneticPr fontId="2" type="noConversion"/>
  <pageMargins left="0.23622047244094491" right="0.23622047244094491" top="0.74803149606299213" bottom="0.74803149606299213" header="0.31496062992125984" footer="0.31496062992125984"/>
  <pageSetup paperSize="9" scale="90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" sqref="B1"/>
    </sheetView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외부데이터</vt:lpstr>
      <vt:lpstr>Sheet2</vt:lpstr>
      <vt:lpstr>Sheet3</vt:lpstr>
      <vt:lpstr>외부데이터!Print_Titles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NTS</cp:lastModifiedBy>
  <cp:lastPrinted>2019-01-28T05:19:09Z</cp:lastPrinted>
  <dcterms:created xsi:type="dcterms:W3CDTF">2019-01-26T02:41:48Z</dcterms:created>
  <dcterms:modified xsi:type="dcterms:W3CDTF">2019-04-04T01:27:44Z</dcterms:modified>
</cp:coreProperties>
</file>