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 tabRatio="195"/>
  </x:bookViews>
  <x:sheets>
    <x:sheet name="1" sheetId="1" r:id="rId4"/>
  </x:sheets>
  <x:definedNames>
    <x:definedName name="_xlnm.Print_Titles" localSheetId="0">'1'!$A:$A</x:definedName>
    <x:definedName name="_xlnm._FilterDatabase" localSheetId="0" hidden="1">'1'!$A$4:$Z$4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<x:sst xmlns:r="http://schemas.openxmlformats.org/officeDocument/2006/relationships" xmlns:c="http://schemas.openxmlformats.org/drawingml/2006/chart" xmlns:x="http://schemas.openxmlformats.org/spreadsheetml/2006/main" count="219" uniqueCount="100">
  <x:si>
    <x:t>Q사</x:t>
  </x:si>
  <x:si>
    <x:t>V사</x:t>
  </x:si>
  <x:si>
    <x:t>K사</x:t>
  </x:si>
  <x:si>
    <x:t>H사</x:t>
  </x:si>
  <x:si>
    <x:t>T사</x:t>
  </x:si>
  <x:si>
    <x:t>Y사</x:t>
  </x:si>
  <x:si>
    <x:t>C사</x:t>
  </x:si>
  <x:si>
    <x:t>U사</x:t>
  </x:si>
  <x:si>
    <x:t>F사</x:t>
  </x:si>
  <x:si>
    <x:t>독일</x:t>
  </x:si>
  <x:si>
    <x:t>한국</x:t>
  </x:si>
  <x:si>
    <x:t>G사</x:t>
  </x:si>
  <x:si>
    <x:t>S사</x:t>
  </x:si>
  <x:si>
    <x:t>W사</x:t>
  </x:si>
  <x:si>
    <x:t>X사</x:t>
  </x:si>
  <x:si>
    <x:t>B사</x:t>
  </x:si>
  <x:si>
    <x:t>A사</x:t>
  </x:si>
  <x:si>
    <x:t>P사</x:t>
  </x:si>
  <x:si>
    <x:t>O사</x:t>
  </x:si>
  <x:si>
    <x:t>R사</x:t>
  </x:si>
  <x:si>
    <x:t>태국</x:t>
  </x:si>
  <x:si>
    <x:t>D사</x:t>
  </x:si>
  <x:si>
    <x:t>N사</x:t>
  </x:si>
  <x:si>
    <x:t>M사</x:t>
  </x:si>
  <x:si>
    <x:t>c</x:t>
  </x:si>
  <x:si>
    <x:t>종목</x:t>
  </x:si>
  <x:si>
    <x:t>L사</x:t>
  </x:si>
  <x:si>
    <x:t>E사</x:t>
  </x:si>
  <x:si>
    <x:t>J사</x:t>
  </x:si>
  <x:si>
    <x:t xml:space="preserve"> </x:t>
  </x:si>
  <x:si>
    <x:t>A</x:t>
  </x:si>
  <x:si>
    <x:t>인도</x:t>
  </x:si>
  <x:si>
    <x:t>중국</x:t>
  </x:si>
  <x:si>
    <x:t>I사</x:t>
  </x:si>
  <x:si>
    <x:t>B</x:t>
  </x:si>
  <x:si>
    <x:t>상호</x:t>
  </x:si>
  <x:si>
    <x:t>대만</x:t>
  </x:si>
  <x:si>
    <x:t>구분</x:t>
  </x:si>
  <x:si>
    <x:t>영국</x:t>
  </x:si>
  <x:si>
    <x:t>제조</x:t>
  </x:si>
  <x:si>
    <x:t>업태</x:t>
  </x:si>
  <x:si>
    <x:t>베트남</x:t>
  </x:si>
  <x:si>
    <x:t>국가</x:t>
  </x:si>
  <x:si>
    <x:t>C</x:t>
  </x:si>
  <x:si>
    <x:t>부적정</x:t>
  </x:si>
  <x:si>
    <x:t>일본</x:t>
  </x:si>
  <x:si>
    <x:t>도매</x:t>
  </x:si>
  <x:si>
    <x:t>적정</x:t>
  </x:si>
  <x:si>
    <x:t>홍콩</x:t>
  </x:si>
  <x:si>
    <x:t>가구</x:t>
  </x:si>
  <x:si>
    <x:t>BvD Independence Indicator(독립성지표)</x:t>
  </x:si>
  <x:si>
    <x:t>홈페이지 검색결과 제조를 주업종으로 하고 있는 것으로 파악됨</x:t>
  </x:si>
  <x:si>
    <x:t>2014 판매관리비</x:t>
  </x:si>
  <x:si>
    <x:t>2015 매출원가</x:t>
  </x:si>
  <x:si>
    <x:t>2015 R&amp;D비용</x:t>
  </x:si>
  <x:si>
    <x:t>2015 매출총이익</x:t>
  </x:si>
  <x:si>
    <x:t>2015 판매관리비</x:t>
  </x:si>
  <x:si>
    <x:t>2014 매출총이익</x:t>
  </x:si>
  <x:si>
    <x:t>2013 매출총이익</x:t>
  </x:si>
  <x:si>
    <x:t>영업이익률(가중평균)</x:t>
  </x:si>
  <x:si>
    <x:t>2013 R&amp;D비용</x:t>
  </x:si>
  <x:si>
    <x:t>2015 영업이익</x:t>
  </x:si>
  <x:si>
    <x:t>2014 매출원가</x:t>
  </x:si>
  <x:si>
    <x:t>2014 영업이익</x:t>
  </x:si>
  <x:si>
    <x:t>핸드폰용 전자부품</x:t>
  </x:si>
  <x:si>
    <x:t>R&amp;D비률(가중평균)</x:t>
  </x:si>
  <x:si>
    <x:t>Very Large</x:t>
  </x:si>
  <x:si>
    <x:t>2014 R&amp;D비용</x:t>
  </x:si>
  <x:si>
    <x:t>2013 매출원가</x:t>
  </x:si>
  <x:si>
    <x:t>2013 영업이익</x:t>
  </x:si>
  <x:si>
    <x:t>가전제품 전자부품</x:t>
  </x:si>
  <x:si>
    <x:t>2013 판매관리비</x:t>
  </x:si>
  <x:si>
    <x:t>전기청소기 전자부품</x:t>
  </x:si>
  <x:si>
    <x:t>홈페이지 검색 결과 제조를 주업종으로 하는 것으로 확인됨</x:t>
  </x:si>
  <x:si>
    <x:t>홈페이지 검색 결과 도매를 주업종으로 하는 것으로 확인됨</x:t>
  </x:si>
  <x:si>
    <x:t>US-SIC(업종코드)</x:t>
  </x:si>
  <x:si>
    <x:t>2014 Berry Ratio</x:t>
  </x:si>
  <x:si>
    <x:t>2013 Berry Ratio</x:t>
  </x:si>
  <x:si>
    <x:t>2015 Berry Ratio</x:t>
  </x:si>
  <x:si>
    <x:t>도매/소매</x:t>
  </x:si>
  <x:si>
    <x:t>매출합계</x:t>
  </x:si>
  <x:si>
    <x:t>싱가포르</x:t>
  </x:si>
  <x:si>
    <x:t>전자기기부품</x:t>
  </x:si>
  <x:si>
    <x:t>R&amp;D비용합계</x:t>
  </x:si>
  <x:si>
    <x:t>도매/제조</x:t>
  </x:si>
  <x:si>
    <x:t>추가정보</x:t>
  </x:si>
  <x:si>
    <x:t>매출원가합계</x:t>
  </x:si>
  <x:si>
    <x:t>small</x:t>
  </x:si>
  <x:si>
    <x:t>의견거절</x:t>
  </x:si>
  <x:si>
    <x:t>영업이익합계</x:t>
  </x:si>
  <x:si>
    <x:t>자동차부품</x:t>
  </x:si>
  <x:si>
    <x:t>기업규모</x:t>
  </x:si>
  <x:si>
    <x:t>판매관리비합계</x:t>
  </x:si>
  <x:si>
    <x:t>2013 매출</x:t>
  </x:si>
  <x:si>
    <x:t>Medium</x:t>
  </x:si>
  <x:si>
    <x:t>Large</x:t>
  </x:si>
  <x:si>
    <x:t>사무용 가구</x:t>
  </x:si>
  <x:si>
    <x:t>2014 매출</x:t>
  </x:si>
  <x:si>
    <x:t>2015 매출</x:t>
  </x:si>
  <x:si>
    <x:t>감사의견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</x:si>
</x:sst>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5" formatCode="_-* #,##0.00_-;\-* #,##0.00_-;_-* &quot;-&quot;_-;_-@_-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auto="1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164" fontId="0" fillId="0" borderId="0">
      <x:alignment horizontal="general" vertical="center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 wrapText="1"/>
        </x:xf>
      </mc:Fallback>
    </mc:AlternateContent>
  </x:cellXfs>
  <x:cellStyles count="3">
    <x:cellStyle xfId="2" builtinId="5"/>
    <x:cellStyle xfId="1" builtinId="6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Z40"/>
  <x:sheetViews>
    <x:sheetView tabSelected="1" topLeftCell="A1" zoomScaleNormal="100" zoomScaleSheetLayoutView="75" workbookViewId="0">
      <x:selection activeCell="H12" activeCellId="0" sqref="H12:H12"/>
    </x:sheetView>
  </x:sheetViews>
  <x:sheetFormatPr defaultColWidth="9.03515625" defaultRowHeight="16.399999999999999"/>
  <x:cols>
    <x:col min="1" max="1" width="20.30078125" style="5" customWidth="1"/>
    <x:col min="2" max="26" width="15.96875" style="5" customWidth="1"/>
    <x:col min="27" max="16384" width="9.03515625" style="5"/>
  </x:cols>
  <x:sheetData>
    <x:row r="1" spans="1:26">
      <x:c r="A1" s="3" t="s">
        <x:v>37</x:v>
      </x:c>
      <x:c r="B1" s="3">
        <x:v>1</x:v>
      </x:c>
      <x:c r="C1" s="3">
        <x:v>2</x:v>
      </x:c>
      <x:c r="D1" s="3">
        <x:v>3</x:v>
      </x:c>
      <x:c r="E1" s="3">
        <x:v>4</x:v>
      </x:c>
      <x:c r="F1" s="3">
        <x:v>5</x:v>
      </x:c>
      <x:c r="G1" s="3">
        <x:v>6</x:v>
      </x:c>
      <x:c r="H1" s="3">
        <x:v>7</x:v>
      </x:c>
      <x:c r="I1" s="3">
        <x:v>8</x:v>
      </x:c>
      <x:c r="J1" s="3">
        <x:v>9</x:v>
      </x:c>
      <x:c r="K1" s="3">
        <x:v>10</x:v>
      </x:c>
      <x:c r="L1" s="3">
        <x:v>11</x:v>
      </x:c>
      <x:c r="M1" s="3">
        <x:v>12</x:v>
      </x:c>
      <x:c r="N1" s="3">
        <x:v>13</x:v>
      </x:c>
      <x:c r="O1" s="3">
        <x:v>14</x:v>
      </x:c>
      <x:c r="P1" s="3">
        <x:v>15</x:v>
      </x:c>
      <x:c r="Q1" s="3">
        <x:v>16</x:v>
      </x:c>
      <x:c r="R1" s="3">
        <x:v>17</x:v>
      </x:c>
      <x:c r="S1" s="3">
        <x:v>18</x:v>
      </x:c>
      <x:c r="T1" s="3">
        <x:v>19</x:v>
      </x:c>
      <x:c r="U1" s="3">
        <x:v>20</x:v>
      </x:c>
      <x:c r="V1" s="3">
        <x:v>21</x:v>
      </x:c>
      <x:c r="W1" s="3">
        <x:v>22</x:v>
      </x:c>
      <x:c r="X1" s="3">
        <x:v>23</x:v>
      </x:c>
      <x:c r="Y1" s="3">
        <x:v>24</x:v>
      </x:c>
      <x:c r="Z1" s="3">
        <x:v>25</x:v>
      </x:c>
    </x:row>
    <x:row r="2" spans="1:26" ht="16.75">
      <x:c r="A2" s="6" t="s">
        <x:v>35</x:v>
      </x:c>
      <x:c r="B2" s="4" t="s">
        <x:v>16</x:v>
      </x:c>
      <x:c r="C2" s="4" t="s">
        <x:v>15</x:v>
      </x:c>
      <x:c r="D2" s="4" t="s">
        <x:v>6</x:v>
      </x:c>
      <x:c r="E2" s="4" t="s">
        <x:v>21</x:v>
      </x:c>
      <x:c r="F2" s="4" t="s">
        <x:v>27</x:v>
      </x:c>
      <x:c r="G2" s="4" t="s">
        <x:v>8</x:v>
      </x:c>
      <x:c r="H2" s="4" t="s">
        <x:v>11</x:v>
      </x:c>
      <x:c r="I2" s="4" t="s">
        <x:v>3</x:v>
      </x:c>
      <x:c r="J2" s="4" t="s">
        <x:v>33</x:v>
      </x:c>
      <x:c r="K2" s="4" t="s">
        <x:v>28</x:v>
      </x:c>
      <x:c r="L2" s="4" t="s">
        <x:v>2</x:v>
      </x:c>
      <x:c r="M2" s="4" t="s">
        <x:v>26</x:v>
      </x:c>
      <x:c r="N2" s="4" t="s">
        <x:v>23</x:v>
      </x:c>
      <x:c r="O2" s="4" t="s">
        <x:v>22</x:v>
      </x:c>
      <x:c r="P2" s="4" t="s">
        <x:v>18</x:v>
      </x:c>
      <x:c r="Q2" s="4" t="s">
        <x:v>17</x:v>
      </x:c>
      <x:c r="R2" s="4" t="s">
        <x:v>0</x:v>
      </x:c>
      <x:c r="S2" s="4" t="s">
        <x:v>19</x:v>
      </x:c>
      <x:c r="T2" s="4" t="s">
        <x:v>12</x:v>
      </x:c>
      <x:c r="U2" s="7" t="s">
        <x:v>4</x:v>
      </x:c>
      <x:c r="V2" s="4" t="s">
        <x:v>7</x:v>
      </x:c>
      <x:c r="W2" s="4" t="s">
        <x:v>1</x:v>
      </x:c>
      <x:c r="X2" s="4" t="s">
        <x:v>13</x:v>
      </x:c>
      <x:c r="Y2" s="4" t="s">
        <x:v>14</x:v>
      </x:c>
      <x:c r="Z2" s="7" t="s">
        <x:v>5</x:v>
      </x:c>
    </x:row>
    <x:row r="3" spans="1:26">
      <x:c r="A3" s="8" t="s">
        <x:v>42</x:v>
      </x:c>
      <x:c r="B3" s="1" t="s">
        <x:v>48</x:v>
      </x:c>
      <x:c r="C3" s="1" t="s">
        <x:v>81</x:v>
      </x:c>
      <x:c r="D3" s="1" t="s">
        <x:v>36</x:v>
      </x:c>
      <x:c r="E3" s="1" t="s">
        <x:v>45</x:v>
      </x:c>
      <x:c r="F3" s="1" t="s">
        <x:v>36</x:v>
      </x:c>
      <x:c r="G3" s="1" t="s">
        <x:v>41</x:v>
      </x:c>
      <x:c r="H3" s="1" t="s">
        <x:v>20</x:v>
      </x:c>
      <x:c r="I3" s="1" t="s">
        <x:v>36</x:v>
      </x:c>
      <x:c r="J3" s="1" t="s">
        <x:v>48</x:v>
      </x:c>
      <x:c r="K3" s="1" t="s">
        <x:v>31</x:v>
      </x:c>
      <x:c r="L3" s="1" t="s">
        <x:v>45</x:v>
      </x:c>
      <x:c r="M3" s="1" t="s">
        <x:v>48</x:v>
      </x:c>
      <x:c r="N3" s="1" t="s">
        <x:v>36</x:v>
      </x:c>
      <x:c r="O3" s="1" t="s">
        <x:v>81</x:v>
      </x:c>
      <x:c r="P3" s="1" t="s">
        <x:v>38</x:v>
      </x:c>
      <x:c r="Q3" s="1" t="s">
        <x:v>45</x:v>
      </x:c>
      <x:c r="R3" s="1" t="s">
        <x:v>81</x:v>
      </x:c>
      <x:c r="S3" s="1" t="s">
        <x:v>45</x:v>
      </x:c>
      <x:c r="T3" s="1" t="s">
        <x:v>32</x:v>
      </x:c>
      <x:c r="U3" s="9" t="s">
        <x:v>9</x:v>
      </x:c>
      <x:c r="V3" s="1" t="s">
        <x:v>10</x:v>
      </x:c>
      <x:c r="W3" s="1" t="s">
        <x:v>81</x:v>
      </x:c>
      <x:c r="X3" s="1" t="s">
        <x:v>36</x:v>
      </x:c>
      <x:c r="Y3" s="1" t="s">
        <x:v>48</x:v>
      </x:c>
      <x:c r="Z3" s="9" t="s">
        <x:v>32</x:v>
      </x:c>
    </x:row>
    <x:row r="4" spans="1:26">
      <x:c r="A4" s="8" t="s">
        <x:v>75</x:v>
      </x:c>
      <x:c r="B4" s="1">
        <x:v>5015</x:v>
      </x:c>
      <x:c r="C4" s="1">
        <x:v>5015</x:v>
      </x:c>
      <x:c r="D4" s="1">
        <x:v>5015</x:v>
      </x:c>
      <x:c r="E4" s="1">
        <x:v>3714</x:v>
      </x:c>
      <x:c r="F4" s="1">
        <x:v>5015</x:v>
      </x:c>
      <x:c r="G4" s="1">
        <x:v>5015</x:v>
      </x:c>
      <x:c r="H4" s="1">
        <x:v>5015</x:v>
      </x:c>
      <x:c r="I4" s="1">
        <x:v>5065</x:v>
      </x:c>
      <x:c r="J4" s="1">
        <x:v>5015</x:v>
      </x:c>
      <x:c r="K4" s="1">
        <x:v>5021</x:v>
      </x:c>
      <x:c r="L4" s="1">
        <x:v>5015</x:v>
      </x:c>
      <x:c r="M4" s="1">
        <x:v>5015</x:v>
      </x:c>
      <x:c r="N4" s="1">
        <x:v>5015</x:v>
      </x:c>
      <x:c r="O4" s="1">
        <x:v>5065</x:v>
      </x:c>
      <x:c r="P4" s="1">
        <x:v>5015</x:v>
      </x:c>
      <x:c r="Q4" s="1">
        <x:v>5015</x:v>
      </x:c>
      <x:c r="R4" s="1">
        <x:v>5065</x:v>
      </x:c>
      <x:c r="S4" s="1">
        <x:v>3714</x:v>
      </x:c>
      <x:c r="T4" s="1">
        <x:v>5065</x:v>
      </x:c>
      <x:c r="U4" s="9">
        <x:v>5015</x:v>
      </x:c>
      <x:c r="V4" s="1">
        <x:v>5015</x:v>
      </x:c>
      <x:c r="W4" s="1">
        <x:v>5065</x:v>
      </x:c>
      <x:c r="X4" s="1">
        <x:v>3714</x:v>
      </x:c>
      <x:c r="Y4" s="1">
        <x:v>5065</x:v>
      </x:c>
      <x:c r="Z4" s="9">
        <x:v>5015</x:v>
      </x:c>
    </x:row>
    <x:row r="5" spans="1:26">
      <x:c r="A5" s="8" t="s">
        <x:v>40</x:v>
      </x:c>
      <x:c r="B5" s="1" t="s">
        <x:v>46</x:v>
      </x:c>
      <x:c r="C5" s="1" t="s">
        <x:v>46</x:v>
      </x:c>
      <x:c r="D5" s="1" t="s">
        <x:v>79</x:v>
      </x:c>
      <x:c r="E5" s="1" t="s">
        <x:v>39</x:v>
      </x:c>
      <x:c r="F5" s="1" t="s">
        <x:v>46</x:v>
      </x:c>
      <x:c r="G5" s="1" t="s">
        <x:v>46</x:v>
      </x:c>
      <x:c r="H5" s="1" t="s">
        <x:v>46</x:v>
      </x:c>
      <x:c r="I5" s="1" t="s">
        <x:v>46</x:v>
      </x:c>
      <x:c r="J5" s="1" t="s">
        <x:v>46</x:v>
      </x:c>
      <x:c r="K5" s="1" t="s">
        <x:v>46</x:v>
      </x:c>
      <x:c r="L5" s="1" t="s">
        <x:v>84</x:v>
      </x:c>
      <x:c r="M5" s="1" t="s">
        <x:v>46</x:v>
      </x:c>
      <x:c r="N5" s="1" t="s">
        <x:v>46</x:v>
      </x:c>
      <x:c r="O5" s="1" t="s">
        <x:v>84</x:v>
      </x:c>
      <x:c r="P5" s="1" t="s">
        <x:v>46</x:v>
      </x:c>
      <x:c r="Q5" s="1" t="s">
        <x:v>46</x:v>
      </x:c>
      <x:c r="R5" s="1" t="s">
        <x:v>46</x:v>
      </x:c>
      <x:c r="S5" s="1" t="s">
        <x:v>39</x:v>
      </x:c>
      <x:c r="T5" s="1" t="s">
        <x:v>46</x:v>
      </x:c>
      <x:c r="U5" s="9" t="s">
        <x:v>46</x:v>
      </x:c>
      <x:c r="V5" s="1" t="s">
        <x:v>46</x:v>
      </x:c>
      <x:c r="W5" s="1" t="s">
        <x:v>46</x:v>
      </x:c>
      <x:c r="X5" s="1" t="s">
        <x:v>39</x:v>
      </x:c>
      <x:c r="Y5" s="1" t="s">
        <x:v>46</x:v>
      </x:c>
      <x:c r="Z5" s="9" t="s">
        <x:v>46</x:v>
      </x:c>
    </x:row>
    <x:row r="6" spans="1:26" s="13" customFormat="1">
      <x:c r="A6" s="10" t="s">
        <x:v>25</x:v>
      </x:c>
      <x:c r="B6" s="2" t="s">
        <x:v>90</x:v>
      </x:c>
      <x:c r="C6" s="2" t="s">
        <x:v>90</x:v>
      </x:c>
      <x:c r="D6" s="2" t="s">
        <x:v>90</x:v>
      </x:c>
      <x:c r="E6" s="2" t="s">
        <x:v>90</x:v>
      </x:c>
      <x:c r="F6" s="2" t="s">
        <x:v>90</x:v>
      </x:c>
      <x:c r="G6" s="2" t="s">
        <x:v>90</x:v>
      </x:c>
      <x:c r="H6" s="2" t="s">
        <x:v>90</x:v>
      </x:c>
      <x:c r="I6" s="2" t="s">
        <x:v>82</x:v>
      </x:c>
      <x:c r="J6" s="2" t="s">
        <x:v>90</x:v>
      </x:c>
      <x:c r="K6" s="2" t="s">
        <x:v>49</x:v>
      </x:c>
      <x:c r="L6" s="2" t="s">
        <x:v>90</x:v>
      </x:c>
      <x:c r="M6" s="2" t="s">
        <x:v>90</x:v>
      </x:c>
      <x:c r="N6" s="2" t="s">
        <x:v>90</x:v>
      </x:c>
      <x:c r="O6" s="2" t="s">
        <x:v>82</x:v>
      </x:c>
      <x:c r="P6" s="2" t="s">
        <x:v>90</x:v>
      </x:c>
      <x:c r="Q6" s="2" t="s">
        <x:v>90</x:v>
      </x:c>
      <x:c r="R6" s="2" t="s">
        <x:v>82</x:v>
      </x:c>
      <x:c r="S6" s="2" t="s">
        <x:v>90</x:v>
      </x:c>
      <x:c r="T6" s="2" t="s">
        <x:v>82</x:v>
      </x:c>
      <x:c r="U6" s="12" t="s">
        <x:v>90</x:v>
      </x:c>
      <x:c r="V6" s="2" t="s">
        <x:v>90</x:v>
      </x:c>
      <x:c r="W6" s="2" t="s">
        <x:v>82</x:v>
      </x:c>
      <x:c r="X6" s="2" t="s">
        <x:v>90</x:v>
      </x:c>
      <x:c r="Y6" s="2" t="s">
        <x:v>82</x:v>
      </x:c>
      <x:c r="Z6" s="12" t="s">
        <x:v>90</x:v>
      </x:c>
    </x:row>
    <x:row r="7" spans="1:26" s="13" customFormat="1" ht="32.75">
      <x:c r="A7" s="11" t="s">
        <x:v>50</x:v>
      </x:c>
      <x:c r="B7" s="2" t="s">
        <x:v>34</x:v>
      </x:c>
      <x:c r="C7" s="2" t="s">
        <x:v>30</x:v>
      </x:c>
      <x:c r="D7" s="2" t="s">
        <x:v>30</x:v>
      </x:c>
      <x:c r="E7" s="2" t="s">
        <x:v>34</x:v>
      </x:c>
      <x:c r="F7" s="2" t="s">
        <x:v>34</x:v>
      </x:c>
      <x:c r="G7" s="2" t="s">
        <x:v>30</x:v>
      </x:c>
      <x:c r="H7" s="2" t="s">
        <x:v>34</x:v>
      </x:c>
      <x:c r="I7" s="2" t="s">
        <x:v>34</x:v>
      </x:c>
      <x:c r="J7" s="2" t="s">
        <x:v>34</x:v>
      </x:c>
      <x:c r="K7" s="2" t="s">
        <x:v>34</x:v>
      </x:c>
      <x:c r="L7" s="2" t="s">
        <x:v>34</x:v>
      </x:c>
      <x:c r="M7" s="2" t="s">
        <x:v>30</x:v>
      </x:c>
      <x:c r="N7" s="2" t="s">
        <x:v>43</x:v>
      </x:c>
      <x:c r="O7" s="2" t="s">
        <x:v>30</x:v>
      </x:c>
      <x:c r="P7" s="2" t="s">
        <x:v>30</x:v>
      </x:c>
      <x:c r="Q7" s="2" t="s">
        <x:v>30</x:v>
      </x:c>
      <x:c r="R7" s="2" t="s">
        <x:v>34</x:v>
      </x:c>
      <x:c r="S7" s="2" t="s">
        <x:v>34</x:v>
      </x:c>
      <x:c r="T7" s="2" t="s">
        <x:v>24</x:v>
      </x:c>
      <x:c r="U7" s="12" t="s">
        <x:v>30</x:v>
      </x:c>
      <x:c r="V7" s="2" t="s">
        <x:v>24</x:v>
      </x:c>
      <x:c r="W7" s="2" t="s">
        <x:v>34</x:v>
      </x:c>
      <x:c r="X7" s="2" t="s">
        <x:v>34</x:v>
      </x:c>
      <x:c r="Y7" s="2" t="s">
        <x:v>34</x:v>
      </x:c>
      <x:c r="Z7" s="12" t="s">
        <x:v>30</x:v>
      </x:c>
    </x:row>
    <x:row r="8" spans="1:26" s="13" customFormat="1">
      <x:c r="A8" s="10" t="s">
        <x:v>91</x:v>
      </x:c>
      <x:c r="B8" s="2" t="s">
        <x:v>95</x:v>
      </x:c>
      <x:c r="C8" s="2" t="s">
        <x:v>94</x:v>
      </x:c>
      <x:c r="D8" s="2" t="s">
        <x:v>87</x:v>
      </x:c>
      <x:c r="E8" s="2" t="s">
        <x:v>94</x:v>
      </x:c>
      <x:c r="F8" s="2" t="s">
        <x:v>95</x:v>
      </x:c>
      <x:c r="G8" s="2" t="s">
        <x:v>94</x:v>
      </x:c>
      <x:c r="H8" s="2" t="s">
        <x:v>94</x:v>
      </x:c>
      <x:c r="I8" s="2" t="s">
        <x:v>94</x:v>
      </x:c>
      <x:c r="J8" s="2" t="s">
        <x:v>94</x:v>
      </x:c>
      <x:c r="K8" s="2" t="s">
        <x:v>94</x:v>
      </x:c>
      <x:c r="L8" s="2" t="s">
        <x:v>94</x:v>
      </x:c>
      <x:c r="M8" s="2" t="s">
        <x:v>87</x:v>
      </x:c>
      <x:c r="N8" s="2" t="s">
        <x:v>94</x:v>
      </x:c>
      <x:c r="O8" s="2" t="s">
        <x:v>94</x:v>
      </x:c>
      <x:c r="P8" s="2" t="s">
        <x:v>66</x:v>
      </x:c>
      <x:c r="Q8" s="2" t="s">
        <x:v>95</x:v>
      </x:c>
      <x:c r="R8" s="2" t="s">
        <x:v>94</x:v>
      </x:c>
      <x:c r="S8" s="2" t="s">
        <x:v>95</x:v>
      </x:c>
      <x:c r="T8" s="2" t="s">
        <x:v>94</x:v>
      </x:c>
      <x:c r="U8" s="12" t="s">
        <x:v>95</x:v>
      </x:c>
      <x:c r="V8" s="2" t="s">
        <x:v>95</x:v>
      </x:c>
      <x:c r="W8" s="2" t="s">
        <x:v>95</x:v>
      </x:c>
      <x:c r="X8" s="2" t="s">
        <x:v>95</x:v>
      </x:c>
      <x:c r="Y8" s="2" t="s">
        <x:v>94</x:v>
      </x:c>
      <x:c r="Z8" s="12" t="s">
        <x:v>94</x:v>
      </x:c>
    </x:row>
    <x:row r="9" spans="1:26">
      <x:c r="A9" s="14" t="s">
        <x:v>93</x:v>
      </x:c>
      <x:c r="B9" s="21">
        <x:v>10000</x:v>
      </x:c>
      <x:c r="C9" s="21">
        <x:v>120000</x:v>
      </x:c>
      <x:c r="D9" s="21">
        <x:v>900</x:v>
      </x:c>
      <x:c r="E9" s="21">
        <x:v>15000</x:v>
      </x:c>
      <x:c r="F9" s="21">
        <x:v>70000</x:v>
      </x:c>
      <x:c r="G9" s="21">
        <x:v>90000</x:v>
      </x:c>
      <x:c r="H9" s="21">
        <x:v>150000</x:v>
      </x:c>
      <x:c r="I9" s="21">
        <x:v>250000</x:v>
      </x:c>
      <x:c r="J9" s="21">
        <x:v>310000</x:v>
      </x:c>
      <x:c r="K9" s="21">
        <x:v>770000</x:v>
      </x:c>
      <x:c r="L9" s="21">
        <x:v>250000</x:v>
      </x:c>
      <x:c r="M9" s="21">
        <x:v>1200</x:v>
      </x:c>
      <x:c r="N9" s="21">
        <x:v>350000</x:v>
      </x:c>
      <x:c r="O9" s="21">
        <x:v>430000</x:v>
      </x:c>
      <x:c r="P9" s="21">
        <x:v>15000000</x:v>
      </x:c>
      <x:c r="Q9" s="21">
        <x:v>650000</x:v>
      </x:c>
      <x:c r="R9" s="21">
        <x:v>230000</x:v>
      </x:c>
      <x:c r="S9" s="21">
        <x:v>950000</x:v>
      </x:c>
      <x:c r="T9" s="21">
        <x:v>340000</x:v>
      </x:c>
      <x:c r="U9" s="22">
        <x:v>230000</x:v>
      </x:c>
      <x:c r="V9" s="21">
        <x:v>750000</x:v>
      </x:c>
      <x:c r="W9" s="21">
        <x:v>230000</x:v>
      </x:c>
      <x:c r="X9" s="21">
        <x:v>950000</x:v>
      </x:c>
      <x:c r="Y9" s="21">
        <x:v>340000</x:v>
      </x:c>
      <x:c r="Z9" s="22">
        <x:v>250000</x:v>
      </x:c>
    </x:row>
    <x:row r="10" spans="1:26">
      <x:c r="A10" s="8" t="s">
        <x:v>68</x:v>
      </x:c>
      <x:c r="B10" s="23">
        <x:v>8000</x:v>
      </x:c>
      <x:c r="C10" s="23">
        <x:v>90000</x:v>
      </x:c>
      <x:c r="D10" s="23">
        <x:v>650</x:v>
      </x:c>
      <x:c r="E10" s="23">
        <x:v>11000</x:v>
      </x:c>
      <x:c r="F10" s="23">
        <x:v>55000</x:v>
      </x:c>
      <x:c r="G10" s="23">
        <x:v>65000</x:v>
      </x:c>
      <x:c r="H10" s="23">
        <x:v>110000</x:v>
      </x:c>
      <x:c r="I10" s="23">
        <x:v>210000</x:v>
      </x:c>
      <x:c r="J10" s="23">
        <x:v>270000</x:v>
      </x:c>
      <x:c r="K10" s="23">
        <x:v>650000</x:v>
      </x:c>
      <x:c r="L10" s="23">
        <x:v>195000</x:v>
      </x:c>
      <x:c r="M10" s="23">
        <x:v>850</x:v>
      </x:c>
      <x:c r="N10" s="23">
        <x:v>280000</x:v>
      </x:c>
      <x:c r="O10" s="23">
        <x:v>370000</x:v>
      </x:c>
      <x:c r="P10" s="23">
        <x:v>11000000</x:v>
      </x:c>
      <x:c r="Q10" s="23">
        <x:v>450000</x:v>
      </x:c>
      <x:c r="R10" s="23">
        <x:v>170000</x:v>
      </x:c>
      <x:c r="S10" s="23">
        <x:v>720000</x:v>
      </x:c>
      <x:c r="T10" s="23">
        <x:v>230000</x:v>
      </x:c>
      <x:c r="U10" s="24">
        <x:v>170000</x:v>
      </x:c>
      <x:c r="V10" s="23">
        <x:v>510000</x:v>
      </x:c>
      <x:c r="W10" s="23">
        <x:v>170000</x:v>
      </x:c>
      <x:c r="X10" s="23">
        <x:v>720000</x:v>
      </x:c>
      <x:c r="Y10" s="23">
        <x:v>230000</x:v>
      </x:c>
      <x:c r="Z10" s="24">
        <x:v>175000</x:v>
      </x:c>
    </x:row>
    <x:row r="11" spans="1:26">
      <x:c r="A11" s="8" t="s">
        <x:v>58</x:v>
      </x:c>
      <x:c r="B11" s="23">
        <x:f>B9-B10</x:f>
        <x:v>2000</x:v>
      </x:c>
      <x:c r="C11" s="23">
        <x:f t="shared" ref="C11:Z11" si="0">C9-C10</x:f>
        <x:v>30000</x:v>
      </x:c>
      <x:c r="D11" s="23">
        <x:f t="shared" si="0"/>
        <x:v>250</x:v>
      </x:c>
      <x:c r="E11" s="23">
        <x:f t="shared" si="0"/>
        <x:v>4000</x:v>
      </x:c>
      <x:c r="F11" s="23">
        <x:f t="shared" si="0"/>
        <x:v>15000</x:v>
      </x:c>
      <x:c r="G11" s="23">
        <x:f t="shared" si="0"/>
        <x:v>25000</x:v>
      </x:c>
      <x:c r="H11" s="23">
        <x:f t="shared" si="0"/>
        <x:v>40000</x:v>
      </x:c>
      <x:c r="I11" s="23">
        <x:f t="shared" si="0"/>
        <x:v>40000</x:v>
      </x:c>
      <x:c r="J11" s="23">
        <x:f t="shared" si="0"/>
        <x:v>40000</x:v>
      </x:c>
      <x:c r="K11" s="23">
        <x:f t="shared" si="0"/>
        <x:v>120000</x:v>
      </x:c>
      <x:c r="L11" s="23">
        <x:f t="shared" si="0"/>
        <x:v>55000</x:v>
      </x:c>
      <x:c r="M11" s="23">
        <x:f t="shared" si="0"/>
        <x:v>350</x:v>
      </x:c>
      <x:c r="N11" s="23">
        <x:f t="shared" si="0"/>
        <x:v>70000</x:v>
      </x:c>
      <x:c r="O11" s="23">
        <x:f t="shared" si="0"/>
        <x:v>60000</x:v>
      </x:c>
      <x:c r="P11" s="23">
        <x:f t="shared" si="0"/>
        <x:v>4000000</x:v>
      </x:c>
      <x:c r="Q11" s="23">
        <x:f t="shared" ref="Q11:U11" si="1">Q9-Q10</x:f>
        <x:v>200000</x:v>
      </x:c>
      <x:c r="R11" s="23">
        <x:f t="shared" si="1"/>
        <x:v>60000</x:v>
      </x:c>
      <x:c r="S11" s="23">
        <x:f t="shared" si="1"/>
        <x:v>230000</x:v>
      </x:c>
      <x:c r="T11" s="23">
        <x:f t="shared" si="1"/>
        <x:v>110000</x:v>
      </x:c>
      <x:c r="U11" s="23">
        <x:f t="shared" si="1"/>
        <x:v>60000</x:v>
      </x:c>
      <x:c r="V11" s="23">
        <x:f t="shared" si="0"/>
        <x:v>240000</x:v>
      </x:c>
      <x:c r="W11" s="23">
        <x:f t="shared" si="0"/>
        <x:v>60000</x:v>
      </x:c>
      <x:c r="X11" s="23">
        <x:f t="shared" si="0"/>
        <x:v>230000</x:v>
      </x:c>
      <x:c r="Y11" s="23">
        <x:f t="shared" si="0"/>
        <x:v>110000</x:v>
      </x:c>
      <x:c r="Z11" s="23">
        <x:f t="shared" si="0"/>
        <x:v>75000</x:v>
      </x:c>
    </x:row>
    <x:row r="12" spans="1:26">
      <x:c r="A12" s="8" t="s">
        <x:v>71</x:v>
      </x:c>
      <x:c r="B12" s="23">
        <x:f>B11-B13</x:f>
        <x:v>1850</x:v>
      </x:c>
      <x:c r="C12" s="23">
        <x:f t="shared" ref="C12:Z12" si="2">C11-C13</x:f>
        <x:v>26520</x:v>
      </x:c>
      <x:c r="D12" s="23">
        <x:f t="shared" si="2"/>
        <x:v>214</x:v>
      </x:c>
      <x:c r="E12" s="23">
        <x:f t="shared" si="2"/>
        <x:v>3700</x:v>
      </x:c>
      <x:c r="F12" s="23">
        <x:f t="shared" si="2"/>
        <x:v>18500</x:v>
      </x:c>
      <x:c r="G12" s="23">
        <x:f t="shared" si="2"/>
        <x:v>20500</x:v>
      </x:c>
      <x:c r="H12" s="23">
        <x:f t="shared" si="2"/>
        <x:v>36100</x:v>
      </x:c>
      <x:c r="I12" s="23">
        <x:f t="shared" si="2"/>
        <x:v>34750</x:v>
      </x:c>
      <x:c r="J12" s="23">
        <x:f t="shared" si="2"/>
        <x:v>52710</x:v>
      </x:c>
      <x:c r="K12" s="23">
        <x:f t="shared" si="2"/>
        <x:v>93050</x:v>
      </x:c>
      <x:c r="L12" s="23">
        <x:f t="shared" si="2"/>
        <x:v>48750</x:v>
      </x:c>
      <x:c r="M12" s="23">
        <x:f t="shared" si="2"/>
        <x:v>324.80000000000001</x:v>
      </x:c>
      <x:c r="N12" s="23">
        <x:f t="shared" si="2"/>
        <x:v>64050</x:v>
      </x:c>
      <x:c r="O12" s="23">
        <x:f t="shared" si="2"/>
        <x:v>59570</x:v>
      </x:c>
      <x:c r="P12" s="23">
        <x:f t="shared" si="2"/>
        <x:v>3535000</x:v>
      </x:c>
      <x:c r="Q12" s="23">
        <x:f t="shared" ref="Q12:U12" si="3">Q11-Q13</x:f>
        <x:v>182450</x:v>
      </x:c>
      <x:c r="R12" s="23">
        <x:f t="shared" si="3"/>
        <x:v>63450</x:v>
      </x:c>
      <x:c r="S12" s="23">
        <x:f t="shared" si="3"/>
        <x:v>204350</x:v>
      </x:c>
      <x:c r="T12" s="23">
        <x:f t="shared" si="3"/>
        <x:v>91300</x:v>
      </x:c>
      <x:c r="U12" s="23">
        <x:f t="shared" si="3"/>
        <x:v>51950</x:v>
      </x:c>
      <x:c r="V12" s="23">
        <x:f t="shared" si="2"/>
        <x:v>201750</x:v>
      </x:c>
      <x:c r="W12" s="23">
        <x:f t="shared" si="2"/>
        <x:v>63450</x:v>
      </x:c>
      <x:c r="X12" s="23">
        <x:f t="shared" si="2"/>
        <x:v>204350</x:v>
      </x:c>
      <x:c r="Y12" s="23">
        <x:f t="shared" si="2"/>
        <x:v>91300</x:v>
      </x:c>
      <x:c r="Z12" s="23">
        <x:f t="shared" si="2"/>
        <x:v>63750</x:v>
      </x:c>
    </x:row>
    <x:row r="13" spans="1:26">
      <x:c r="A13" s="8" t="s">
        <x:v>69</x:v>
      </x:c>
      <x:c r="B13" s="23">
        <x:f>B9*1.5%</x:f>
        <x:v>150</x:v>
      </x:c>
      <x:c r="C13" s="23">
        <x:f>C9*2.9%</x:f>
        <x:v>3479.9999999999995</x:v>
      </x:c>
      <x:c r="D13" s="23">
        <x:f>D9*4%</x:f>
        <x:v>36</x:v>
      </x:c>
      <x:c r="E13" s="23">
        <x:f>E9*2%</x:f>
        <x:v>300</x:v>
      </x:c>
      <x:c r="F13" s="23">
        <x:f>F9*-5%</x:f>
        <x:v>-3500</x:v>
      </x:c>
      <x:c r="G13" s="23">
        <x:f>G9*5%</x:f>
        <x:v>4500</x:v>
      </x:c>
      <x:c r="H13" s="23">
        <x:f>H9*2.6%</x:f>
        <x:v>3900.0000000000005</x:v>
      </x:c>
      <x:c r="I13" s="23">
        <x:f>I9*2.1%</x:f>
        <x:v>5250</x:v>
      </x:c>
      <x:c r="J13" s="23">
        <x:f>J9*-4.1%</x:f>
        <x:v>-12709.999999999998</x:v>
      </x:c>
      <x:c r="K13" s="23">
        <x:f>K9*3.5%</x:f>
        <x:v>26950.000000000004</x:v>
      </x:c>
      <x:c r="L13" s="23">
        <x:f>L9*2.5%</x:f>
        <x:v>6250</x:v>
      </x:c>
      <x:c r="M13" s="23">
        <x:f>M9*2.1%</x:f>
        <x:v>25.200000000000003</x:v>
      </x:c>
      <x:c r="N13" s="23">
        <x:f>N9*1.7%</x:f>
        <x:v>5950</x:v>
      </x:c>
      <x:c r="O13" s="23">
        <x:f>O9*0.1%</x:f>
        <x:v>430</x:v>
      </x:c>
      <x:c r="P13" s="23">
        <x:f>P9*3.1%</x:f>
        <x:v>465000</x:v>
      </x:c>
      <x:c r="Q13" s="23">
        <x:f>Q9*2.7%</x:f>
        <x:v>17550.000000000004</x:v>
      </x:c>
      <x:c r="R13" s="23">
        <x:f>R9*-1.5%</x:f>
        <x:v>-3450</x:v>
      </x:c>
      <x:c r="S13" s="23">
        <x:f>S9*2.7%</x:f>
        <x:v>25650.000000000004</x:v>
      </x:c>
      <x:c r="T13" s="23">
        <x:f>T9*5.5%</x:f>
        <x:v>18700</x:v>
      </x:c>
      <x:c r="U13" s="24">
        <x:f>U9*3.5%</x:f>
        <x:v>8050.0000000000009</x:v>
      </x:c>
      <x:c r="V13" s="23">
        <x:f>V9*5.1%</x:f>
        <x:v>38250</x:v>
      </x:c>
      <x:c r="W13" s="23">
        <x:f>W9*-1.5%</x:f>
        <x:v>-3450</x:v>
      </x:c>
      <x:c r="X13" s="23">
        <x:f>X9*2.7%</x:f>
        <x:v>25650.000000000004</x:v>
      </x:c>
      <x:c r="Y13" s="23">
        <x:f>Y9*5.5%</x:f>
        <x:v>18700</x:v>
      </x:c>
      <x:c r="Z13" s="24">
        <x:f>Z9*4.5%</x:f>
        <x:v>11250</x:v>
      </x:c>
    </x:row>
    <x:row r="14" spans="1:26">
      <x:c r="A14" s="8" t="s">
        <x:v>60</x:v>
      </x:c>
      <x:c r="B14" s="23">
        <x:f>B9*1.6%</x:f>
        <x:v>160</x:v>
      </x:c>
      <x:c r="C14" s="1">
        <x:v>0</x:v>
      </x:c>
      <x:c r="D14" s="1">
        <x:v>0</x:v>
      </x:c>
      <x:c r="E14" s="1">
        <x:v>0</x:v>
      </x:c>
      <x:c r="F14" s="1">
        <x:v>0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23">
        <x:f>L9*7%</x:f>
        <x:v>17500</x:v>
      </x:c>
      <x:c r="M14" s="1"/>
      <x:c r="N14" s="1"/>
      <x:c r="O14" s="23">
        <x:f>O9*0.4%</x:f>
        <x:v>1720</x:v>
      </x:c>
      <x:c r="P14" s="1"/>
      <x:c r="Q14" s="1"/>
      <x:c r="R14" s="1"/>
      <x:c r="S14" s="1"/>
      <x:c r="T14" s="1"/>
      <x:c r="U14" s="9"/>
      <x:c r="V14" s="1"/>
      <x:c r="W14" s="1"/>
      <x:c r="X14" s="1"/>
      <x:c r="Y14" s="1"/>
      <x:c r="Z14" s="9"/>
    </x:row>
    <x:row r="15" spans="1:26">
      <x:c r="A15" s="17" t="s">
        <x:v>77</x:v>
      </x:c>
      <x:c r="B15" s="25">
        <x:f>B11/B12</x:f>
        <x:v>1.0810810810810811</x:v>
      </x:c>
      <x:c r="C15" s="25">
        <x:f t="shared" ref="C15:Z15" si="4">C11/C12</x:f>
        <x:v>1.1312217194570136</x:v>
      </x:c>
      <x:c r="D15" s="25">
        <x:f t="shared" si="4"/>
        <x:v>1.1682242990654206</x:v>
      </x:c>
      <x:c r="E15" s="25">
        <x:f t="shared" si="4"/>
        <x:v>1.0810810810810811</x:v>
      </x:c>
      <x:c r="F15" s="25">
        <x:f t="shared" si="4"/>
        <x:v>0.81081081081081086</x:v>
      </x:c>
      <x:c r="G15" s="25">
        <x:f t="shared" si="4"/>
        <x:v>1.2195121951219512</x:v>
      </x:c>
      <x:c r="H15" s="25">
        <x:f t="shared" si="4"/>
        <x:v>1.10803324099723</x:v>
      </x:c>
      <x:c r="I15" s="25">
        <x:f t="shared" si="4"/>
        <x:v>1.1510791366906474</x:v>
      </x:c>
      <x:c r="J15" s="25">
        <x:f t="shared" si="4"/>
        <x:v>0.75886928476569915</x:v>
      </x:c>
      <x:c r="K15" s="25">
        <x:f t="shared" si="4"/>
        <x:v>1.2896292315959161</x:v>
      </x:c>
      <x:c r="L15" s="25">
        <x:f t="shared" si="4"/>
        <x:v>1.1282051282051282</x:v>
      </x:c>
      <x:c r="M15" s="25">
        <x:f t="shared" si="4"/>
        <x:v>1.0775862068965516</x:v>
      </x:c>
      <x:c r="N15" s="25">
        <x:f t="shared" si="4"/>
        <x:v>1.0928961748633881</x:v>
      </x:c>
      <x:c r="O15" s="25">
        <x:f t="shared" si="4"/>
        <x:v>1.0072183985227463</x:v>
      </x:c>
      <x:c r="P15" s="25">
        <x:f t="shared" si="4"/>
        <x:v>1.1315417256011315</x:v>
      </x:c>
      <x:c r="Q15" s="25">
        <x:f t="shared" ref="Q15:U15" si="5">Q11/Q12</x:f>
        <x:v>1.0961907371882709</x:v>
      </x:c>
      <x:c r="R15" s="25">
        <x:f t="shared" si="5"/>
        <x:v>0.94562647754137119</x:v>
      </x:c>
      <x:c r="S15" s="25">
        <x:f t="shared" si="5"/>
        <x:v>1.1255199412772205</x:v>
      </x:c>
      <x:c r="T15" s="25">
        <x:f t="shared" si="5"/>
        <x:v>1.2048192771084338</x:v>
      </x:c>
      <x:c r="U15" s="25">
        <x:f t="shared" si="5"/>
        <x:v>1.1549566891241578</x:v>
      </x:c>
      <x:c r="V15" s="25">
        <x:v>0.80000000000000004</x:v>
      </x:c>
      <x:c r="W15" s="25">
        <x:v>0.80000000000000004</x:v>
      </x:c>
      <x:c r="X15" s="25">
        <x:f t="shared" si="4"/>
        <x:v>1.1255199412772205</x:v>
      </x:c>
      <x:c r="Y15" s="25">
        <x:v>1.3999999999999999</x:v>
      </x:c>
      <x:c r="Z15" s="25">
        <x:f t="shared" si="4"/>
        <x:v>1.1764705882352942</x:v>
      </x:c>
    </x:row>
    <x:row r="16" spans="1:26" ht="16.75">
      <x:c r="A16" s="15" t="s">
        <x:v>99</x:v>
      </x:c>
      <x:c r="B16" s="18"/>
      <x:c r="C16" s="19" t="s">
        <x:v>47</x:v>
      </x:c>
      <x:c r="D16" s="19"/>
      <x:c r="E16" s="19" t="s">
        <x:v>29</x:v>
      </x:c>
      <x:c r="F16" s="19"/>
      <x:c r="G16" s="19" t="s">
        <x:v>47</x:v>
      </x:c>
      <x:c r="H16" s="19" t="s">
        <x:v>88</x:v>
      </x:c>
      <x:c r="I16" s="19" t="s">
        <x:v>47</x:v>
      </x:c>
      <x:c r="J16" s="19"/>
      <x:c r="K16" s="19"/>
      <x:c r="L16" s="18"/>
      <x:c r="M16" s="19"/>
      <x:c r="N16" s="19"/>
      <x:c r="O16" s="18"/>
      <x:c r="P16" s="19"/>
      <x:c r="Q16" s="19"/>
      <x:c r="R16" s="19"/>
      <x:c r="S16" s="19"/>
      <x:c r="T16" s="19"/>
      <x:c r="U16" s="20" t="s">
        <x:v>44</x:v>
      </x:c>
      <x:c r="V16" s="19"/>
      <x:c r="W16" s="19"/>
      <x:c r="X16" s="19"/>
      <x:c r="Y16" s="19"/>
      <x:c r="Z16" s="20" t="s">
        <x:v>47</x:v>
      </x:c>
    </x:row>
    <x:row r="17" spans="1:26" ht="16.75">
      <x:c r="A17" s="6" t="s">
        <x:v>97</x:v>
      </x:c>
      <x:c r="B17" s="26">
        <x:v>12000</x:v>
      </x:c>
      <x:c r="C17" s="26">
        <x:v>150000</x:v>
      </x:c>
      <x:c r="D17" s="26">
        <x:v>1000</x:v>
      </x:c>
      <x:c r="E17" s="26">
        <x:v>17000</x:v>
      </x:c>
      <x:c r="F17" s="26">
        <x:v>80000</x:v>
      </x:c>
      <x:c r="G17" s="26">
        <x:v>95000</x:v>
      </x:c>
      <x:c r="H17" s="26">
        <x:v>130000</x:v>
      </x:c>
      <x:c r="I17" s="26">
        <x:v>255000</x:v>
      </x:c>
      <x:c r="J17" s="26">
        <x:v>300000</x:v>
      </x:c>
      <x:c r="K17" s="26">
        <x:v>800000</x:v>
      </x:c>
      <x:c r="L17" s="26">
        <x:v>230000</x:v>
      </x:c>
      <x:c r="M17" s="26">
        <x:v>1500</x:v>
      </x:c>
      <x:c r="N17" s="26">
        <x:v>400000</x:v>
      </x:c>
      <x:c r="O17" s="26">
        <x:v>550000</x:v>
      </x:c>
      <x:c r="P17" s="26">
        <x:v>17000000</x:v>
      </x:c>
      <x:c r="Q17" s="26">
        <x:v>560000</x:v>
      </x:c>
      <x:c r="R17" s="26">
        <x:v>220000</x:v>
      </x:c>
      <x:c r="S17" s="26">
        <x:v>910000</x:v>
      </x:c>
      <x:c r="T17" s="26">
        <x:v>410000</x:v>
      </x:c>
      <x:c r="U17" s="27">
        <x:v>190000</x:v>
      </x:c>
      <x:c r="V17" s="26">
        <x:v>660000</x:v>
      </x:c>
      <x:c r="W17" s="26">
        <x:v>220000</x:v>
      </x:c>
      <x:c r="X17" s="26">
        <x:v>910000</x:v>
      </x:c>
      <x:c r="Y17" s="26">
        <x:v>410000</x:v>
      </x:c>
      <x:c r="Z17" s="27">
        <x:v>195000</x:v>
      </x:c>
    </x:row>
    <x:row r="18" spans="1:26">
      <x:c r="A18" s="8" t="s">
        <x:v>62</x:v>
      </x:c>
      <x:c r="B18" s="23">
        <x:v>9000</x:v>
      </x:c>
      <x:c r="C18" s="23">
        <x:v>115000</x:v>
      </x:c>
      <x:c r="D18" s="23">
        <x:v>710</x:v>
      </x:c>
      <x:c r="E18" s="23">
        <x:v>12000</x:v>
      </x:c>
      <x:c r="F18" s="23">
        <x:v>60000</x:v>
      </x:c>
      <x:c r="G18" s="23">
        <x:v>70000</x:v>
      </x:c>
      <x:c r="H18" s="23">
        <x:v>88000</x:v>
      </x:c>
      <x:c r="I18" s="23">
        <x:v>220000</x:v>
      </x:c>
      <x:c r="J18" s="23">
        <x:v>265000</x:v>
      </x:c>
      <x:c r="K18" s="23">
        <x:v>680000</x:v>
      </x:c>
      <x:c r="L18" s="23">
        <x:v>180000</x:v>
      </x:c>
      <x:c r="M18" s="23">
        <x:v>1100</x:v>
      </x:c>
      <x:c r="N18" s="23">
        <x:v>340000</x:v>
      </x:c>
      <x:c r="O18" s="23">
        <x:v>480000</x:v>
      </x:c>
      <x:c r="P18" s="23">
        <x:v>13000000</x:v>
      </x:c>
      <x:c r="Q18" s="23">
        <x:v>380000</x:v>
      </x:c>
      <x:c r="R18" s="23">
        <x:v>165000</x:v>
      </x:c>
      <x:c r="S18" s="23">
        <x:v>670000</x:v>
      </x:c>
      <x:c r="T18" s="23">
        <x:v>270000</x:v>
      </x:c>
      <x:c r="U18" s="24">
        <x:v>140000</x:v>
      </x:c>
      <x:c r="V18" s="23">
        <x:v>410000</x:v>
      </x:c>
      <x:c r="W18" s="23">
        <x:v>165000</x:v>
      </x:c>
      <x:c r="X18" s="23">
        <x:v>670000</x:v>
      </x:c>
      <x:c r="Y18" s="23">
        <x:v>270000</x:v>
      </x:c>
      <x:c r="Z18" s="24">
        <x:v>145000</x:v>
      </x:c>
    </x:row>
    <x:row r="19" spans="1:26">
      <x:c r="A19" s="8" t="s">
        <x:v>57</x:v>
      </x:c>
      <x:c r="B19" s="23">
        <x:f>B17-B18</x:f>
        <x:v>3000</x:v>
      </x:c>
      <x:c r="C19" s="23">
        <x:f t="shared" ref="C19:Z19" si="6">C17-C18</x:f>
        <x:v>35000</x:v>
      </x:c>
      <x:c r="D19" s="23">
        <x:f t="shared" si="6"/>
        <x:v>290</x:v>
      </x:c>
      <x:c r="E19" s="23">
        <x:f t="shared" si="6"/>
        <x:v>5000</x:v>
      </x:c>
      <x:c r="F19" s="23">
        <x:f t="shared" si="6"/>
        <x:v>20000</x:v>
      </x:c>
      <x:c r="G19" s="23">
        <x:f t="shared" si="6"/>
        <x:v>25000</x:v>
      </x:c>
      <x:c r="H19" s="23">
        <x:f t="shared" si="6"/>
        <x:v>42000</x:v>
      </x:c>
      <x:c r="I19" s="23">
        <x:f t="shared" si="6"/>
        <x:v>35000</x:v>
      </x:c>
      <x:c r="J19" s="23">
        <x:f t="shared" si="6"/>
        <x:v>35000</x:v>
      </x:c>
      <x:c r="K19" s="23">
        <x:f t="shared" si="6"/>
        <x:v>120000</x:v>
      </x:c>
      <x:c r="L19" s="23">
        <x:f t="shared" si="6"/>
        <x:v>50000</x:v>
      </x:c>
      <x:c r="M19" s="23">
        <x:f t="shared" si="6"/>
        <x:v>400</x:v>
      </x:c>
      <x:c r="N19" s="23">
        <x:f t="shared" si="6"/>
        <x:v>60000</x:v>
      </x:c>
      <x:c r="O19" s="23">
        <x:f t="shared" si="6"/>
        <x:v>70000</x:v>
      </x:c>
      <x:c r="P19" s="23">
        <x:f t="shared" si="6"/>
        <x:v>4000000</x:v>
      </x:c>
      <x:c r="Q19" s="23">
        <x:f t="shared" ref="Q19:U19" si="7">Q17-Q18</x:f>
        <x:v>180000</x:v>
      </x:c>
      <x:c r="R19" s="23">
        <x:f t="shared" si="7"/>
        <x:v>55000</x:v>
      </x:c>
      <x:c r="S19" s="23">
        <x:f t="shared" si="7"/>
        <x:v>240000</x:v>
      </x:c>
      <x:c r="T19" s="23">
        <x:f t="shared" si="7"/>
        <x:v>140000</x:v>
      </x:c>
      <x:c r="U19" s="23">
        <x:f t="shared" si="7"/>
        <x:v>50000</x:v>
      </x:c>
      <x:c r="V19" s="23">
        <x:f t="shared" si="6"/>
        <x:v>250000</x:v>
      </x:c>
      <x:c r="W19" s="23">
        <x:f t="shared" si="6"/>
        <x:v>55000</x:v>
      </x:c>
      <x:c r="X19" s="23">
        <x:f t="shared" si="6"/>
        <x:v>240000</x:v>
      </x:c>
      <x:c r="Y19" s="23">
        <x:f t="shared" si="6"/>
        <x:v>140000</x:v>
      </x:c>
      <x:c r="Z19" s="23">
        <x:f t="shared" si="6"/>
        <x:v>50000</x:v>
      </x:c>
    </x:row>
    <x:row r="20" spans="1:26">
      <x:c r="A20" s="8" t="s">
        <x:v>52</x:v>
      </x:c>
      <x:c r="B20" s="23">
        <x:f>B17-B18-B21</x:f>
        <x:v>2688</x:v>
      </x:c>
      <x:c r="C20" s="23">
        <x:f>C17-C18-C21</x:f>
        <x:v>30650</x:v>
      </x:c>
      <x:c r="D20" s="23">
        <x:f t="shared" ref="D20:Z20" si="8">D17-D18-D21</x:f>
        <x:v>251</x:v>
      </x:c>
      <x:c r="E20" s="23">
        <x:f t="shared" si="8"/>
        <x:v>4677</x:v>
      </x:c>
      <x:c r="F20" s="23">
        <x:f t="shared" si="8"/>
        <x:v>16080</x:v>
      </x:c>
      <x:c r="G20" s="23">
        <x:f t="shared" si="8"/>
        <x:v>22055</x:v>
      </x:c>
      <x:c r="H20" s="23">
        <x:f t="shared" si="8"/>
        <x:v>38360</x:v>
      </x:c>
      <x:c r="I20" s="23">
        <x:f t="shared" si="8"/>
        <x:v>29772.5</x:v>
      </x:c>
      <x:c r="J20" s="23">
        <x:f t="shared" si="8"/>
        <x:v>26000</x:v>
      </x:c>
      <x:c r="K20" s="23">
        <x:f t="shared" si="8"/>
        <x:v>99200</x:v>
      </x:c>
      <x:c r="L20" s="23">
        <x:f t="shared" si="8"/>
        <x:v>48620</x:v>
      </x:c>
      <x:c r="M20" s="23">
        <x:f t="shared" si="8"/>
        <x:v>369.25</x:v>
      </x:c>
      <x:c r="N20" s="23">
        <x:f t="shared" si="8"/>
        <x:v>52800</x:v>
      </x:c>
      <x:c r="O20" s="23">
        <x:f t="shared" si="8"/>
        <x:v>58175</x:v>
      </x:c>
      <x:c r="P20" s="23">
        <x:f t="shared" si="8"/>
        <x:v>3481500</x:v>
      </x:c>
      <x:c r="Q20" s="23">
        <x:f t="shared" ref="Q20:U20" si="9">Q17-Q18-Q21</x:f>
        <x:v>167120</x:v>
      </x:c>
      <x:c r="R20" s="23">
        <x:f t="shared" si="9"/>
        <x:v>47960</x:v>
      </x:c>
      <x:c r="S20" s="23">
        <x:f t="shared" si="9"/>
        <x:v>219980</x:v>
      </x:c>
      <x:c r="T20" s="23">
        <x:f t="shared" si="9"/>
        <x:v>119910</x:v>
      </x:c>
      <x:c r="U20" s="24">
        <x:f t="shared" si="9"/>
        <x:v>41450</x:v>
      </x:c>
      <x:c r="V20" s="23">
        <x:f t="shared" si="8"/>
        <x:v>216340</x:v>
      </x:c>
      <x:c r="W20" s="23">
        <x:f t="shared" si="8"/>
        <x:v>47960</x:v>
      </x:c>
      <x:c r="X20" s="23">
        <x:f t="shared" si="8"/>
        <x:v>219980</x:v>
      </x:c>
      <x:c r="Y20" s="23">
        <x:f t="shared" si="8"/>
        <x:v>119910</x:v>
      </x:c>
      <x:c r="Z20" s="24">
        <x:f t="shared" si="8"/>
        <x:v>41225</x:v>
      </x:c>
    </x:row>
    <x:row r="21" spans="1:26">
      <x:c r="A21" s="8" t="s">
        <x:v>63</x:v>
      </x:c>
      <x:c r="B21" s="23">
        <x:f>B17*2.6%</x:f>
        <x:v>312</x:v>
      </x:c>
      <x:c r="C21" s="23">
        <x:f>C17*2.9%</x:f>
        <x:v>4350</x:v>
      </x:c>
      <x:c r="D21" s="23">
        <x:f>D17*3.9%</x:f>
        <x:v>39</x:v>
      </x:c>
      <x:c r="E21" s="23">
        <x:f>E17*1.9%</x:f>
        <x:v>323</x:v>
      </x:c>
      <x:c r="F21" s="23">
        <x:f>F17*4.9%</x:f>
        <x:v>3920</x:v>
      </x:c>
      <x:c r="G21" s="23">
        <x:f>G17*3.1%</x:f>
        <x:v>2945</x:v>
      </x:c>
      <x:c r="H21" s="23">
        <x:f>H17*2.8%</x:f>
        <x:v>3639.9999999999995</x:v>
      </x:c>
      <x:c r="I21" s="23">
        <x:f>I17*2.05%</x:f>
        <x:v>5227.4999999999991</x:v>
      </x:c>
      <x:c r="J21" s="23">
        <x:f>J17*3%</x:f>
        <x:v>9000</x:v>
      </x:c>
      <x:c r="K21" s="23">
        <x:f>K17*2.6%</x:f>
        <x:v>20800.000000000004</x:v>
      </x:c>
      <x:c r="L21" s="23">
        <x:f>L17*0.6%</x:f>
        <x:v>1380</x:v>
      </x:c>
      <x:c r="M21" s="23">
        <x:f>M17*2.05%</x:f>
        <x:v>30.749999999999996</x:v>
      </x:c>
      <x:c r="N21" s="23">
        <x:f>N17*1.8%</x:f>
        <x:v>7200.0000000000009</x:v>
      </x:c>
      <x:c r="O21" s="23">
        <x:f>O17*2.15%</x:f>
        <x:v>11824.999999999998</x:v>
      </x:c>
      <x:c r="P21" s="23">
        <x:f>P17*3.05%</x:f>
        <x:v>518500</x:v>
      </x:c>
      <x:c r="Q21" s="23">
        <x:f>Q17*2.3%</x:f>
        <x:v>12880</x:v>
      </x:c>
      <x:c r="R21" s="23">
        <x:f>R17*3.2%</x:f>
        <x:v>7040</x:v>
      </x:c>
      <x:c r="S21" s="23">
        <x:f>S17*2.2%</x:f>
        <x:v>20020.000000000004</x:v>
      </x:c>
      <x:c r="T21" s="23">
        <x:f>T17*4.9%</x:f>
        <x:v>20090</x:v>
      </x:c>
      <x:c r="U21" s="24">
        <x:f>U17*4.5%</x:f>
        <x:v>8550</x:v>
      </x:c>
      <x:c r="V21" s="23">
        <x:f>V17*5.1%</x:f>
        <x:v>33660</x:v>
      </x:c>
      <x:c r="W21" s="23">
        <x:f>W17*3.2%</x:f>
        <x:v>7040</x:v>
      </x:c>
      <x:c r="X21" s="23">
        <x:f>X17*2.2%</x:f>
        <x:v>20020.000000000004</x:v>
      </x:c>
      <x:c r="Y21" s="23">
        <x:f>Y17*4.9%</x:f>
        <x:v>20090</x:v>
      </x:c>
      <x:c r="Z21" s="24">
        <x:f>Z17*4.5%</x:f>
        <x:v>8775</x:v>
      </x:c>
    </x:row>
    <x:row r="22" spans="1:26">
      <x:c r="A22" s="8" t="s">
        <x:v>67</x:v>
      </x:c>
      <x:c r="B22" s="23">
        <x:f>B17*1.3%</x:f>
        <x:v>156</x:v>
      </x:c>
      <x:c r="C22" s="1">
        <x:v>0</x:v>
      </x:c>
      <x:c r="D22" s="1">
        <x:v>0</x:v>
      </x:c>
      <x:c r="E22" s="1">
        <x:v>0</x:v>
      </x:c>
      <x:c r="F22" s="1">
        <x:v>0</x:v>
      </x:c>
      <x:c r="G22" s="1">
        <x:v>0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23">
        <x:f>L17*0.5%</x:f>
        <x:v>1150</x:v>
      </x:c>
      <x:c r="M22" s="1"/>
      <x:c r="N22" s="1"/>
      <x:c r="O22" s="23">
        <x:f>O17*0.6%</x:f>
        <x:v>3300</x:v>
      </x:c>
      <x:c r="P22" s="1"/>
      <x:c r="Q22" s="1"/>
      <x:c r="R22" s="1"/>
      <x:c r="S22" s="1"/>
      <x:c r="T22" s="1"/>
      <x:c r="U22" s="9"/>
      <x:c r="V22" s="1"/>
      <x:c r="W22" s="1"/>
      <x:c r="X22" s="1"/>
      <x:c r="Y22" s="1"/>
      <x:c r="Z22" s="9"/>
    </x:row>
    <x:row r="23" spans="1:26">
      <x:c r="A23" s="17" t="s">
        <x:v>76</x:v>
      </x:c>
      <x:c r="B23" s="25">
        <x:f>B19/B20</x:f>
        <x:v>1.1160714285714286</x:v>
      </x:c>
      <x:c r="C23" s="25">
        <x:f t="shared" ref="C23:Z23" si="10">C19/C20</x:f>
        <x:v>1.1419249592169658</x:v>
      </x:c>
      <x:c r="D23" s="25">
        <x:f t="shared" si="10"/>
        <x:v>1.155378486055777</x:v>
      </x:c>
      <x:c r="E23" s="25">
        <x:f t="shared" si="10"/>
        <x:v>1.0690613641223006</x:v>
      </x:c>
      <x:c r="F23" s="25">
        <x:f t="shared" si="10"/>
        <x:v>1.2437810945273631</x:v>
      </x:c>
      <x:c r="G23" s="25">
        <x:f t="shared" si="10"/>
        <x:v>1.1335298118340513</x:v>
      </x:c>
      <x:c r="H23" s="25">
        <x:f t="shared" si="10"/>
        <x:v>1.0948905109489051</x:v>
      </x:c>
      <x:c r="I23" s="25">
        <x:f t="shared" si="10"/>
        <x:v>1.175581492988496</x:v>
      </x:c>
      <x:c r="J23" s="25">
        <x:f t="shared" si="10"/>
        <x:v>1.3461538461538463</x:v>
      </x:c>
      <x:c r="K23" s="25">
        <x:f t="shared" si="10"/>
        <x:v>1.2096774193548387</x:v>
      </x:c>
      <x:c r="L23" s="25">
        <x:f t="shared" si="10"/>
        <x:v>1.0283833813245578</x:v>
      </x:c>
      <x:c r="M23" s="25">
        <x:f t="shared" si="10"/>
        <x:v>1.0832769126607988</x:v>
      </x:c>
      <x:c r="N23" s="25">
        <x:f t="shared" si="10"/>
        <x:v>1.1363636363636365</x:v>
      </x:c>
      <x:c r="O23" s="25">
        <x:f t="shared" si="10"/>
        <x:v>1.2032660077352815</x:v>
      </x:c>
      <x:c r="P23" s="25">
        <x:f t="shared" si="10"/>
        <x:v>1.1489300588826654</x:v>
      </x:c>
      <x:c r="Q23" s="25">
        <x:f t="shared" ref="Q23:U23" si="11">Q19/Q20</x:f>
        <x:v>1.077070368597415</x:v>
      </x:c>
      <x:c r="R23" s="25">
        <x:f t="shared" si="11"/>
        <x:v>1.1467889908256881</x:v>
      </x:c>
      <x:c r="S23" s="25">
        <x:f t="shared" si="11"/>
        <x:v>1.0910082734794073</x:v>
      </x:c>
      <x:c r="T23" s="25">
        <x:f t="shared" si="11"/>
        <x:v>1.1675423234092235</x:v>
      </x:c>
      <x:c r="U23" s="25">
        <x:f t="shared" si="11"/>
        <x:v>1.2062726176115801</x:v>
      </x:c>
      <x:c r="V23" s="25">
        <x:f t="shared" si="10"/>
        <x:v>1.1555884256263289</x:v>
      </x:c>
      <x:c r="W23" s="25">
        <x:f t="shared" si="10"/>
        <x:v>1.1467889908256881</x:v>
      </x:c>
      <x:c r="X23" s="25">
        <x:f t="shared" si="10"/>
        <x:v>1.0910082734794073</x:v>
      </x:c>
      <x:c r="Y23" s="25">
        <x:f t="shared" si="10"/>
        <x:v>1.1675423234092235</x:v>
      </x:c>
      <x:c r="Z23" s="25">
        <x:f t="shared" si="10"/>
        <x:v>1.212856276531231</x:v>
      </x:c>
    </x:row>
    <x:row r="24" spans="1:26" ht="16.75">
      <x:c r="A24" s="15" t="s">
        <x:v>99</x:v>
      </x:c>
      <x:c r="B24" s="18"/>
      <x:c r="C24" s="19" t="s">
        <x:v>47</x:v>
      </x:c>
      <x:c r="D24" s="19"/>
      <x:c r="E24" s="19"/>
      <x:c r="F24" s="19"/>
      <x:c r="G24" s="19" t="s">
        <x:v>47</x:v>
      </x:c>
      <x:c r="H24" s="19"/>
      <x:c r="I24" s="19"/>
      <x:c r="J24" s="19"/>
      <x:c r="K24" s="19"/>
      <x:c r="L24" s="18"/>
      <x:c r="M24" s="19"/>
      <x:c r="N24" s="19"/>
      <x:c r="O24" s="18"/>
      <x:c r="P24" s="19" t="s">
        <x:v>29</x:v>
      </x:c>
      <x:c r="Q24" s="19"/>
      <x:c r="R24" s="19"/>
      <x:c r="S24" s="19"/>
      <x:c r="T24" s="19"/>
      <x:c r="U24" s="20" t="s">
        <x:v>88</x:v>
      </x:c>
      <x:c r="V24" s="19"/>
      <x:c r="W24" s="19"/>
      <x:c r="X24" s="19"/>
      <x:c r="Y24" s="19"/>
      <x:c r="Z24" s="20" t="s">
        <x:v>47</x:v>
      </x:c>
    </x:row>
    <x:row r="25" spans="1:26" ht="16.75">
      <x:c r="A25" s="6" t="s">
        <x:v>98</x:v>
      </x:c>
      <x:c r="B25" s="26">
        <x:v>11000</x:v>
      </x:c>
      <x:c r="C25" s="26">
        <x:v>130000</x:v>
      </x:c>
      <x:c r="D25" s="26">
        <x:v>850</x:v>
      </x:c>
      <x:c r="E25" s="26">
        <x:v>18000</x:v>
      </x:c>
      <x:c r="F25" s="26"/>
      <x:c r="G25" s="26">
        <x:v>96000</x:v>
      </x:c>
      <x:c r="H25" s="26">
        <x:v>160000</x:v>
      </x:c>
      <x:c r="I25" s="26">
        <x:v>210000</x:v>
      </x:c>
      <x:c r="J25" s="26">
        <x:v>290000</x:v>
      </x:c>
      <x:c r="K25" s="26">
        <x:v>850000</x:v>
      </x:c>
      <x:c r="L25" s="26">
        <x:v>235000</x:v>
      </x:c>
      <x:c r="M25" s="26">
        <x:v>1900</x:v>
      </x:c>
      <x:c r="N25" s="26">
        <x:v>420000</x:v>
      </x:c>
      <x:c r="O25" s="26">
        <x:v>520000</x:v>
      </x:c>
      <x:c r="P25" s="26">
        <x:v>16000000</x:v>
      </x:c>
      <x:c r="Q25" s="26">
        <x:v>530000</x:v>
      </x:c>
      <x:c r="R25" s="26">
        <x:v>280000</x:v>
      </x:c>
      <x:c r="S25" s="26">
        <x:v>890000</x:v>
      </x:c>
      <x:c r="T25" s="26">
        <x:v>370000</x:v>
      </x:c>
      <x:c r="U25" s="27">
        <x:v>200000</x:v>
      </x:c>
      <x:c r="V25" s="26">
        <x:v>530000</x:v>
      </x:c>
      <x:c r="W25" s="26">
        <x:v>280000</x:v>
      </x:c>
      <x:c r="X25" s="26">
        <x:v>890000</x:v>
      </x:c>
      <x:c r="Y25" s="26">
        <x:v>370000</x:v>
      </x:c>
      <x:c r="Z25" s="27">
        <x:v>210000</x:v>
      </x:c>
    </x:row>
    <x:row r="26" spans="1:26">
      <x:c r="A26" s="8" t="s">
        <x:v>53</x:v>
      </x:c>
      <x:c r="B26" s="23">
        <x:v>8600</x:v>
      </x:c>
      <x:c r="C26" s="23">
        <x:v>100000</x:v>
      </x:c>
      <x:c r="D26" s="23">
        <x:v>590</x:v>
      </x:c>
      <x:c r="E26" s="23">
        <x:v>13500</x:v>
      </x:c>
      <x:c r="F26" s="23"/>
      <x:c r="G26" s="23">
        <x:v>73000</x:v>
      </x:c>
      <x:c r="H26" s="23">
        <x:v>110000</x:v>
      </x:c>
      <x:c r="I26" s="23">
        <x:v>185000</x:v>
      </x:c>
      <x:c r="J26" s="23">
        <x:v>270000</x:v>
      </x:c>
      <x:c r="K26" s="23">
        <x:v>700000</x:v>
      </x:c>
      <x:c r="L26" s="23">
        <x:v>185000</x:v>
      </x:c>
      <x:c r="M26" s="23">
        <x:v>1500</x:v>
      </x:c>
      <x:c r="N26" s="23">
        <x:v>360000</x:v>
      </x:c>
      <x:c r="O26" s="23">
        <x:v>460000</x:v>
      </x:c>
      <x:c r="P26" s="23">
        <x:v>12500000</x:v>
      </x:c>
      <x:c r="Q26" s="23">
        <x:v>340000</x:v>
      </x:c>
      <x:c r="R26" s="23">
        <x:v>210000</x:v>
      </x:c>
      <x:c r="S26" s="23">
        <x:v>630000</x:v>
      </x:c>
      <x:c r="T26" s="23">
        <x:v>230000</x:v>
      </x:c>
      <x:c r="U26" s="24">
        <x:v>150000</x:v>
      </x:c>
      <x:c r="V26" s="23">
        <x:v>340000</x:v>
      </x:c>
      <x:c r="W26" s="23">
        <x:v>210000</x:v>
      </x:c>
      <x:c r="X26" s="23">
        <x:v>630000</x:v>
      </x:c>
      <x:c r="Y26" s="23">
        <x:v>230000</x:v>
      </x:c>
      <x:c r="Z26" s="24">
        <x:v>155000</x:v>
      </x:c>
    </x:row>
    <x:row r="27" spans="1:26">
      <x:c r="A27" s="8" t="s">
        <x:v>55</x:v>
      </x:c>
      <x:c r="B27" s="23">
        <x:f>B25-B26</x:f>
        <x:v>2400</x:v>
      </x:c>
      <x:c r="C27" s="23">
        <x:f t="shared" ref="C27:Z27" si="12">C25-C26</x:f>
        <x:v>30000</x:v>
      </x:c>
      <x:c r="D27" s="23">
        <x:f t="shared" si="12"/>
        <x:v>260</x:v>
      </x:c>
      <x:c r="E27" s="23">
        <x:f t="shared" si="12"/>
        <x:v>4500</x:v>
      </x:c>
      <x:c r="F27" s="23">
        <x:f t="shared" si="12"/>
        <x:v>0</x:v>
      </x:c>
      <x:c r="G27" s="23">
        <x:f t="shared" si="12"/>
        <x:v>23000</x:v>
      </x:c>
      <x:c r="H27" s="23">
        <x:f t="shared" si="12"/>
        <x:v>50000</x:v>
      </x:c>
      <x:c r="I27" s="23">
        <x:f t="shared" si="12"/>
        <x:v>25000</x:v>
      </x:c>
      <x:c r="J27" s="23">
        <x:f t="shared" si="12"/>
        <x:v>20000</x:v>
      </x:c>
      <x:c r="K27" s="23">
        <x:f t="shared" si="12"/>
        <x:v>150000</x:v>
      </x:c>
      <x:c r="L27" s="23">
        <x:f t="shared" si="12"/>
        <x:v>50000</x:v>
      </x:c>
      <x:c r="M27" s="23">
        <x:f t="shared" si="12"/>
        <x:v>400</x:v>
      </x:c>
      <x:c r="N27" s="23">
        <x:f t="shared" si="12"/>
        <x:v>60000</x:v>
      </x:c>
      <x:c r="O27" s="23">
        <x:f t="shared" si="12"/>
        <x:v>60000</x:v>
      </x:c>
      <x:c r="P27" s="23">
        <x:f t="shared" si="12"/>
        <x:v>3500000</x:v>
      </x:c>
      <x:c r="Q27" s="23">
        <x:f t="shared" ref="Q27:U27" si="13">Q25-Q26</x:f>
        <x:v>190000</x:v>
      </x:c>
      <x:c r="R27" s="23">
        <x:f t="shared" si="13"/>
        <x:v>70000</x:v>
      </x:c>
      <x:c r="S27" s="23">
        <x:f t="shared" si="13"/>
        <x:v>260000</x:v>
      </x:c>
      <x:c r="T27" s="23">
        <x:f t="shared" si="13"/>
        <x:v>140000</x:v>
      </x:c>
      <x:c r="U27" s="23">
        <x:f t="shared" si="13"/>
        <x:v>50000</x:v>
      </x:c>
      <x:c r="V27" s="23">
        <x:f t="shared" si="12"/>
        <x:v>190000</x:v>
      </x:c>
      <x:c r="W27" s="23">
        <x:f t="shared" si="12"/>
        <x:v>70000</x:v>
      </x:c>
      <x:c r="X27" s="23">
        <x:f t="shared" si="12"/>
        <x:v>260000</x:v>
      </x:c>
      <x:c r="Y27" s="23">
        <x:f t="shared" si="12"/>
        <x:v>140000</x:v>
      </x:c>
      <x:c r="Z27" s="23">
        <x:f t="shared" si="12"/>
        <x:v>55000</x:v>
      </x:c>
    </x:row>
    <x:row r="28" spans="1:26">
      <x:c r="A28" s="8" t="s">
        <x:v>56</x:v>
      </x:c>
      <x:c r="B28" s="23">
        <x:f>B25-B26-B29</x:f>
        <x:v>2125</x:v>
      </x:c>
      <x:c r="C28" s="23">
        <x:f>C25-C26-C29</x:f>
        <x:v>25580</x:v>
      </x:c>
      <x:c r="D28" s="23">
        <x:f>D25-D26-D29</x:f>
        <x:v>225.15000000000001</x:v>
      </x:c>
      <x:c r="E28" s="23">
        <x:f>E25-E26-E29</x:f>
        <x:v>4158</x:v>
      </x:c>
      <x:c r="F28" s="23"/>
      <x:c r="G28" s="23">
        <x:f t="shared" ref="G28:Z28" si="14">G25-G26-G29</x:f>
        <x:v>19064</x:v>
      </x:c>
      <x:c r="H28" s="23">
        <x:f t="shared" si="14"/>
        <x:v>46000</x:v>
      </x:c>
      <x:c r="I28" s="23">
        <x:f t="shared" si="14"/>
        <x:v>19120</x:v>
      </x:c>
      <x:c r="J28" s="23">
        <x:f t="shared" si="14"/>
        <x:v>20089.900000000001</x:v>
      </x:c>
      <x:c r="K28" s="23">
        <x:f t="shared" si="14"/>
        <x:v>112600</x:v>
      </x:c>
      <x:c r="L28" s="23">
        <x:f t="shared" si="14"/>
        <x:v>46592.5</x:v>
      </x:c>
      <x:c r="M28" s="23">
        <x:f t="shared" si="14"/>
        <x:v>358.19999999999999</x:v>
      </x:c>
      <x:c r="N28" s="23">
        <x:f t="shared" si="14"/>
        <x:v>56850</x:v>
      </x:c>
      <x:c r="O28" s="23">
        <x:f t="shared" si="14"/>
        <x:v>54540</x:v>
      </x:c>
      <x:c r="P28" s="23">
        <x:f t="shared" si="14"/>
        <x:v>3010400</x:v>
      </x:c>
      <x:c r="Q28" s="23">
        <x:f t="shared" ref="Q28:U28" si="15">Q25-Q26-Q29</x:f>
        <x:v>175690</x:v>
      </x:c>
      <x:c r="R28" s="23">
        <x:f t="shared" si="15"/>
        <x:v>58240</x:v>
      </x:c>
      <x:c r="S28" s="23">
        <x:f t="shared" si="15"/>
        <x:v>234190</x:v>
      </x:c>
      <x:c r="T28" s="23">
        <x:f t="shared" si="15"/>
        <x:v>120020</x:v>
      </x:c>
      <x:c r="U28" s="24">
        <x:f t="shared" si="15"/>
        <x:v>44600</x:v>
      </x:c>
      <x:c r="V28" s="23">
        <x:f t="shared" si="14"/>
        <x:v>162970</x:v>
      </x:c>
      <x:c r="W28" s="23">
        <x:f t="shared" si="14"/>
        <x:v>73920</x:v>
      </x:c>
      <x:c r="X28" s="23">
        <x:f t="shared" si="14"/>
        <x:v>234190</x:v>
      </x:c>
      <x:c r="Y28" s="23">
        <x:f t="shared" si="14"/>
        <x:v>120020</x:v>
      </x:c>
      <x:c r="Z28" s="24">
        <x:f t="shared" si="14"/>
        <x:v>49330</x:v>
      </x:c>
    </x:row>
    <x:row r="29" spans="1:26">
      <x:c r="A29" s="8" t="s">
        <x:v>61</x:v>
      </x:c>
      <x:c r="B29" s="23">
        <x:f>B25*2.5%</x:f>
        <x:v>275</x:v>
      </x:c>
      <x:c r="C29" s="23">
        <x:f>C25*3.4%</x:f>
        <x:v>4420</x:v>
      </x:c>
      <x:c r="D29" s="23">
        <x:f>D25*4.1%</x:f>
        <x:v>34.849999999999994</x:v>
      </x:c>
      <x:c r="E29" s="23">
        <x:f>E25*1.9%</x:f>
        <x:v>342</x:v>
      </x:c>
      <x:c r="F29" s="23"/>
      <x:c r="G29" s="23">
        <x:f>G25*4.1%</x:f>
        <x:v>3935.9999999999995</x:v>
      </x:c>
      <x:c r="H29" s="23">
        <x:f>H25*2.5%</x:f>
        <x:v>4000</x:v>
      </x:c>
      <x:c r="I29" s="23">
        <x:f>I25*2.8%</x:f>
        <x:v>5879.9999999999991</x:v>
      </x:c>
      <x:c r="J29" s="23">
        <x:f>J25*-3.1%%</x:f>
        <x:v>-89.900000000000006</x:v>
      </x:c>
      <x:c r="K29" s="23">
        <x:f>K25*4.4%</x:f>
        <x:v>37400.000000000007</x:v>
      </x:c>
      <x:c r="L29" s="23">
        <x:f>L25*1.45%</x:f>
        <x:v>3407.4999999999995</x:v>
      </x:c>
      <x:c r="M29" s="23">
        <x:f>M25*2.2%</x:f>
        <x:v>41.800000000000004</x:v>
      </x:c>
      <x:c r="N29" s="23">
        <x:f>N25*0.75%</x:f>
        <x:v>3150</x:v>
      </x:c>
      <x:c r="O29" s="23">
        <x:f>O25*1.05%</x:f>
        <x:v>5460</x:v>
      </x:c>
      <x:c r="P29" s="23">
        <x:f>P25*3.06%</x:f>
        <x:v>489600.00000000006</x:v>
      </x:c>
      <x:c r="Q29" s="23">
        <x:f>Q25*2.7%</x:f>
        <x:v>14310.000000000002</x:v>
      </x:c>
      <x:c r="R29" s="23">
        <x:f>R25*4.2%</x:f>
        <x:v>11760</x:v>
      </x:c>
      <x:c r="S29" s="23">
        <x:f>S25*2.9%</x:f>
        <x:v>25810</x:v>
      </x:c>
      <x:c r="T29" s="23">
        <x:f>T25*5.4%</x:f>
        <x:v>19980.000000000004</x:v>
      </x:c>
      <x:c r="U29" s="24">
        <x:f>U25*2.7%</x:f>
        <x:v>5400.0000000000009</x:v>
      </x:c>
      <x:c r="V29" s="23">
        <x:f>V25*5.1%</x:f>
        <x:v>27030</x:v>
      </x:c>
      <x:c r="W29" s="23">
        <x:f>W25*-1.4%</x:f>
        <x:v>-3919.9999999999995</x:v>
      </x:c>
      <x:c r="X29" s="23">
        <x:f>X25*2.9%</x:f>
        <x:v>25810</x:v>
      </x:c>
      <x:c r="Y29" s="23">
        <x:f>Y25*5.4%</x:f>
        <x:v>19980.000000000004</x:v>
      </x:c>
      <x:c r="Z29" s="24">
        <x:f>Z25*2.7%</x:f>
        <x:v>5670.0000000000009</x:v>
      </x:c>
    </x:row>
    <x:row r="30" spans="1:26">
      <x:c r="A30" s="8" t="s">
        <x:v>54</x:v>
      </x:c>
      <x:c r="B30" s="23">
        <x:f>B25*1.7%</x:f>
        <x:v>187</x:v>
      </x:c>
      <x:c r="C30" s="1">
        <x:v>0</x:v>
      </x:c>
      <x:c r="D30" s="1">
        <x:v>0</x:v>
      </x:c>
      <x:c r="E30" s="1">
        <x:v>0</x:v>
      </x:c>
      <x:c r="F30" s="1"/>
      <x:c r="G30" s="1">
        <x:v>0</x:v>
      </x:c>
      <x:c r="H30" s="1">
        <x:v>0</x:v>
      </x:c>
      <x:c r="I30" s="1">
        <x:v>0</x:v>
      </x:c>
      <x:c r="J30" s="1">
        <x:v>0</x:v>
      </x:c>
      <x:c r="K30" s="1">
        <x:v>0</x:v>
      </x:c>
      <x:c r="L30" s="23">
        <x:f>L25*0.6%</x:f>
        <x:v>1410</x:v>
      </x:c>
      <x:c r="M30" s="1"/>
      <x:c r="N30" s="1"/>
      <x:c r="O30" s="23">
        <x:f>O25*1.1%</x:f>
        <x:v>5720.0000000000009</x:v>
      </x:c>
      <x:c r="P30" s="1"/>
      <x:c r="Q30" s="1"/>
      <x:c r="R30" s="1"/>
      <x:c r="S30" s="1"/>
      <x:c r="T30" s="1"/>
      <x:c r="U30" s="9"/>
      <x:c r="V30" s="1"/>
      <x:c r="W30" s="1"/>
      <x:c r="X30" s="1"/>
      <x:c r="Y30" s="1"/>
      <x:c r="Z30" s="9"/>
    </x:row>
    <x:row r="31" spans="1:26">
      <x:c r="A31" s="17" t="s">
        <x:v>78</x:v>
      </x:c>
      <x:c r="B31" s="25">
        <x:f>B27/B28</x:f>
        <x:v>1.1294117647058823</x:v>
      </x:c>
      <x:c r="C31" s="25">
        <x:f t="shared" ref="C31:Z31" si="16">C27/C28</x:f>
        <x:v>1.1727912431587177</x:v>
      </x:c>
      <x:c r="D31" s="25">
        <x:f t="shared" si="16"/>
        <x:v>1.1547856984232734</x:v>
      </x:c>
      <x:c r="E31" s="25">
        <x:f t="shared" si="16"/>
        <x:v>1.0822510822510822</x:v>
      </x:c>
      <x:c r="F31" s="25" t="s">
        <x:v>29</x:v>
      </x:c>
      <x:c r="G31" s="25">
        <x:f t="shared" si="16"/>
        <x:v>1.2064624422996224</x:v>
      </x:c>
      <x:c r="H31" s="25">
        <x:f t="shared" si="16"/>
        <x:v>1.0869565217391304</x:v>
      </x:c>
      <x:c r="I31" s="25">
        <x:f t="shared" si="16"/>
        <x:v>1.3075313807531381</x:v>
      </x:c>
      <x:c r="J31" s="25">
        <x:f t="shared" si="16"/>
        <x:v>0.99552511460982873</x:v>
      </x:c>
      <x:c r="K31" s="25">
        <x:f t="shared" si="16"/>
        <x:v>1.3321492007104796</x:v>
      </x:c>
      <x:c r="L31" s="25">
        <x:f t="shared" si="16"/>
        <x:v>1.0731340881043085</x:v>
      </x:c>
      <x:c r="M31" s="25">
        <x:f t="shared" si="16"/>
        <x:v>1.1166945840312674</x:v>
      </x:c>
      <x:c r="N31" s="25">
        <x:f t="shared" si="16"/>
        <x:v>1.0554089709762533</x:v>
      </x:c>
      <x:c r="O31" s="25">
        <x:f t="shared" si="16"/>
        <x:v>1.1001100110011002</x:v>
      </x:c>
      <x:c r="P31" s="25">
        <x:f t="shared" si="16"/>
        <x:v>1.1626361945256445</x:v>
      </x:c>
      <x:c r="Q31" s="25">
        <x:f t="shared" ref="Q31:U31" si="17">Q27/Q28</x:f>
        <x:v>1.0814502817462577</x:v>
      </x:c>
      <x:c r="R31" s="25">
        <x:f t="shared" si="17"/>
        <x:v>1.2019230769230769</x:v>
      </x:c>
      <x:c r="S31" s="25">
        <x:f t="shared" si="17"/>
        <x:v>1.1102096588240318</x:v>
      </x:c>
      <x:c r="T31" s="25">
        <x:f t="shared" si="17"/>
        <x:v>1.1664722546242292</x:v>
      </x:c>
      <x:c r="U31" s="25">
        <x:f t="shared" si="17"/>
        <x:v>1.1210762331838564</x:v>
      </x:c>
      <x:c r="V31" s="25">
        <x:f t="shared" si="16"/>
        <x:v>1.1658587470086519</x:v>
      </x:c>
      <x:c r="W31" s="25">
        <x:f t="shared" si="16"/>
        <x:v>0.94696969696969702</x:v>
      </x:c>
      <x:c r="X31" s="25">
        <x:f t="shared" si="16"/>
        <x:v>1.1102096588240318</x:v>
      </x:c>
      <x:c r="Y31" s="25">
        <x:f t="shared" si="16"/>
        <x:v>1.1664722546242292</x:v>
      </x:c>
      <x:c r="Z31" s="25">
        <x:f t="shared" si="16"/>
        <x:v>1.1149401986620717</x:v>
      </x:c>
    </x:row>
    <x:row r="32" spans="1:26" ht="16.75">
      <x:c r="A32" s="15" t="s">
        <x:v>99</x:v>
      </x:c>
      <x:c r="B32" s="18"/>
      <x:c r="C32" s="19" t="s">
        <x:v>47</x:v>
      </x:c>
      <x:c r="D32" s="19"/>
      <x:c r="E32" s="19" t="s">
        <x:v>47</x:v>
      </x:c>
      <x:c r="F32" s="19"/>
      <x:c r="G32" s="19" t="s">
        <x:v>47</x:v>
      </x:c>
      <x:c r="H32" s="19"/>
      <x:c r="I32" s="19"/>
      <x:c r="J32" s="19"/>
      <x:c r="K32" s="19"/>
      <x:c r="L32" s="18"/>
      <x:c r="M32" s="19"/>
      <x:c r="N32" s="19"/>
      <x:c r="O32" s="18"/>
      <x:c r="P32" s="19"/>
      <x:c r="Q32" s="19"/>
      <x:c r="R32" s="19"/>
      <x:c r="S32" s="19"/>
      <x:c r="T32" s="19"/>
      <x:c r="U32" s="20" t="s">
        <x:v>47</x:v>
      </x:c>
      <x:c r="V32" s="19"/>
      <x:c r="W32" s="19"/>
      <x:c r="X32" s="19"/>
      <x:c r="Y32" s="19"/>
      <x:c r="Z32" s="20" t="s">
        <x:v>47</x:v>
      </x:c>
    </x:row>
    <x:row r="33" spans="1:26">
      <x:c r="A33" s="1" t="s">
        <x:v>80</x:v>
      </x:c>
      <x:c r="B33" s="28">
        <x:f t="shared" ref="B33:Z33" si="18">B9+B17+B25</x:f>
        <x:v>33000</x:v>
      </x:c>
      <x:c r="C33" s="28">
        <x:f t="shared" si="18"/>
        <x:v>400000</x:v>
      </x:c>
      <x:c r="D33" s="28">
        <x:f t="shared" si="18"/>
        <x:v>2750</x:v>
      </x:c>
      <x:c r="E33" s="28">
        <x:f t="shared" si="18"/>
        <x:v>50000</x:v>
      </x:c>
      <x:c r="F33" s="28">
        <x:f t="shared" si="18"/>
        <x:v>150000</x:v>
      </x:c>
      <x:c r="G33" s="28">
        <x:f t="shared" si="18"/>
        <x:v>281000</x:v>
      </x:c>
      <x:c r="H33" s="28">
        <x:f t="shared" si="18"/>
        <x:v>440000</x:v>
      </x:c>
      <x:c r="I33" s="28">
        <x:f t="shared" si="18"/>
        <x:v>715000</x:v>
      </x:c>
      <x:c r="J33" s="28">
        <x:f t="shared" si="18"/>
        <x:v>900000</x:v>
      </x:c>
      <x:c r="K33" s="28">
        <x:f t="shared" si="18"/>
        <x:v>2420000</x:v>
      </x:c>
      <x:c r="L33" s="28">
        <x:f t="shared" si="18"/>
        <x:v>715000</x:v>
      </x:c>
      <x:c r="M33" s="28">
        <x:f t="shared" si="18"/>
        <x:v>4600</x:v>
      </x:c>
      <x:c r="N33" s="28">
        <x:f t="shared" si="18"/>
        <x:v>1170000</x:v>
      </x:c>
      <x:c r="O33" s="28">
        <x:f t="shared" si="18"/>
        <x:v>1500000</x:v>
      </x:c>
      <x:c r="P33" s="28">
        <x:f t="shared" si="18"/>
        <x:v>48000000</x:v>
      </x:c>
      <x:c r="Q33" s="28">
        <x:f t="shared" ref="Q33:U33" si="19">Q9+Q17+Q25</x:f>
        <x:v>1740000</x:v>
      </x:c>
      <x:c r="R33" s="28">
        <x:f t="shared" si="19"/>
        <x:v>730000</x:v>
      </x:c>
      <x:c r="S33" s="28">
        <x:f t="shared" si="19"/>
        <x:v>2750000</x:v>
      </x:c>
      <x:c r="T33" s="28">
        <x:f t="shared" si="19"/>
        <x:v>1120000</x:v>
      </x:c>
      <x:c r="U33" s="28">
        <x:f t="shared" si="19"/>
        <x:v>620000</x:v>
      </x:c>
      <x:c r="V33" s="28">
        <x:f t="shared" si="18"/>
        <x:v>1940000</x:v>
      </x:c>
      <x:c r="W33" s="28">
        <x:f t="shared" si="18"/>
        <x:v>730000</x:v>
      </x:c>
      <x:c r="X33" s="28">
        <x:f t="shared" si="18"/>
        <x:v>2750000</x:v>
      </x:c>
      <x:c r="Y33" s="28">
        <x:f t="shared" si="18"/>
        <x:v>1120000</x:v>
      </x:c>
      <x:c r="Z33" s="28">
        <x:f t="shared" si="18"/>
        <x:v>655000</x:v>
      </x:c>
    </x:row>
    <x:row r="34" spans="1:26">
      <x:c r="A34" s="1" t="s">
        <x:v>86</x:v>
      </x:c>
      <x:c r="B34" s="28">
        <x:f t="shared" ref="B34:Z34" si="20">B10+B18+B26</x:f>
        <x:v>25600</x:v>
      </x:c>
      <x:c r="C34" s="28">
        <x:f t="shared" si="20"/>
        <x:v>305000</x:v>
      </x:c>
      <x:c r="D34" s="28">
        <x:f t="shared" si="20"/>
        <x:v>1950</x:v>
      </x:c>
      <x:c r="E34" s="28">
        <x:f t="shared" si="20"/>
        <x:v>36500</x:v>
      </x:c>
      <x:c r="F34" s="28">
        <x:f t="shared" si="20"/>
        <x:v>115000</x:v>
      </x:c>
      <x:c r="G34" s="28">
        <x:f t="shared" si="20"/>
        <x:v>208000</x:v>
      </x:c>
      <x:c r="H34" s="28">
        <x:f t="shared" si="20"/>
        <x:v>308000</x:v>
      </x:c>
      <x:c r="I34" s="28">
        <x:f t="shared" si="20"/>
        <x:v>615000</x:v>
      </x:c>
      <x:c r="J34" s="28">
        <x:f t="shared" si="20"/>
        <x:v>805000</x:v>
      </x:c>
      <x:c r="K34" s="28">
        <x:f t="shared" si="20"/>
        <x:v>2030000</x:v>
      </x:c>
      <x:c r="L34" s="28">
        <x:f t="shared" si="20"/>
        <x:v>560000</x:v>
      </x:c>
      <x:c r="M34" s="28">
        <x:f t="shared" si="20"/>
        <x:v>3450</x:v>
      </x:c>
      <x:c r="N34" s="28">
        <x:f t="shared" si="20"/>
        <x:v>980000</x:v>
      </x:c>
      <x:c r="O34" s="28">
        <x:f t="shared" si="20"/>
        <x:v>1310000</x:v>
      </x:c>
      <x:c r="P34" s="28">
        <x:f t="shared" si="20"/>
        <x:v>36500000</x:v>
      </x:c>
      <x:c r="Q34" s="28">
        <x:f t="shared" ref="Q34:U34" si="21">Q10+Q18+Q26</x:f>
        <x:v>1170000</x:v>
      </x:c>
      <x:c r="R34" s="28">
        <x:f t="shared" si="21"/>
        <x:v>545000</x:v>
      </x:c>
      <x:c r="S34" s="28">
        <x:f t="shared" si="21"/>
        <x:v>2020000</x:v>
      </x:c>
      <x:c r="T34" s="28">
        <x:f t="shared" si="21"/>
        <x:v>730000</x:v>
      </x:c>
      <x:c r="U34" s="28">
        <x:f t="shared" si="21"/>
        <x:v>460000</x:v>
      </x:c>
      <x:c r="V34" s="28">
        <x:f t="shared" si="20"/>
        <x:v>1260000</x:v>
      </x:c>
      <x:c r="W34" s="28">
        <x:f t="shared" si="20"/>
        <x:v>545000</x:v>
      </x:c>
      <x:c r="X34" s="28">
        <x:f t="shared" si="20"/>
        <x:v>2020000</x:v>
      </x:c>
      <x:c r="Y34" s="28">
        <x:f t="shared" si="20"/>
        <x:v>730000</x:v>
      </x:c>
      <x:c r="Z34" s="28">
        <x:f t="shared" si="20"/>
        <x:v>475000</x:v>
      </x:c>
    </x:row>
    <x:row r="35" spans="1:26">
      <x:c r="A35" s="1" t="s">
        <x:v>92</x:v>
      </x:c>
      <x:c r="B35" s="28">
        <x:f t="shared" ref="B35:Z35" si="22">B12+B20+B28</x:f>
        <x:v>6663</x:v>
      </x:c>
      <x:c r="C35" s="28">
        <x:f t="shared" si="22"/>
        <x:v>82750</x:v>
      </x:c>
      <x:c r="D35" s="28">
        <x:f t="shared" si="22"/>
        <x:v>690.14999999999998</x:v>
      </x:c>
      <x:c r="E35" s="28">
        <x:f t="shared" si="22"/>
        <x:v>12535</x:v>
      </x:c>
      <x:c r="F35" s="28">
        <x:f t="shared" si="22"/>
        <x:v>34580</x:v>
      </x:c>
      <x:c r="G35" s="28">
        <x:f t="shared" si="22"/>
        <x:v>61619</x:v>
      </x:c>
      <x:c r="H35" s="28">
        <x:f t="shared" si="22"/>
        <x:v>120460</x:v>
      </x:c>
      <x:c r="I35" s="28">
        <x:f t="shared" si="22"/>
        <x:v>83642.5</x:v>
      </x:c>
      <x:c r="J35" s="28">
        <x:f t="shared" si="22"/>
        <x:v>98799.899999999994</x:v>
      </x:c>
      <x:c r="K35" s="28">
        <x:f t="shared" si="22"/>
        <x:v>304850</x:v>
      </x:c>
      <x:c r="L35" s="28">
        <x:f t="shared" si="22"/>
        <x:v>143962.5</x:v>
      </x:c>
      <x:c r="M35" s="28">
        <x:f t="shared" si="22"/>
        <x:v>1052.25</x:v>
      </x:c>
      <x:c r="N35" s="28">
        <x:f t="shared" si="22"/>
        <x:v>173700</x:v>
      </x:c>
      <x:c r="O35" s="28">
        <x:f t="shared" si="22"/>
        <x:v>172285</x:v>
      </x:c>
      <x:c r="P35" s="28">
        <x:f t="shared" si="22"/>
        <x:v>10026900</x:v>
      </x:c>
      <x:c r="Q35" s="28">
        <x:f t="shared" ref="Q35:U35" si="23">Q12+Q20+Q28</x:f>
        <x:v>525260</x:v>
      </x:c>
      <x:c r="R35" s="28">
        <x:f t="shared" si="23"/>
        <x:v>169650</x:v>
      </x:c>
      <x:c r="S35" s="28">
        <x:f t="shared" si="23"/>
        <x:v>658520</x:v>
      </x:c>
      <x:c r="T35" s="28">
        <x:f t="shared" si="23"/>
        <x:v>331230</x:v>
      </x:c>
      <x:c r="U35" s="28">
        <x:f t="shared" si="23"/>
        <x:v>138000</x:v>
      </x:c>
      <x:c r="V35" s="28">
        <x:f t="shared" si="22"/>
        <x:v>581060</x:v>
      </x:c>
      <x:c r="W35" s="28">
        <x:f t="shared" si="22"/>
        <x:v>185330</x:v>
      </x:c>
      <x:c r="X35" s="28">
        <x:f t="shared" si="22"/>
        <x:v>658520</x:v>
      </x:c>
      <x:c r="Y35" s="28">
        <x:f t="shared" si="22"/>
        <x:v>331230</x:v>
      </x:c>
      <x:c r="Z35" s="28">
        <x:f t="shared" si="22"/>
        <x:v>154305</x:v>
      </x:c>
    </x:row>
    <x:row r="36" spans="1:26">
      <x:c r="A36" s="1" t="s">
        <x:v>89</x:v>
      </x:c>
      <x:c r="B36" s="28">
        <x:f t="shared" ref="B36:Z36" si="24">B13+B21+B29</x:f>
        <x:v>737</x:v>
      </x:c>
      <x:c r="C36" s="28">
        <x:f t="shared" si="24"/>
        <x:v>12250</x:v>
      </x:c>
      <x:c r="D36" s="28">
        <x:f t="shared" si="24"/>
        <x:v>109.84999999999999</x:v>
      </x:c>
      <x:c r="E36" s="28">
        <x:f t="shared" si="24"/>
        <x:v>965</x:v>
      </x:c>
      <x:c r="F36" s="28">
        <x:f t="shared" si="24"/>
        <x:v>420</x:v>
      </x:c>
      <x:c r="G36" s="28">
        <x:f t="shared" si="24"/>
        <x:v>11381</x:v>
      </x:c>
      <x:c r="H36" s="28">
        <x:f t="shared" si="24"/>
        <x:v>11540</x:v>
      </x:c>
      <x:c r="I36" s="28">
        <x:f t="shared" si="24"/>
        <x:v>16357.5</x:v>
      </x:c>
      <x:c r="J36" s="28">
        <x:f t="shared" si="24"/>
        <x:v>-3799.8999999999983</x:v>
      </x:c>
      <x:c r="K36" s="28">
        <x:f t="shared" si="24"/>
        <x:v>85150.000000000015</x:v>
      </x:c>
      <x:c r="L36" s="28">
        <x:f t="shared" si="24"/>
        <x:v>11037.5</x:v>
      </x:c>
      <x:c r="M36" s="28">
        <x:f t="shared" si="24"/>
        <x:v>97.75</x:v>
      </x:c>
      <x:c r="N36" s="28">
        <x:f t="shared" si="24"/>
        <x:v>16300</x:v>
      </x:c>
      <x:c r="O36" s="28">
        <x:f t="shared" si="24"/>
        <x:v>17715</x:v>
      </x:c>
      <x:c r="P36" s="28">
        <x:f t="shared" si="24"/>
        <x:v>1473100</x:v>
      </x:c>
      <x:c r="Q36" s="28">
        <x:f t="shared" ref="Q36:U36" si="25">Q13+Q21+Q29</x:f>
        <x:v>44740.000000000007</x:v>
      </x:c>
      <x:c r="R36" s="28">
        <x:f t="shared" si="25"/>
        <x:v>15350</x:v>
      </x:c>
      <x:c r="S36" s="28">
        <x:f t="shared" si="25"/>
        <x:v>71480</x:v>
      </x:c>
      <x:c r="T36" s="28">
        <x:f t="shared" si="25"/>
        <x:v>58770</x:v>
      </x:c>
      <x:c r="U36" s="28">
        <x:f t="shared" si="25"/>
        <x:v>22000</x:v>
      </x:c>
      <x:c r="V36" s="28">
        <x:f t="shared" si="24"/>
        <x:v>98940</x:v>
      </x:c>
      <x:c r="W36" s="28">
        <x:f t="shared" si="24"/>
        <x:v>-329.99999999999955</x:v>
      </x:c>
      <x:c r="X36" s="28">
        <x:f t="shared" si="24"/>
        <x:v>71480</x:v>
      </x:c>
      <x:c r="Y36" s="28">
        <x:f t="shared" si="24"/>
        <x:v>58770</x:v>
      </x:c>
      <x:c r="Z36" s="28">
        <x:f t="shared" si="24"/>
        <x:v>25695</x:v>
      </x:c>
    </x:row>
    <x:row r="37" spans="1:26">
      <x:c r="A37" s="1" t="s">
        <x:v>83</x:v>
      </x:c>
      <x:c r="B37" s="28">
        <x:f t="shared" ref="B37:Y37" si="26">B14+B22+B30</x:f>
        <x:v>503</x:v>
      </x:c>
      <x:c r="C37" s="28">
        <x:f t="shared" si="26"/>
        <x:v>0</x:v>
      </x:c>
      <x:c r="D37" s="28">
        <x:f t="shared" si="26"/>
        <x:v>0</x:v>
      </x:c>
      <x:c r="E37" s="28">
        <x:f t="shared" si="26"/>
        <x:v>0</x:v>
      </x:c>
      <x:c r="F37" s="28">
        <x:f t="shared" si="26"/>
        <x:v>0</x:v>
      </x:c>
      <x:c r="G37" s="28">
        <x:f t="shared" si="26"/>
        <x:v>0</x:v>
      </x:c>
      <x:c r="H37" s="28">
        <x:f t="shared" si="26"/>
        <x:v>0</x:v>
      </x:c>
      <x:c r="I37" s="28">
        <x:f t="shared" si="26"/>
        <x:v>0</x:v>
      </x:c>
      <x:c r="J37" s="28">
        <x:f t="shared" si="26"/>
        <x:v>0</x:v>
      </x:c>
      <x:c r="K37" s="28">
        <x:f t="shared" si="26"/>
        <x:v>0</x:v>
      </x:c>
      <x:c r="L37" s="28">
        <x:f t="shared" si="26"/>
        <x:v>20060</x:v>
      </x:c>
      <x:c r="M37" s="28">
        <x:f t="shared" si="26"/>
        <x:v>0</x:v>
      </x:c>
      <x:c r="N37" s="28">
        <x:f t="shared" si="26"/>
        <x:v>0</x:v>
      </x:c>
      <x:c r="O37" s="28">
        <x:f t="shared" si="26"/>
        <x:v>10740</x:v>
      </x:c>
      <x:c r="P37" s="28">
        <x:f t="shared" si="26"/>
        <x:v>0</x:v>
      </x:c>
      <x:c r="Q37" s="28">
        <x:f t="shared" ref="Q37:U37" si="27">Q14+Q22+Q30</x:f>
        <x:v>0</x:v>
      </x:c>
      <x:c r="R37" s="28">
        <x:f t="shared" si="27"/>
        <x:v>0</x:v>
      </x:c>
      <x:c r="S37" s="28">
        <x:f t="shared" si="27"/>
        <x:v>0</x:v>
      </x:c>
      <x:c r="T37" s="28">
        <x:f t="shared" si="27"/>
        <x:v>0</x:v>
      </x:c>
      <x:c r="U37" s="28">
        <x:f t="shared" si="27"/>
        <x:v>0</x:v>
      </x:c>
      <x:c r="V37" s="28">
        <x:f t="shared" si="26"/>
        <x:v>0</x:v>
      </x:c>
      <x:c r="W37" s="28">
        <x:f t="shared" si="26"/>
        <x:v>0</x:v>
      </x:c>
      <x:c r="X37" s="28">
        <x:v>75000</x:v>
      </x:c>
      <x:c r="Y37" s="28">
        <x:f t="shared" si="26"/>
        <x:v>0</x:v>
      </x:c>
      <x:c r="Z37" s="28">
        <x:v>15000</x:v>
      </x:c>
    </x:row>
    <x:row r="38" spans="1:26">
      <x:c r="A38" s="1" t="s">
        <x:v>59</x:v>
      </x:c>
      <x:c r="B38" s="29">
        <x:f>B36/B33</x:f>
        <x:v>0.022333333333333334</x:v>
      </x:c>
      <x:c r="C38" s="29">
        <x:f t="shared" ref="C38:Z38" si="28">C36/C33</x:f>
        <x:v>0.030625000000000002</x:v>
      </x:c>
      <x:c r="D38" s="29">
        <x:f t="shared" si="28"/>
        <x:v>0.039945454545454541</x:v>
      </x:c>
      <x:c r="E38" s="29">
        <x:f t="shared" si="28"/>
        <x:v>0.0193</x:v>
      </x:c>
      <x:c r="F38" s="29">
        <x:f t="shared" si="28"/>
        <x:v>0.0027999999999999997</x:v>
      </x:c>
      <x:c r="G38" s="29">
        <x:f t="shared" si="28"/>
        <x:v>0.040501779359430605</x:v>
      </x:c>
      <x:c r="H38" s="29">
        <x:f t="shared" si="28"/>
        <x:v>0.026227272727272728</x:v>
      </x:c>
      <x:c r="I38" s="29">
        <x:f t="shared" si="28"/>
        <x:v>0.022877622377622378</x:v>
      </x:c>
      <x:c r="J38" s="29">
        <x:f t="shared" si="28"/>
        <x:v>-0.0042221111111111088</x:v>
      </x:c>
      <x:c r="K38" s="29">
        <x:f t="shared" si="28"/>
        <x:v>0.035185950413223144</x:v>
      </x:c>
      <x:c r="L38" s="29">
        <x:f t="shared" si="28"/>
        <x:v>0.015437062937062937</x:v>
      </x:c>
      <x:c r="M38" s="29">
        <x:f t="shared" si="28"/>
        <x:v>0.021250000000000002</x:v>
      </x:c>
      <x:c r="N38" s="29">
        <x:f t="shared" si="28"/>
        <x:v>0.013931623931623931</x:v>
      </x:c>
      <x:c r="O38" s="29">
        <x:f t="shared" si="28"/>
        <x:v>0.01181</x:v>
      </x:c>
      <x:c r="P38" s="29">
        <x:f t="shared" si="28"/>
        <x:v>0.030689583333333333</x:v>
      </x:c>
      <x:c r="Q38" s="29">
        <x:f t="shared" ref="Q38:U38" si="29">Q36/Q33</x:f>
        <x:v>0.025712643678160924</x:v>
      </x:c>
      <x:c r="R38" s="29">
        <x:f t="shared" si="29"/>
        <x:v>0.021027397260273972</x:v>
      </x:c>
      <x:c r="S38" s="29">
        <x:f t="shared" si="29"/>
        <x:v>0.025992727272727272</x:v>
      </x:c>
      <x:c r="T38" s="29">
        <x:f t="shared" si="29"/>
        <x:v>0.052473214285714283</x:v>
      </x:c>
      <x:c r="U38" s="29">
        <x:f t="shared" si="29"/>
        <x:v>0.035483870967741936</x:v>
      </x:c>
      <x:c r="V38" s="29">
        <x:f t="shared" si="28"/>
        <x:v>0.051000000000000001</x:v>
      </x:c>
      <x:c r="W38" s="29">
        <x:f t="shared" si="28"/>
        <x:v>-0.0004520547945205473</x:v>
      </x:c>
      <x:c r="X38" s="29">
        <x:f t="shared" si="28"/>
        <x:v>0.025992727272727272</x:v>
      </x:c>
      <x:c r="Y38" s="29">
        <x:f t="shared" si="28"/>
        <x:v>0.052473214285714283</x:v>
      </x:c>
      <x:c r="Z38" s="29">
        <x:f t="shared" si="28"/>
        <x:v>0.03922900763358779</x:v>
      </x:c>
    </x:row>
    <x:row r="39" spans="1:26">
      <x:c r="A39" s="1" t="s">
        <x:v>65</x:v>
      </x:c>
      <x:c r="B39" s="29">
        <x:f>B37/B33</x:f>
        <x:v>0.015242424242424243</x:v>
      </x:c>
      <x:c r="C39" s="29">
        <x:f t="shared" ref="C39:Z39" si="30">C37/C33</x:f>
        <x:v>0</x:v>
      </x:c>
      <x:c r="D39" s="29">
        <x:f t="shared" si="30"/>
        <x:v>0</x:v>
      </x:c>
      <x:c r="E39" s="29">
        <x:f t="shared" si="30"/>
        <x:v>0</x:v>
      </x:c>
      <x:c r="F39" s="29">
        <x:f t="shared" si="30"/>
        <x:v>0</x:v>
      </x:c>
      <x:c r="G39" s="29">
        <x:f t="shared" si="30"/>
        <x:v>0</x:v>
      </x:c>
      <x:c r="H39" s="29">
        <x:f t="shared" si="30"/>
        <x:v>0</x:v>
      </x:c>
      <x:c r="I39" s="29">
        <x:f t="shared" si="30"/>
        <x:v>0</x:v>
      </x:c>
      <x:c r="J39" s="29">
        <x:f t="shared" si="30"/>
        <x:v>0</x:v>
      </x:c>
      <x:c r="K39" s="29">
        <x:f t="shared" si="30"/>
        <x:v>0</x:v>
      </x:c>
      <x:c r="L39" s="29">
        <x:f t="shared" si="30"/>
        <x:v>0.028055944055944054</x:v>
      </x:c>
      <x:c r="M39" s="29">
        <x:f t="shared" si="30"/>
        <x:v>0</x:v>
      </x:c>
      <x:c r="N39" s="29">
        <x:f t="shared" si="30"/>
        <x:v>0</x:v>
      </x:c>
      <x:c r="O39" s="29">
        <x:f t="shared" si="30"/>
        <x:v>0.0071599999999999997</x:v>
      </x:c>
      <x:c r="P39" s="29">
        <x:f t="shared" si="30"/>
        <x:v>0</x:v>
      </x:c>
      <x:c r="Q39" s="29">
        <x:f t="shared" ref="Q39:U39" si="31">Q37/Q33</x:f>
        <x:v>0</x:v>
      </x:c>
      <x:c r="R39" s="29">
        <x:f t="shared" si="31"/>
        <x:v>0</x:v>
      </x:c>
      <x:c r="S39" s="29">
        <x:f t="shared" si="31"/>
        <x:v>0</x:v>
      </x:c>
      <x:c r="T39" s="29">
        <x:f t="shared" si="31"/>
        <x:v>0</x:v>
      </x:c>
      <x:c r="U39" s="29">
        <x:f t="shared" si="31"/>
        <x:v>0</x:v>
      </x:c>
      <x:c r="V39" s="29">
        <x:f t="shared" si="30"/>
        <x:v>0</x:v>
      </x:c>
      <x:c r="W39" s="29">
        <x:f t="shared" si="30"/>
        <x:v>0</x:v>
      </x:c>
      <x:c r="X39" s="29">
        <x:f t="shared" si="30"/>
        <x:v>0.027272727272727271</x:v>
      </x:c>
      <x:c r="Y39" s="29">
        <x:f t="shared" si="30"/>
        <x:v>0</x:v>
      </x:c>
      <x:c r="Z39" s="29">
        <x:f t="shared" si="30"/>
        <x:v>0.022900763358778626</x:v>
      </x:c>
    </x:row>
    <x:row r="40" spans="1:26" s="30" customFormat="1" ht="138.75" customHeight="1">
      <x:c r="A40" s="16" t="s">
        <x:v>85</x:v>
      </x:c>
      <x:c r="B40" s="16"/>
      <x:c r="C40" s="16"/>
      <x:c r="D40" s="16" t="s">
        <x:v>74</x:v>
      </x:c>
      <x:c r="E40" s="16" t="s">
        <x:v>29</x:v>
      </x:c>
      <x:c r="F40" s="16"/>
      <x:c r="G40" s="16"/>
      <x:c r="H40" s="16"/>
      <x:c r="I40" s="16" t="s">
        <x:v>72</x:v>
      </x:c>
      <x:c r="J40" s="16" t="s">
        <x:v>29</x:v>
      </x:c>
      <x:c r="K40" s="16" t="s">
        <x:v>96</x:v>
      </x:c>
      <x:c r="L40" s="16" t="s">
        <x:v>73</x:v>
      </x:c>
      <x:c r="M40" s="16"/>
      <x:c r="N40" s="16"/>
      <x:c r="O40" s="16" t="s">
        <x:v>51</x:v>
      </x:c>
      <x:c r="P40" s="16"/>
      <x:c r="Q40" s="16"/>
      <x:c r="R40" s="16" t="s">
        <x:v>70</x:v>
      </x:c>
      <x:c r="S40" s="16"/>
      <x:c r="T40" s="16" t="s">
        <x:v>64</x:v>
      </x:c>
      <x:c r="U40" s="16"/>
      <x:c r="V40" s="16"/>
      <x:c r="W40" s="16" t="s">
        <x:v>70</x:v>
      </x:c>
      <x:c r="X40" s="16"/>
      <x:c r="Y40" s="16" t="s">
        <x:v>64</x:v>
      </x:c>
      <x:c r="Z40" s="16"/>
    </x:row>
  </x:sheetData>
  <x:autoFilter ref="A4:Z40"/>
  <x:pageMargins left="0.23597222566604614" right="0.23597222566604614" top="0.74777776002883911" bottom="0.74777776002883911" header="0.31486111879348755" footer="0.31486111879348755"/>
  <x:pageSetup paperSize="9" scale="90" firstPageNumber="1" fitToWidth="1" fitToHeight="1" orientation="portrait" usePrinterDefaults="1" blackAndWhite="0" draft="0" useFirstPageNumber="0" horizontalDpi="12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</vt:lpstr>
    </vt:vector>
  </ep:TitlesOfParts>
  <ep:TotalTime>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USER</cp:lastModifiedBy>
  <cp:revision>5</cp:revision>
  <cp:lastPrinted>2019-01-28T05:19:09.000</cp:lastPrinted>
  <dcterms:created xsi:type="dcterms:W3CDTF">2019-01-26T02:41:48.000</dcterms:created>
  <dcterms:modified xsi:type="dcterms:W3CDTF">2022-09-24T11:46:04.119</dcterms:modified>
  <cp:version>0906.0200.01</cp:version>
</cp:coreProperties>
</file>