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Users\hka242\Downloads\"/>
    </mc:Choice>
  </mc:AlternateContent>
  <xr:revisionPtr revIDLastSave="0" documentId="8_{85565F41-F48B-42BF-8A22-D9560007A4B4}" xr6:coauthVersionLast="36" xr6:coauthVersionMax="36" xr10:uidLastSave="{00000000-0000-0000-0000-000000000000}"/>
  <bookViews>
    <workbookView xWindow="0" yWindow="0" windowWidth="23040" windowHeight="10267" xr2:uid="{A9A92619-6527-4606-9438-74A3C27D8DFA}"/>
  </bookViews>
  <sheets>
    <sheet name="DiscountedNetIncome" sheetId="12" r:id="rId1"/>
    <sheet name="Sheet4" sheetId="18" r:id="rId2"/>
    <sheet name="WTF is going on in the DCF" sheetId="17" r:id="rId3"/>
    <sheet name="Val" sheetId="16" r:id="rId4"/>
    <sheet name="DCF TRUE" sheetId="14" r:id="rId5"/>
    <sheet name="Notes" sheetId="8" r:id="rId6"/>
    <sheet name="Segments" sheetId="2" r:id="rId7"/>
    <sheet name="Average Sub" sheetId="11" r:id="rId8"/>
    <sheet name="Transcript Earnngs Call Q122"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8" l="1"/>
  <c r="C2" i="18"/>
  <c r="D2" i="18"/>
  <c r="E2" i="18"/>
  <c r="F2" i="18"/>
  <c r="G2" i="18"/>
  <c r="H2" i="18"/>
  <c r="I2" i="18"/>
  <c r="J2" i="18"/>
  <c r="K2" i="18"/>
  <c r="L2" i="18"/>
  <c r="M2" i="18"/>
  <c r="N2" i="18"/>
  <c r="A2" i="18"/>
  <c r="AJ10" i="12"/>
  <c r="AU10" i="14"/>
  <c r="AM15" i="14"/>
  <c r="AM19" i="14" s="1"/>
  <c r="AN15" i="14"/>
  <c r="AN11" i="14"/>
  <c r="AR29" i="14"/>
  <c r="AF15" i="14"/>
  <c r="AF19" i="14"/>
  <c r="AF22" i="14" s="1"/>
  <c r="AK19" i="14"/>
  <c r="AG19" i="14"/>
  <c r="AH19" i="14"/>
  <c r="AI19" i="14"/>
  <c r="AJ19" i="14"/>
  <c r="AL19" i="14"/>
  <c r="AL22" i="14" s="1"/>
  <c r="AN19" i="14"/>
  <c r="AQ19" i="14"/>
  <c r="AG16" i="14"/>
  <c r="AG15" i="14"/>
  <c r="AU8" i="14"/>
  <c r="AP30" i="14"/>
  <c r="AR30" i="14"/>
  <c r="AO30" i="14"/>
  <c r="BF24" i="12"/>
  <c r="G12" i="17"/>
  <c r="H12" i="17"/>
  <c r="I12" i="17"/>
  <c r="J12" i="17"/>
  <c r="K12" i="17"/>
  <c r="AL19" i="12"/>
  <c r="E5" i="17"/>
  <c r="F5" i="17" s="1"/>
  <c r="G5" i="17" s="1"/>
  <c r="H5" i="17" s="1"/>
  <c r="I5" i="17" s="1"/>
  <c r="J5" i="17" s="1"/>
  <c r="K5" i="17" s="1"/>
  <c r="D5" i="17"/>
  <c r="AM19" i="12"/>
  <c r="AN35" i="12"/>
  <c r="AN31" i="12"/>
  <c r="AN32" i="12"/>
  <c r="AN19" i="12"/>
  <c r="AL16" i="12"/>
  <c r="AL34" i="12"/>
  <c r="AK34" i="12"/>
  <c r="AJ34" i="12"/>
  <c r="AI33" i="12"/>
  <c r="AI16" i="12"/>
  <c r="AJ19" i="12"/>
  <c r="AK19" i="12"/>
  <c r="AJ16" i="12"/>
  <c r="AI19" i="12"/>
  <c r="AK16" i="12"/>
  <c r="AK15" i="12"/>
  <c r="AI15" i="12"/>
  <c r="AM37" i="12"/>
  <c r="AN34" i="12"/>
  <c r="AI35" i="12"/>
  <c r="AJ33" i="12"/>
  <c r="E10" i="16" l="1"/>
  <c r="BC26" i="12"/>
  <c r="BB16" i="12"/>
  <c r="BD16" i="12" s="1"/>
  <c r="BD17" i="12" s="1"/>
  <c r="AO19" i="12"/>
  <c r="AP19" i="12"/>
  <c r="AQ19" i="12"/>
  <c r="AR19" i="12"/>
  <c r="AS19" i="12"/>
  <c r="AT19" i="12"/>
  <c r="AU19" i="12"/>
  <c r="AV19" i="12"/>
  <c r="AW19" i="12"/>
  <c r="AX19" i="12"/>
  <c r="AY19" i="12"/>
  <c r="AZ19" i="12"/>
  <c r="BA19" i="12"/>
  <c r="AM28" i="12"/>
  <c r="AN28" i="12"/>
  <c r="AN33" i="12"/>
  <c r="AO34" i="12"/>
  <c r="AP34" i="12"/>
  <c r="AQ34" i="12"/>
  <c r="AR34" i="12"/>
  <c r="AS34" i="12"/>
  <c r="AT34" i="12"/>
  <c r="AU34" i="12"/>
  <c r="AV34" i="12"/>
  <c r="AW34" i="12"/>
  <c r="AX34" i="12"/>
  <c r="AY34" i="12"/>
  <c r="AZ34" i="12"/>
  <c r="BA34" i="12"/>
  <c r="AM34" i="12"/>
  <c r="AK33" i="12"/>
  <c r="AL33" i="12"/>
  <c r="AM33" i="12"/>
  <c r="AR12" i="14" l="1"/>
  <c r="AO12" i="14"/>
  <c r="AP12" i="14"/>
  <c r="AQ12" i="14"/>
  <c r="AN12" i="14"/>
  <c r="AM16" i="14"/>
  <c r="AM30" i="14"/>
  <c r="AQ22" i="14"/>
  <c r="AR22" i="14" s="1"/>
  <c r="AP22" i="14"/>
  <c r="AU26" i="14"/>
  <c r="Z26" i="14"/>
  <c r="AA26" i="14"/>
  <c r="AB26" i="14"/>
  <c r="AC26" i="14"/>
  <c r="AD26" i="14"/>
  <c r="AE26" i="14"/>
  <c r="AF26" i="14"/>
  <c r="AG26" i="14"/>
  <c r="AH26" i="14"/>
  <c r="AI26" i="14"/>
  <c r="AJ26" i="14"/>
  <c r="AK26" i="14"/>
  <c r="AL26" i="14"/>
  <c r="AN30" i="14"/>
  <c r="AU7" i="14" s="1"/>
  <c r="AO11" i="14"/>
  <c r="AP11" i="14" s="1"/>
  <c r="AQ11" i="14" s="1"/>
  <c r="AR11" i="14" s="1"/>
  <c r="AN5" i="14"/>
  <c r="AN6" i="14"/>
  <c r="AP27" i="14" l="1"/>
  <c r="AO27" i="14"/>
  <c r="AN13" i="14"/>
  <c r="AE27" i="14"/>
  <c r="AF27" i="14"/>
  <c r="AK27" i="14"/>
  <c r="AL27" i="14"/>
  <c r="AD27" i="14"/>
  <c r="AB27" i="14"/>
  <c r="AA27" i="14"/>
  <c r="AC27" i="14"/>
  <c r="Z27" i="14"/>
  <c r="AL16" i="14"/>
  <c r="AG22" i="14"/>
  <c r="AH27" i="14" s="1"/>
  <c r="AH16" i="14"/>
  <c r="AI16" i="14"/>
  <c r="AJ16" i="14"/>
  <c r="AK16" i="14"/>
  <c r="AF16" i="14"/>
  <c r="AH15" i="14"/>
  <c r="AH22" i="14" s="1"/>
  <c r="AI15" i="14"/>
  <c r="AI22" i="14" s="1"/>
  <c r="AI27" i="14" s="1"/>
  <c r="AJ15" i="14"/>
  <c r="AK15" i="14"/>
  <c r="AL15" i="14"/>
  <c r="AJ27" i="14" l="1"/>
  <c r="AG27" i="14"/>
  <c r="AQ30" i="14"/>
  <c r="AQ27" i="14"/>
  <c r="F3" i="14"/>
  <c r="J3" i="14"/>
  <c r="N3" i="14"/>
  <c r="R3" i="14"/>
  <c r="F4" i="14"/>
  <c r="F5" i="14" s="1"/>
  <c r="J4" i="14"/>
  <c r="J5" i="14" s="1"/>
  <c r="N4" i="14"/>
  <c r="N5" i="14" s="1"/>
  <c r="N34" i="14" s="1"/>
  <c r="R4" i="14"/>
  <c r="C5" i="14"/>
  <c r="D5" i="14"/>
  <c r="E5" i="14"/>
  <c r="G5" i="14"/>
  <c r="H5" i="14"/>
  <c r="H7" i="14" s="1"/>
  <c r="H38" i="14" s="1"/>
  <c r="I5" i="14"/>
  <c r="I34" i="14" s="1"/>
  <c r="K5" i="14"/>
  <c r="L5" i="14"/>
  <c r="M5" i="14"/>
  <c r="O5" i="14"/>
  <c r="P5" i="14"/>
  <c r="P34" i="14" s="1"/>
  <c r="Q5" i="14"/>
  <c r="Q7" i="14" s="1"/>
  <c r="Q38" i="14" s="1"/>
  <c r="S5" i="14"/>
  <c r="S7" i="14" s="1"/>
  <c r="S38" i="14" s="1"/>
  <c r="C6" i="14"/>
  <c r="C7" i="14" s="1"/>
  <c r="C38" i="14" s="1"/>
  <c r="D6" i="14"/>
  <c r="E6" i="14"/>
  <c r="F6" i="14"/>
  <c r="G6" i="14"/>
  <c r="H6" i="14"/>
  <c r="H35" i="14" s="1"/>
  <c r="I6" i="14"/>
  <c r="I35" i="14" s="1"/>
  <c r="J6" i="14"/>
  <c r="K6" i="14"/>
  <c r="L6" i="14"/>
  <c r="L7" i="14" s="1"/>
  <c r="L38" i="14" s="1"/>
  <c r="M6" i="14"/>
  <c r="N6" i="14"/>
  <c r="O6" i="14"/>
  <c r="P6" i="14"/>
  <c r="Q6" i="14"/>
  <c r="Q35" i="14" s="1"/>
  <c r="R6" i="14"/>
  <c r="S6" i="14"/>
  <c r="D7" i="14"/>
  <c r="E7" i="14"/>
  <c r="E38" i="14" s="1"/>
  <c r="K7" i="14"/>
  <c r="K38" i="14" s="1"/>
  <c r="M7" i="14"/>
  <c r="M38" i="14" s="1"/>
  <c r="F8" i="14"/>
  <c r="AJ8" i="14" s="1"/>
  <c r="J8" i="14"/>
  <c r="AK8" i="14" s="1"/>
  <c r="N8" i="14"/>
  <c r="AL8" i="14" s="1"/>
  <c r="R8" i="14"/>
  <c r="F11" i="14"/>
  <c r="F12" i="14" s="1"/>
  <c r="J11" i="14"/>
  <c r="J12" i="14" s="1"/>
  <c r="J15" i="14" s="1"/>
  <c r="N11" i="14"/>
  <c r="R11" i="14"/>
  <c r="R12" i="14" s="1"/>
  <c r="C12" i="14"/>
  <c r="C15" i="14" s="1"/>
  <c r="D12" i="14"/>
  <c r="D15" i="14" s="1"/>
  <c r="E12" i="14"/>
  <c r="E15" i="14" s="1"/>
  <c r="E26" i="14" s="1"/>
  <c r="G12" i="14"/>
  <c r="G15" i="14" s="1"/>
  <c r="G26" i="14" s="1"/>
  <c r="H12" i="14"/>
  <c r="H15" i="14" s="1"/>
  <c r="H26" i="14" s="1"/>
  <c r="I12" i="14"/>
  <c r="I15" i="14" s="1"/>
  <c r="K12" i="14"/>
  <c r="K15" i="14" s="1"/>
  <c r="L12" i="14"/>
  <c r="L15" i="14" s="1"/>
  <c r="M12" i="14"/>
  <c r="O12" i="14"/>
  <c r="O15" i="14" s="1"/>
  <c r="O26" i="14" s="1"/>
  <c r="P12" i="14"/>
  <c r="P15" i="14" s="1"/>
  <c r="P26" i="14" s="1"/>
  <c r="Q12" i="14"/>
  <c r="Q15" i="14" s="1"/>
  <c r="S12" i="14"/>
  <c r="S15" i="14" s="1"/>
  <c r="F13" i="14"/>
  <c r="J13" i="14"/>
  <c r="R13" i="14"/>
  <c r="M15" i="14"/>
  <c r="M26" i="14" s="1"/>
  <c r="N15" i="14"/>
  <c r="N26" i="14" s="1"/>
  <c r="L34" i="14"/>
  <c r="M34" i="14"/>
  <c r="L35" i="14"/>
  <c r="M35" i="14"/>
  <c r="P35" i="14"/>
  <c r="D38" i="14"/>
  <c r="C39" i="14"/>
  <c r="I39" i="14"/>
  <c r="K39" i="14"/>
  <c r="M39" i="14"/>
  <c r="N39" i="14"/>
  <c r="O39" i="14"/>
  <c r="S39" i="14"/>
  <c r="AR27" i="14" l="1"/>
  <c r="P39" i="14"/>
  <c r="E39" i="14"/>
  <c r="P7" i="14"/>
  <c r="P38" i="14" s="1"/>
  <c r="H34" i="14"/>
  <c r="O35" i="14"/>
  <c r="G35" i="14"/>
  <c r="O7" i="14"/>
  <c r="O38" i="14" s="1"/>
  <c r="G7" i="14"/>
  <c r="G38" i="14" s="1"/>
  <c r="R5" i="14"/>
  <c r="I7" i="14"/>
  <c r="I38" i="14" s="1"/>
  <c r="N7" i="14"/>
  <c r="J35" i="14"/>
  <c r="J7" i="14"/>
  <c r="J38" i="14" s="1"/>
  <c r="H39" i="14"/>
  <c r="Q34" i="14"/>
  <c r="Q39" i="14"/>
  <c r="G39" i="14"/>
  <c r="Q26" i="14"/>
  <c r="Q36" i="14"/>
  <c r="I26" i="14"/>
  <c r="I36" i="14"/>
  <c r="K35" i="14"/>
  <c r="F15" i="14"/>
  <c r="F26" i="14" s="1"/>
  <c r="S35" i="14"/>
  <c r="K34" i="14"/>
  <c r="F39" i="14"/>
  <c r="S34" i="14"/>
  <c r="J39" i="14"/>
  <c r="F7" i="14"/>
  <c r="J34" i="14"/>
  <c r="D26" i="14"/>
  <c r="H36" i="14"/>
  <c r="R7" i="14"/>
  <c r="R34" i="14"/>
  <c r="L36" i="14"/>
  <c r="L26" i="14"/>
  <c r="P36" i="14"/>
  <c r="K36" i="14"/>
  <c r="K26" i="14"/>
  <c r="O36" i="14"/>
  <c r="C26" i="14"/>
  <c r="G36" i="14"/>
  <c r="N38" i="14"/>
  <c r="R15" i="14"/>
  <c r="R39" i="14"/>
  <c r="J26" i="14"/>
  <c r="N36" i="14"/>
  <c r="S36" i="14"/>
  <c r="S26" i="14"/>
  <c r="L39" i="14"/>
  <c r="D39" i="14"/>
  <c r="M36" i="14"/>
  <c r="R35" i="14"/>
  <c r="O34" i="14"/>
  <c r="G34" i="14"/>
  <c r="N35" i="14"/>
  <c r="J36" i="14" l="1"/>
  <c r="R38" i="14"/>
  <c r="R36" i="14"/>
  <c r="R26" i="14"/>
  <c r="F38" i="14"/>
  <c r="AM58" i="12" l="1"/>
  <c r="AM48" i="12"/>
  <c r="AM47" i="12"/>
  <c r="AM44" i="12"/>
  <c r="AM41" i="12"/>
  <c r="AM36" i="12"/>
  <c r="AL36" i="12"/>
  <c r="AK36" i="12"/>
  <c r="AJ36" i="12"/>
  <c r="AJ37" i="12" s="1"/>
  <c r="AI36" i="12"/>
  <c r="AH36" i="12"/>
  <c r="AG36" i="12"/>
  <c r="AF36" i="12"/>
  <c r="AM26" i="12"/>
  <c r="AL26" i="12"/>
  <c r="AH27" i="12" s="1"/>
  <c r="AJ26" i="12"/>
  <c r="AI26" i="12"/>
  <c r="AH26" i="12"/>
  <c r="AG26" i="12"/>
  <c r="AM25" i="12"/>
  <c r="AL25" i="12"/>
  <c r="AK25" i="12"/>
  <c r="AJ25" i="12"/>
  <c r="AI25" i="12"/>
  <c r="AH25" i="12"/>
  <c r="AG25" i="12"/>
  <c r="AF25" i="12"/>
  <c r="N25" i="12"/>
  <c r="AH22" i="12"/>
  <c r="AE22" i="12"/>
  <c r="AD22" i="12"/>
  <c r="AC22" i="12"/>
  <c r="AB22" i="12"/>
  <c r="AA22" i="12"/>
  <c r="Z22" i="12"/>
  <c r="Y22" i="12"/>
  <c r="AM21" i="12"/>
  <c r="AL21" i="12"/>
  <c r="AK21" i="12"/>
  <c r="AJ21" i="12"/>
  <c r="AI21" i="12"/>
  <c r="AH21" i="12"/>
  <c r="AG21" i="12"/>
  <c r="AF21" i="12"/>
  <c r="AE21" i="12"/>
  <c r="AD21" i="12"/>
  <c r="AC21" i="12"/>
  <c r="AB21" i="12"/>
  <c r="AE20" i="12"/>
  <c r="AD20" i="12"/>
  <c r="AC20" i="12"/>
  <c r="AB20" i="12"/>
  <c r="AM15" i="12"/>
  <c r="AL15" i="12"/>
  <c r="AJ15" i="12"/>
  <c r="AH15" i="12"/>
  <c r="AH16" i="12" s="1"/>
  <c r="AG15" i="12"/>
  <c r="AF15" i="12"/>
  <c r="N15" i="12"/>
  <c r="N16" i="12" s="1"/>
  <c r="AN14" i="12"/>
  <c r="AO14" i="12" s="1"/>
  <c r="AP14" i="12" s="1"/>
  <c r="AQ14" i="12" s="1"/>
  <c r="AR14" i="12" s="1"/>
  <c r="AS14" i="12" s="1"/>
  <c r="AT14" i="12" s="1"/>
  <c r="AU14" i="12" s="1"/>
  <c r="AV14" i="12" s="1"/>
  <c r="AW14" i="12" s="1"/>
  <c r="AX14" i="12" s="1"/>
  <c r="AY14" i="12" s="1"/>
  <c r="AZ14" i="12" s="1"/>
  <c r="BA14" i="12" s="1"/>
  <c r="R14" i="12"/>
  <c r="J14" i="12"/>
  <c r="F14" i="12"/>
  <c r="S13" i="12"/>
  <c r="S25" i="12" s="1"/>
  <c r="Q13" i="12"/>
  <c r="Q25" i="12" s="1"/>
  <c r="P13" i="12"/>
  <c r="P15" i="12" s="1"/>
  <c r="O13" i="12"/>
  <c r="O25" i="12" s="1"/>
  <c r="M13" i="12"/>
  <c r="M25" i="12" s="1"/>
  <c r="L13" i="12"/>
  <c r="L25" i="12" s="1"/>
  <c r="K13" i="12"/>
  <c r="K25" i="12" s="1"/>
  <c r="I13" i="12"/>
  <c r="I25" i="12" s="1"/>
  <c r="H13" i="12"/>
  <c r="H15" i="12" s="1"/>
  <c r="G13" i="12"/>
  <c r="G25" i="12" s="1"/>
  <c r="E13" i="12"/>
  <c r="E25" i="12" s="1"/>
  <c r="D13" i="12"/>
  <c r="D25" i="12" s="1"/>
  <c r="C13" i="12"/>
  <c r="C25" i="12" s="1"/>
  <c r="AN12" i="12"/>
  <c r="AO12" i="12" s="1"/>
  <c r="S12" i="12"/>
  <c r="Q12" i="12"/>
  <c r="P12" i="12"/>
  <c r="N12" i="12"/>
  <c r="M12" i="12"/>
  <c r="H12" i="12"/>
  <c r="BD11" i="12"/>
  <c r="R11" i="12"/>
  <c r="AM11" i="12" s="1"/>
  <c r="AN11" i="12" s="1"/>
  <c r="AO11" i="12" s="1"/>
  <c r="AP11" i="12" s="1"/>
  <c r="AQ11" i="12" s="1"/>
  <c r="AR11" i="12" s="1"/>
  <c r="AS11" i="12" s="1"/>
  <c r="AT11" i="12" s="1"/>
  <c r="AU11" i="12" s="1"/>
  <c r="AV11" i="12" s="1"/>
  <c r="AW11" i="12" s="1"/>
  <c r="AX11" i="12" s="1"/>
  <c r="AY11" i="12" s="1"/>
  <c r="AZ11" i="12" s="1"/>
  <c r="BA11" i="12" s="1"/>
  <c r="N11" i="12"/>
  <c r="AL11" i="12" s="1"/>
  <c r="J11" i="12"/>
  <c r="F11" i="12"/>
  <c r="F13" i="12" s="1"/>
  <c r="F15" i="12" s="1"/>
  <c r="F16" i="12" s="1"/>
  <c r="AS9" i="12"/>
  <c r="AT9" i="12" s="1"/>
  <c r="AU9" i="12" s="1"/>
  <c r="AV9" i="12" s="1"/>
  <c r="AW9" i="12" s="1"/>
  <c r="AX9" i="12" s="1"/>
  <c r="AY9" i="12" s="1"/>
  <c r="AZ9" i="12" s="1"/>
  <c r="BA9" i="12" s="1"/>
  <c r="AN9" i="12"/>
  <c r="AO9" i="12" s="1"/>
  <c r="AP9" i="12" s="1"/>
  <c r="AQ9" i="12" s="1"/>
  <c r="AR9" i="12" s="1"/>
  <c r="BG8" i="12"/>
  <c r="AL8" i="12"/>
  <c r="R8" i="12"/>
  <c r="AM8" i="12" s="1"/>
  <c r="AN8" i="12" s="1"/>
  <c r="AO8" i="12" s="1"/>
  <c r="AP8" i="12" s="1"/>
  <c r="AQ8" i="12" s="1"/>
  <c r="AR8" i="12" s="1"/>
  <c r="AS8" i="12" s="1"/>
  <c r="AT8" i="12" s="1"/>
  <c r="AU8" i="12" s="1"/>
  <c r="AV8" i="12" s="1"/>
  <c r="AW8" i="12" s="1"/>
  <c r="AX8" i="12" s="1"/>
  <c r="AY8" i="12" s="1"/>
  <c r="AZ8" i="12" s="1"/>
  <c r="BA8" i="12" s="1"/>
  <c r="N8" i="12"/>
  <c r="J8" i="12"/>
  <c r="AK8" i="12" s="1"/>
  <c r="F8" i="12"/>
  <c r="AJ8" i="12" s="1"/>
  <c r="BG7" i="12"/>
  <c r="K7" i="12"/>
  <c r="AN6" i="12"/>
  <c r="S6" i="12"/>
  <c r="R6" i="12"/>
  <c r="R21" i="12" s="1"/>
  <c r="Q6" i="12"/>
  <c r="Q21" i="12" s="1"/>
  <c r="P6" i="12"/>
  <c r="O6" i="12"/>
  <c r="N6" i="12"/>
  <c r="M6" i="12"/>
  <c r="L6" i="12"/>
  <c r="K6" i="12"/>
  <c r="J6" i="12"/>
  <c r="J21" i="12" s="1"/>
  <c r="I6" i="12"/>
  <c r="I21" i="12" s="1"/>
  <c r="H6" i="12"/>
  <c r="G6" i="12"/>
  <c r="F6" i="12"/>
  <c r="E6" i="12"/>
  <c r="D6" i="12"/>
  <c r="C6" i="12"/>
  <c r="AI5" i="12"/>
  <c r="AH5" i="12"/>
  <c r="AH7" i="12" s="1"/>
  <c r="AG5" i="12"/>
  <c r="AG20" i="12" s="1"/>
  <c r="AF5" i="12"/>
  <c r="AF20" i="12" s="1"/>
  <c r="S5" i="12"/>
  <c r="Q5" i="12"/>
  <c r="P5" i="12"/>
  <c r="O5" i="12"/>
  <c r="M5" i="12"/>
  <c r="M7" i="12" s="1"/>
  <c r="L5" i="12"/>
  <c r="L20" i="12" s="1"/>
  <c r="K5" i="12"/>
  <c r="K20" i="12" s="1"/>
  <c r="I5" i="12"/>
  <c r="H5" i="12"/>
  <c r="G5" i="12"/>
  <c r="E5" i="12"/>
  <c r="E7" i="12" s="1"/>
  <c r="D5" i="12"/>
  <c r="D7" i="12" s="1"/>
  <c r="D24" i="12" s="1"/>
  <c r="C5" i="12"/>
  <c r="C7" i="12" s="1"/>
  <c r="AM4" i="12"/>
  <c r="R4" i="12"/>
  <c r="N4" i="12"/>
  <c r="AL4" i="12" s="1"/>
  <c r="J4" i="12"/>
  <c r="AK4" i="12" s="1"/>
  <c r="F4" i="12"/>
  <c r="AJ4" i="12" s="1"/>
  <c r="AM3" i="12"/>
  <c r="AM5" i="12" s="1"/>
  <c r="AL3" i="12"/>
  <c r="R3" i="12"/>
  <c r="R5" i="12" s="1"/>
  <c r="R7" i="12" s="1"/>
  <c r="N3" i="12"/>
  <c r="J3" i="12"/>
  <c r="J5" i="12" s="1"/>
  <c r="J7" i="12" s="1"/>
  <c r="F3" i="12"/>
  <c r="AJ3" i="12" s="1"/>
  <c r="BB2" i="12"/>
  <c r="BC2" i="12" s="1"/>
  <c r="BD2" i="12" s="1"/>
  <c r="BE2" i="12" s="1"/>
  <c r="AO6" i="14"/>
  <c r="AP6" i="14" s="1"/>
  <c r="AQ6" i="14" s="1"/>
  <c r="AR6" i="14" s="1"/>
  <c r="AC34" i="14"/>
  <c r="AD34" i="14"/>
  <c r="AE34" i="14"/>
  <c r="AB34" i="14"/>
  <c r="AC35" i="14"/>
  <c r="AD35" i="14"/>
  <c r="AE35" i="14"/>
  <c r="AF35" i="14"/>
  <c r="AB35" i="14"/>
  <c r="AG35" i="14"/>
  <c r="AL3" i="14"/>
  <c r="AK4" i="14"/>
  <c r="AM4" i="14"/>
  <c r="AN9" i="14"/>
  <c r="AO9" i="14" s="1"/>
  <c r="AP9" i="14" s="1"/>
  <c r="AQ9" i="14" s="1"/>
  <c r="AR9" i="14" s="1"/>
  <c r="AG40" i="14"/>
  <c r="Z36" i="14"/>
  <c r="AA36" i="14"/>
  <c r="AB36" i="14"/>
  <c r="AC36" i="14"/>
  <c r="Y36" i="14"/>
  <c r="AE36" i="14"/>
  <c r="AD36" i="14"/>
  <c r="AX8" i="14"/>
  <c r="AG46" i="14"/>
  <c r="AH46" i="14"/>
  <c r="AI46" i="14"/>
  <c r="AJ46" i="14"/>
  <c r="AK46" i="14"/>
  <c r="AK47" i="14" s="1"/>
  <c r="AL46" i="14"/>
  <c r="AM46" i="14"/>
  <c r="AF46" i="14"/>
  <c r="AS2" i="14"/>
  <c r="AH40" i="14"/>
  <c r="AI40" i="14"/>
  <c r="AJ40" i="14"/>
  <c r="AL40" i="14"/>
  <c r="AM40" i="14"/>
  <c r="AJ3" i="14"/>
  <c r="AK3" i="14"/>
  <c r="AJ4" i="14"/>
  <c r="AL4" i="14"/>
  <c r="L7" i="12" l="1"/>
  <c r="L24" i="12" s="1"/>
  <c r="AF22" i="12"/>
  <c r="AF16" i="12"/>
  <c r="AM16" i="12"/>
  <c r="AI29" i="12"/>
  <c r="AI28" i="12"/>
  <c r="AI18" i="12"/>
  <c r="AG22" i="12"/>
  <c r="AG16" i="12"/>
  <c r="P20" i="12"/>
  <c r="K21" i="12"/>
  <c r="S21" i="12"/>
  <c r="S7" i="12"/>
  <c r="P25" i="12"/>
  <c r="AG37" i="12"/>
  <c r="N5" i="12"/>
  <c r="N20" i="12" s="1"/>
  <c r="H20" i="12"/>
  <c r="Q20" i="12"/>
  <c r="L21" i="12"/>
  <c r="AN21" i="12"/>
  <c r="AO6" i="12"/>
  <c r="AF7" i="12"/>
  <c r="AF24" i="12" s="1"/>
  <c r="AI22" i="12"/>
  <c r="AH37" i="12"/>
  <c r="I20" i="12"/>
  <c r="AI7" i="12"/>
  <c r="AI37" i="12"/>
  <c r="Q15" i="12"/>
  <c r="AK3" i="12"/>
  <c r="AK5" i="12" s="1"/>
  <c r="S20" i="12"/>
  <c r="I15" i="12"/>
  <c r="AM35" i="12"/>
  <c r="AM18" i="12"/>
  <c r="AM29" i="12"/>
  <c r="AN29" i="12" s="1"/>
  <c r="AL5" i="12"/>
  <c r="G7" i="12"/>
  <c r="G24" i="12" s="1"/>
  <c r="O7" i="12"/>
  <c r="AJ47" i="14"/>
  <c r="AL47" i="14"/>
  <c r="AH47" i="14"/>
  <c r="AH41" i="14"/>
  <c r="AG47" i="14"/>
  <c r="AI47" i="14"/>
  <c r="AM47" i="14"/>
  <c r="AM3" i="14"/>
  <c r="AM5" i="14" s="1"/>
  <c r="AO5" i="14" s="1"/>
  <c r="AP5" i="14" s="1"/>
  <c r="AQ5" i="14" s="1"/>
  <c r="AR5" i="14" s="1"/>
  <c r="AH24" i="12"/>
  <c r="AH10" i="12"/>
  <c r="AK7" i="12"/>
  <c r="M24" i="12"/>
  <c r="E24" i="12"/>
  <c r="AJ5" i="12"/>
  <c r="O24" i="12"/>
  <c r="AM7" i="12"/>
  <c r="AN5" i="12"/>
  <c r="AO5" i="12" s="1"/>
  <c r="K24" i="12"/>
  <c r="J20" i="12"/>
  <c r="J24" i="12"/>
  <c r="F25" i="12"/>
  <c r="AG7" i="12"/>
  <c r="P16" i="12"/>
  <c r="AM49" i="12"/>
  <c r="AM39" i="12"/>
  <c r="BD8" i="12" s="1"/>
  <c r="M21" i="12"/>
  <c r="H25" i="12"/>
  <c r="C24" i="12"/>
  <c r="M20" i="12"/>
  <c r="N21" i="12"/>
  <c r="AF10" i="12"/>
  <c r="H16" i="12"/>
  <c r="AK37" i="12"/>
  <c r="R24" i="12"/>
  <c r="Q16" i="12"/>
  <c r="F5" i="12"/>
  <c r="F7" i="12" s="1"/>
  <c r="AH20" i="12"/>
  <c r="G21" i="12"/>
  <c r="O21" i="12"/>
  <c r="H7" i="12"/>
  <c r="P7" i="12"/>
  <c r="AP12" i="12"/>
  <c r="AK22" i="12"/>
  <c r="S24" i="12"/>
  <c r="AK11" i="12"/>
  <c r="J13" i="12"/>
  <c r="J15" i="12" s="1"/>
  <c r="N22" i="12" s="1"/>
  <c r="G20" i="12"/>
  <c r="O20" i="12"/>
  <c r="AI20" i="12"/>
  <c r="H21" i="12"/>
  <c r="P21" i="12"/>
  <c r="I7" i="12"/>
  <c r="Q7" i="12"/>
  <c r="I16" i="12"/>
  <c r="R13" i="12"/>
  <c r="R15" i="12" s="1"/>
  <c r="AL37" i="12"/>
  <c r="C15" i="12"/>
  <c r="C16" i="12" s="1"/>
  <c r="K15" i="12"/>
  <c r="S15" i="12"/>
  <c r="AJ22" i="12"/>
  <c r="AJ11" i="12"/>
  <c r="D15" i="12"/>
  <c r="D16" i="12" s="1"/>
  <c r="L15" i="12"/>
  <c r="P22" i="12" s="1"/>
  <c r="E15" i="12"/>
  <c r="E16" i="12" s="1"/>
  <c r="M15" i="12"/>
  <c r="AL22" i="12"/>
  <c r="AM22" i="12"/>
  <c r="G15" i="12"/>
  <c r="O15" i="12"/>
  <c r="AN8" i="14"/>
  <c r="AO8" i="14" s="1"/>
  <c r="AP8" i="14" s="1"/>
  <c r="AQ8" i="14" s="1"/>
  <c r="AR8" i="14" s="1"/>
  <c r="AM63" i="14"/>
  <c r="AM68" i="14" s="1"/>
  <c r="AM58" i="14"/>
  <c r="AM57" i="14"/>
  <c r="AM54" i="14"/>
  <c r="AM51" i="14"/>
  <c r="AM50" i="14"/>
  <c r="AU11" i="14"/>
  <c r="AU9" i="14"/>
  <c r="AX7" i="14"/>
  <c r="AH35" i="14"/>
  <c r="AI5" i="14"/>
  <c r="AH5" i="14"/>
  <c r="AG5" i="14"/>
  <c r="AF5" i="14"/>
  <c r="AF34" i="14" s="1"/>
  <c r="AT2" i="14"/>
  <c r="AU2" i="14" s="1"/>
  <c r="AV2" i="14" s="1"/>
  <c r="AK28" i="12" l="1"/>
  <c r="AK18" i="12"/>
  <c r="AK29" i="12"/>
  <c r="AK35" i="12"/>
  <c r="H22" i="12"/>
  <c r="R20" i="12"/>
  <c r="R25" i="12"/>
  <c r="AO32" i="12"/>
  <c r="AJ28" i="12"/>
  <c r="AP28" i="12" s="1"/>
  <c r="AJ18" i="12"/>
  <c r="AN18" i="12" s="1"/>
  <c r="AJ29" i="12"/>
  <c r="AP29" i="12" s="1"/>
  <c r="AJ35" i="12"/>
  <c r="AO28" i="12"/>
  <c r="AL28" i="12"/>
  <c r="AL18" i="12"/>
  <c r="AL29" i="12"/>
  <c r="AL35" i="12"/>
  <c r="N7" i="12"/>
  <c r="AI10" i="12"/>
  <c r="AI24" i="12"/>
  <c r="AO31" i="12"/>
  <c r="AO33" i="12" s="1"/>
  <c r="AL7" i="12"/>
  <c r="AL24" i="12" s="1"/>
  <c r="AM20" i="12"/>
  <c r="AL20" i="12"/>
  <c r="AO21" i="12"/>
  <c r="AP6" i="12"/>
  <c r="AQ6" i="12" s="1"/>
  <c r="AK10" i="12"/>
  <c r="AK24" i="12"/>
  <c r="M16" i="12"/>
  <c r="M22" i="12"/>
  <c r="L22" i="12"/>
  <c r="L16" i="12"/>
  <c r="I22" i="12"/>
  <c r="F24" i="12"/>
  <c r="AJ7" i="12"/>
  <c r="AJ20" i="12"/>
  <c r="AK20" i="12"/>
  <c r="AL10" i="12"/>
  <c r="R22" i="12"/>
  <c r="R16" i="12"/>
  <c r="AG24" i="12"/>
  <c r="AG10" i="12"/>
  <c r="N24" i="12"/>
  <c r="O16" i="12"/>
  <c r="O22" i="12"/>
  <c r="G16" i="12"/>
  <c r="G22" i="12"/>
  <c r="J22" i="12"/>
  <c r="J16" i="12"/>
  <c r="AQ12" i="12"/>
  <c r="Q22" i="12"/>
  <c r="Q24" i="12"/>
  <c r="P24" i="12"/>
  <c r="AN20" i="12"/>
  <c r="AN7" i="12"/>
  <c r="K22" i="12"/>
  <c r="K16" i="12"/>
  <c r="S22" i="12"/>
  <c r="S16" i="12"/>
  <c r="I24" i="12"/>
  <c r="H24" i="12"/>
  <c r="J25" i="12"/>
  <c r="AM10" i="12"/>
  <c r="AM24" i="12"/>
  <c r="AO13" i="14"/>
  <c r="AM49" i="14"/>
  <c r="AI34" i="14"/>
  <c r="AG34" i="14"/>
  <c r="AI7" i="14"/>
  <c r="AM59" i="14"/>
  <c r="AM35" i="14"/>
  <c r="AL35" i="14"/>
  <c r="AI35" i="14"/>
  <c r="AH34" i="14"/>
  <c r="AJ35" i="14"/>
  <c r="AF7" i="14"/>
  <c r="AF10" i="14" s="1"/>
  <c r="AG7" i="14"/>
  <c r="AG10" i="14" s="1"/>
  <c r="AH7" i="14"/>
  <c r="AH10" i="14" s="1"/>
  <c r="AN17" i="12" l="1"/>
  <c r="AO29" i="12"/>
  <c r="AP18" i="12"/>
  <c r="AO18" i="12"/>
  <c r="AR12" i="12"/>
  <c r="AJ24" i="12"/>
  <c r="BD20" i="12"/>
  <c r="AP21" i="12"/>
  <c r="AO20" i="12"/>
  <c r="AP5" i="12"/>
  <c r="AO7" i="12"/>
  <c r="AN24" i="12"/>
  <c r="AN10" i="12"/>
  <c r="AN13" i="12" s="1"/>
  <c r="AN15" i="12" s="1"/>
  <c r="AN16" i="12" s="1"/>
  <c r="AP13" i="14"/>
  <c r="AI38" i="14"/>
  <c r="AI10" i="14"/>
  <c r="AJ5" i="14"/>
  <c r="AJ34" i="14" s="1"/>
  <c r="AK5" i="14"/>
  <c r="AG38" i="14"/>
  <c r="AN35" i="14"/>
  <c r="AL5" i="14"/>
  <c r="AF38" i="14"/>
  <c r="AH38" i="14"/>
  <c r="AM7" i="14"/>
  <c r="AM10" i="14" s="1"/>
  <c r="AK35" i="14"/>
  <c r="AQ18" i="12" l="1"/>
  <c r="AR18" i="12" s="1"/>
  <c r="AP17" i="12"/>
  <c r="AP31" i="12"/>
  <c r="AP33" i="12" s="1"/>
  <c r="AP32" i="12"/>
  <c r="AO17" i="12"/>
  <c r="AO24" i="12"/>
  <c r="AO10" i="12"/>
  <c r="AO13" i="12" s="1"/>
  <c r="AO15" i="12" s="1"/>
  <c r="AS12" i="12"/>
  <c r="AQ21" i="12"/>
  <c r="AR6" i="12"/>
  <c r="AN22" i="12"/>
  <c r="AN39" i="12"/>
  <c r="AP20" i="12"/>
  <c r="AQ5" i="12"/>
  <c r="AP7" i="12"/>
  <c r="AK7" i="14"/>
  <c r="AK10" i="14" s="1"/>
  <c r="AK34" i="14"/>
  <c r="AQ13" i="14"/>
  <c r="AJ7" i="14"/>
  <c r="AK38" i="14"/>
  <c r="AL34" i="14"/>
  <c r="AL7" i="14"/>
  <c r="AL10" i="14" s="1"/>
  <c r="AO35" i="14"/>
  <c r="AM34" i="14"/>
  <c r="AR17" i="12" l="1"/>
  <c r="AO22" i="12"/>
  <c r="AO16" i="12"/>
  <c r="AQ32" i="12"/>
  <c r="AQ31" i="12"/>
  <c r="AQ17" i="12"/>
  <c r="AS18" i="12"/>
  <c r="AH43" i="14"/>
  <c r="AT12" i="12"/>
  <c r="AS6" i="12"/>
  <c r="AR21" i="12"/>
  <c r="AQ20" i="12"/>
  <c r="AQ7" i="12"/>
  <c r="AR5" i="12"/>
  <c r="AP24" i="12"/>
  <c r="AP10" i="12"/>
  <c r="AP13" i="12" s="1"/>
  <c r="AP15" i="12" s="1"/>
  <c r="AP16" i="12" s="1"/>
  <c r="AO39" i="12"/>
  <c r="AN38" i="12"/>
  <c r="AU34" i="14"/>
  <c r="AR13" i="14"/>
  <c r="AJ38" i="14"/>
  <c r="AJ10" i="14"/>
  <c r="AN34" i="14"/>
  <c r="AN7" i="14"/>
  <c r="AN10" i="14" s="1"/>
  <c r="AM38" i="14"/>
  <c r="AP35" i="14"/>
  <c r="AL38" i="14"/>
  <c r="AR32" i="12" l="1"/>
  <c r="AR31" i="12"/>
  <c r="AR33" i="12" s="1"/>
  <c r="AT18" i="12"/>
  <c r="AQ33" i="12"/>
  <c r="AN49" i="14"/>
  <c r="AR7" i="12"/>
  <c r="AR20" i="12"/>
  <c r="AS5" i="12"/>
  <c r="AS21" i="12"/>
  <c r="AT6" i="12"/>
  <c r="AQ10" i="12"/>
  <c r="AQ13" i="12" s="1"/>
  <c r="AQ15" i="12" s="1"/>
  <c r="AQ24" i="12"/>
  <c r="AP39" i="12"/>
  <c r="AP38" i="12" s="1"/>
  <c r="AO38" i="12"/>
  <c r="AP22" i="12"/>
  <c r="AU12" i="12"/>
  <c r="AO34" i="14"/>
  <c r="AO7" i="14"/>
  <c r="AO10" i="14" s="1"/>
  <c r="AO15" i="14" s="1"/>
  <c r="AO19" i="14" s="1"/>
  <c r="AQ35" i="14"/>
  <c r="AN38" i="14"/>
  <c r="AS32" i="12" l="1"/>
  <c r="AS31" i="12"/>
  <c r="AS33" i="12" s="1"/>
  <c r="AS17" i="12"/>
  <c r="AU18" i="12"/>
  <c r="AQ22" i="12"/>
  <c r="AQ16" i="12"/>
  <c r="AT21" i="12"/>
  <c r="AU6" i="12"/>
  <c r="AQ39" i="12"/>
  <c r="AV12" i="12"/>
  <c r="AS20" i="12"/>
  <c r="AS7" i="12"/>
  <c r="AT5" i="12"/>
  <c r="AR10" i="12"/>
  <c r="AR13" i="12" s="1"/>
  <c r="AR15" i="12" s="1"/>
  <c r="AR24" i="12"/>
  <c r="AO49" i="14"/>
  <c r="AR35" i="14"/>
  <c r="AO38" i="14"/>
  <c r="AP34" i="14"/>
  <c r="AP7" i="14"/>
  <c r="AP10" i="14" s="1"/>
  <c r="AP15" i="14" s="1"/>
  <c r="AP19" i="14" s="1"/>
  <c r="AU17" i="12" l="1"/>
  <c r="AV18" i="12"/>
  <c r="AT31" i="12"/>
  <c r="AT32" i="12"/>
  <c r="AT17" i="12"/>
  <c r="AR22" i="12"/>
  <c r="AR16" i="12"/>
  <c r="AU21" i="12"/>
  <c r="AV6" i="12"/>
  <c r="AW12" i="12"/>
  <c r="AR39" i="12"/>
  <c r="AQ38" i="12"/>
  <c r="AT20" i="12"/>
  <c r="AT7" i="12"/>
  <c r="AU5" i="12"/>
  <c r="AS10" i="12"/>
  <c r="AS13" i="12" s="1"/>
  <c r="AS15" i="12" s="1"/>
  <c r="AS16" i="12" s="1"/>
  <c r="AS24" i="12"/>
  <c r="AQ34" i="14"/>
  <c r="AQ7" i="14"/>
  <c r="AQ10" i="14" s="1"/>
  <c r="AQ15" i="14" s="1"/>
  <c r="AP38" i="14"/>
  <c r="AT33" i="12" l="1"/>
  <c r="AU31" i="12"/>
  <c r="AU32" i="12"/>
  <c r="AW18" i="12"/>
  <c r="AV21" i="12"/>
  <c r="AW6" i="12"/>
  <c r="AT10" i="12"/>
  <c r="AT13" i="12" s="1"/>
  <c r="AT15" i="12" s="1"/>
  <c r="AT24" i="12"/>
  <c r="AS39" i="12"/>
  <c r="AR38" i="12"/>
  <c r="AX12" i="12"/>
  <c r="AS22" i="12"/>
  <c r="AU20" i="12"/>
  <c r="AU7" i="12"/>
  <c r="AV5" i="12"/>
  <c r="AQ38" i="14"/>
  <c r="AR34" i="14"/>
  <c r="AR7" i="14"/>
  <c r="AR10" i="14" s="1"/>
  <c r="AR15" i="14" s="1"/>
  <c r="AR19" i="14" s="1"/>
  <c r="AU33" i="12" l="1"/>
  <c r="AT22" i="12"/>
  <c r="AT16" i="12"/>
  <c r="AV31" i="12"/>
  <c r="AV32" i="12"/>
  <c r="AX18" i="12"/>
  <c r="AV17" i="12"/>
  <c r="AV20" i="12"/>
  <c r="AW5" i="12"/>
  <c r="AV7" i="12"/>
  <c r="AW21" i="12"/>
  <c r="AX6" i="12"/>
  <c r="AY12" i="12"/>
  <c r="AT39" i="12"/>
  <c r="AS38" i="12"/>
  <c r="AU10" i="12"/>
  <c r="AU13" i="12" s="1"/>
  <c r="AU15" i="12" s="1"/>
  <c r="AU16" i="12" s="1"/>
  <c r="AU24" i="12"/>
  <c r="AR38" i="14"/>
  <c r="AV33" i="12" l="1"/>
  <c r="AW31" i="12"/>
  <c r="AW32" i="12"/>
  <c r="AY18" i="12"/>
  <c r="AW17" i="12"/>
  <c r="AZ18" i="12"/>
  <c r="AU39" i="12"/>
  <c r="AT38" i="12"/>
  <c r="AZ12" i="12"/>
  <c r="AU22" i="12"/>
  <c r="AW20" i="12"/>
  <c r="AX5" i="12"/>
  <c r="AX17" i="12" s="1"/>
  <c r="AW7" i="12"/>
  <c r="AX21" i="12"/>
  <c r="AY6" i="12"/>
  <c r="AV24" i="12"/>
  <c r="AV10" i="12"/>
  <c r="AV13" i="12" s="1"/>
  <c r="AV15" i="12" s="1"/>
  <c r="AV22" i="12" l="1"/>
  <c r="AV16" i="12"/>
  <c r="AW33" i="12"/>
  <c r="AX31" i="12"/>
  <c r="AX32" i="12"/>
  <c r="BA18" i="12"/>
  <c r="AX20" i="12"/>
  <c r="AY5" i="12"/>
  <c r="AY17" i="12" s="1"/>
  <c r="AX7" i="12"/>
  <c r="AY21" i="12"/>
  <c r="AZ6" i="12"/>
  <c r="BA12" i="12"/>
  <c r="AW24" i="12"/>
  <c r="AW10" i="12"/>
  <c r="AW13" i="12" s="1"/>
  <c r="AW15" i="12" s="1"/>
  <c r="AV39" i="12"/>
  <c r="AU38" i="12"/>
  <c r="AY32" i="12" l="1"/>
  <c r="AY31" i="12"/>
  <c r="AY33" i="12" s="1"/>
  <c r="AX33" i="12"/>
  <c r="AW22" i="12"/>
  <c r="AW16" i="12"/>
  <c r="BA6" i="12"/>
  <c r="BA21" i="12" s="1"/>
  <c r="AZ21" i="12"/>
  <c r="AX24" i="12"/>
  <c r="AX10" i="12"/>
  <c r="AX13" i="12" s="1"/>
  <c r="AX15" i="12" s="1"/>
  <c r="AW39" i="12"/>
  <c r="AV38" i="12"/>
  <c r="AY20" i="12"/>
  <c r="AZ5" i="12"/>
  <c r="AY7" i="12"/>
  <c r="AZ32" i="12" l="1"/>
  <c r="AZ31" i="12"/>
  <c r="AZ33" i="12" s="1"/>
  <c r="AZ17" i="12"/>
  <c r="AX22" i="12"/>
  <c r="AX16" i="12"/>
  <c r="BA5" i="12"/>
  <c r="AZ7" i="12"/>
  <c r="AZ20" i="12"/>
  <c r="AX39" i="12"/>
  <c r="AW38" i="12"/>
  <c r="AY10" i="12"/>
  <c r="AY13" i="12" s="1"/>
  <c r="AY15" i="12" s="1"/>
  <c r="AY24" i="12"/>
  <c r="BA31" i="12" l="1"/>
  <c r="BA32" i="12"/>
  <c r="BA17" i="12"/>
  <c r="AY22" i="12"/>
  <c r="AY16" i="12"/>
  <c r="AZ10" i="12"/>
  <c r="AZ13" i="12" s="1"/>
  <c r="AZ15" i="12" s="1"/>
  <c r="AZ24" i="12"/>
  <c r="AY39" i="12"/>
  <c r="AX38" i="12"/>
  <c r="BA20" i="12"/>
  <c r="BA7" i="12"/>
  <c r="AZ22" i="12" l="1"/>
  <c r="AZ16" i="12"/>
  <c r="BA33" i="12"/>
  <c r="BA10" i="12"/>
  <c r="BA13" i="12" s="1"/>
  <c r="BA15" i="12" s="1"/>
  <c r="BA16" i="12" s="1"/>
  <c r="BF25" i="12" s="1"/>
  <c r="BA24" i="12"/>
  <c r="AZ39" i="12"/>
  <c r="AY38" i="12"/>
  <c r="BA39" i="12" l="1"/>
  <c r="BA38" i="12" s="1"/>
  <c r="AZ38" i="12"/>
  <c r="BA22" i="12"/>
  <c r="BB15" i="12"/>
  <c r="BC15" i="12" l="1"/>
  <c r="BD15" i="12" s="1"/>
  <c r="BE15" i="12" s="1"/>
  <c r="BF15" i="12" s="1"/>
  <c r="BG15" i="12" s="1"/>
  <c r="BH15" i="12" s="1"/>
  <c r="BI15" i="12" s="1"/>
  <c r="BJ15" i="12" s="1"/>
  <c r="BK15" i="12" s="1"/>
  <c r="BL15" i="12" s="1"/>
  <c r="BM15" i="12" s="1"/>
  <c r="BN15" i="12" s="1"/>
  <c r="BO15" i="12" s="1"/>
  <c r="BP15" i="12" s="1"/>
  <c r="BQ15" i="12" s="1"/>
  <c r="BR15" i="12" s="1"/>
  <c r="BS15" i="12" s="1"/>
  <c r="BT15" i="12" s="1"/>
  <c r="BU15" i="12" s="1"/>
  <c r="BV15" i="12" s="1"/>
  <c r="BW15" i="12" s="1"/>
  <c r="BX15" i="12" s="1"/>
  <c r="BY15" i="12" s="1"/>
  <c r="BZ15" i="12" s="1"/>
  <c r="CA15" i="12" s="1"/>
  <c r="CB15" i="12" s="1"/>
  <c r="CC15" i="12" s="1"/>
  <c r="CD15" i="12" s="1"/>
  <c r="CE15" i="12" s="1"/>
  <c r="CF15" i="12" s="1"/>
  <c r="CG15" i="12" s="1"/>
  <c r="CH15" i="12" s="1"/>
  <c r="CI15" i="12" s="1"/>
  <c r="CJ15" i="12" s="1"/>
  <c r="CK15" i="12" s="1"/>
  <c r="CL15" i="12" s="1"/>
  <c r="CM15" i="12" s="1"/>
  <c r="CN15" i="12" s="1"/>
  <c r="CO15" i="12" s="1"/>
  <c r="CP15" i="12" s="1"/>
  <c r="CQ15" i="12" s="1"/>
  <c r="CR15" i="12" s="1"/>
  <c r="CS15" i="12" s="1"/>
  <c r="CT15" i="12" s="1"/>
  <c r="CU15" i="12" s="1"/>
  <c r="CV15" i="12" s="1"/>
  <c r="CW15" i="12" s="1"/>
  <c r="CX15" i="12" s="1"/>
  <c r="CY15" i="12" s="1"/>
  <c r="CZ15" i="12" s="1"/>
  <c r="DA15" i="12" s="1"/>
  <c r="DB15" i="12" s="1"/>
  <c r="DC15" i="12" s="1"/>
  <c r="DD15" i="12" s="1"/>
  <c r="DE15" i="12" s="1"/>
  <c r="DF15" i="12" s="1"/>
  <c r="DG15" i="12" s="1"/>
  <c r="DH15" i="12" s="1"/>
  <c r="DI15" i="12" s="1"/>
  <c r="DJ15" i="12" s="1"/>
  <c r="DK15" i="12" s="1"/>
  <c r="DL15" i="12" s="1"/>
  <c r="DM15" i="12" s="1"/>
  <c r="DN15" i="12" s="1"/>
  <c r="DO15" i="12" s="1"/>
  <c r="DP15" i="12" s="1"/>
  <c r="DQ15" i="12" s="1"/>
  <c r="DR15" i="12" s="1"/>
  <c r="DS15" i="12" s="1"/>
  <c r="DT15" i="12" s="1"/>
  <c r="DU15" i="12" s="1"/>
  <c r="DV15" i="12" s="1"/>
  <c r="DW15" i="12" s="1"/>
  <c r="DX15" i="12" s="1"/>
  <c r="DY15" i="12" s="1"/>
  <c r="DZ15" i="12" s="1"/>
  <c r="EA15" i="12" s="1"/>
  <c r="EB15" i="12" s="1"/>
  <c r="EC15" i="12" s="1"/>
  <c r="ED15" i="12" s="1"/>
  <c r="EE15" i="12" s="1"/>
  <c r="EF15" i="12" s="1"/>
  <c r="EG15" i="12" s="1"/>
  <c r="EH15" i="12" s="1"/>
  <c r="EI15" i="12" s="1"/>
  <c r="EJ15" i="12" s="1"/>
  <c r="EK15" i="12" s="1"/>
  <c r="EL15" i="12" s="1"/>
  <c r="EM15" i="12" s="1"/>
  <c r="EN15" i="12" s="1"/>
  <c r="EO15" i="12" s="1"/>
  <c r="EP15" i="12" s="1"/>
  <c r="EQ15" i="12" s="1"/>
  <c r="ER15" i="12" s="1"/>
  <c r="ES15" i="12" s="1"/>
  <c r="ET15" i="12" s="1"/>
  <c r="EU15" i="12" s="1"/>
  <c r="EV15" i="12" s="1"/>
  <c r="EW15" i="12" s="1"/>
  <c r="EX15" i="12" s="1"/>
  <c r="EY15" i="12" s="1"/>
  <c r="EZ15" i="12" s="1"/>
  <c r="FA15" i="12" s="1"/>
  <c r="FB15" i="12" s="1"/>
  <c r="FC15" i="12" s="1"/>
  <c r="FD15" i="12" s="1"/>
  <c r="FE15" i="12" s="1"/>
  <c r="FF15" i="12" s="1"/>
  <c r="FG15" i="12" s="1"/>
  <c r="FH15" i="12" s="1"/>
  <c r="FI15" i="12" s="1"/>
  <c r="FJ15" i="12" s="1"/>
  <c r="FK15" i="12" s="1"/>
  <c r="FL15" i="12" s="1"/>
  <c r="FM15" i="12" s="1"/>
  <c r="FN15" i="12" s="1"/>
  <c r="FO15" i="12" s="1"/>
  <c r="FP15" i="12" s="1"/>
  <c r="FQ15" i="12" s="1"/>
  <c r="FR15" i="12" s="1"/>
  <c r="FS15" i="12" s="1"/>
  <c r="FT15" i="12" s="1"/>
  <c r="FU15" i="12" s="1"/>
  <c r="FV15" i="12" s="1"/>
  <c r="FW15" i="12" s="1"/>
  <c r="FX15" i="12" s="1"/>
  <c r="FY15" i="12" s="1"/>
  <c r="FZ15" i="12" s="1"/>
  <c r="GA15" i="12" s="1"/>
  <c r="GB15" i="12" s="1"/>
  <c r="GC15" i="12" s="1"/>
  <c r="GD15" i="12" s="1"/>
  <c r="GE15" i="12" s="1"/>
  <c r="GF15" i="12" s="1"/>
  <c r="GG15" i="12" s="1"/>
  <c r="GH15" i="12" s="1"/>
  <c r="GI15" i="12" s="1"/>
  <c r="GJ15" i="12" s="1"/>
  <c r="GK15" i="12" s="1"/>
  <c r="GL15" i="12" s="1"/>
  <c r="GM15" i="12" s="1"/>
  <c r="GN15" i="12" s="1"/>
  <c r="GO15" i="12" s="1"/>
  <c r="GP15" i="12" s="1"/>
  <c r="GQ15" i="12" s="1"/>
  <c r="GR15" i="12" s="1"/>
  <c r="GS15" i="12" s="1"/>
  <c r="GT15" i="12" s="1"/>
  <c r="GU15" i="12" s="1"/>
  <c r="GV15" i="12" s="1"/>
  <c r="GW15" i="12" s="1"/>
  <c r="GX15" i="12" s="1"/>
  <c r="GY15" i="12" s="1"/>
  <c r="GZ15" i="12" s="1"/>
  <c r="HA15" i="12" s="1"/>
  <c r="HB15" i="12" s="1"/>
  <c r="HC15" i="12" s="1"/>
  <c r="HD15" i="12" s="1"/>
  <c r="HE15" i="12" s="1"/>
  <c r="HF15" i="12" s="1"/>
  <c r="HG15" i="12" s="1"/>
  <c r="HH15" i="12" s="1"/>
  <c r="HI15" i="12" s="1"/>
  <c r="HJ15" i="12" s="1"/>
  <c r="HK15" i="12" s="1"/>
  <c r="HL15" i="12" s="1"/>
  <c r="HM15" i="12" s="1"/>
  <c r="HN15" i="12" s="1"/>
  <c r="HO15" i="12" s="1"/>
  <c r="HP15" i="12" s="1"/>
  <c r="HQ15" i="12" s="1"/>
  <c r="HR15" i="12" s="1"/>
  <c r="HS15" i="12" s="1"/>
  <c r="HT15" i="12" s="1"/>
  <c r="HU15" i="12" s="1"/>
  <c r="HV15" i="12" s="1"/>
  <c r="HW15" i="12" s="1"/>
  <c r="HX15" i="12" s="1"/>
  <c r="HY15" i="12" s="1"/>
  <c r="HZ15" i="12" s="1"/>
  <c r="IA15" i="12" s="1"/>
  <c r="IB15" i="12" s="1"/>
  <c r="IC15" i="12" s="1"/>
  <c r="ID15" i="12" s="1"/>
  <c r="IE15" i="12" s="1"/>
  <c r="IF15" i="12" s="1"/>
  <c r="IG15" i="12" s="1"/>
  <c r="IH15" i="12" s="1"/>
  <c r="II15" i="12" s="1"/>
  <c r="IJ15" i="12" s="1"/>
  <c r="IK15" i="12" s="1"/>
  <c r="IL15" i="12" s="1"/>
  <c r="IM15" i="12" s="1"/>
  <c r="IN15" i="12" s="1"/>
  <c r="IO15" i="12" s="1"/>
  <c r="IP15" i="12" s="1"/>
  <c r="IQ15" i="12" s="1"/>
  <c r="IR15" i="12" s="1"/>
  <c r="IS15" i="12" s="1"/>
  <c r="IT15" i="12" s="1"/>
  <c r="IU15" i="12" s="1"/>
  <c r="IV15" i="12" s="1"/>
  <c r="IW15" i="12" s="1"/>
  <c r="IX15" i="12" s="1"/>
  <c r="IY15" i="12" s="1"/>
  <c r="IZ15" i="12" s="1"/>
  <c r="JA15" i="12" s="1"/>
  <c r="JB15" i="12" s="1"/>
  <c r="JC15" i="12" s="1"/>
  <c r="JD15" i="12" s="1"/>
  <c r="JE15" i="12" s="1"/>
  <c r="JF15" i="12" s="1"/>
  <c r="JG15" i="12" s="1"/>
  <c r="JH15" i="12" s="1"/>
  <c r="JI15" i="12" s="1"/>
  <c r="JJ15" i="12" s="1"/>
  <c r="JK15" i="12" s="1"/>
  <c r="JL15" i="12" s="1"/>
  <c r="JM15" i="12" s="1"/>
  <c r="JN15" i="12" s="1"/>
  <c r="JO15" i="12" s="1"/>
  <c r="JP15" i="12" s="1"/>
  <c r="JQ15" i="12" s="1"/>
  <c r="JR15" i="12" s="1"/>
  <c r="JS15" i="12" s="1"/>
  <c r="JT15" i="12" s="1"/>
  <c r="JU15" i="12" s="1"/>
  <c r="JV15" i="12" s="1"/>
  <c r="JW15" i="12" s="1"/>
  <c r="JX15" i="12" s="1"/>
  <c r="JY15" i="12" s="1"/>
  <c r="JZ15" i="12" s="1"/>
  <c r="KA15" i="12" s="1"/>
  <c r="KB15" i="12" s="1"/>
  <c r="KC15" i="12" s="1"/>
  <c r="KD15" i="12" s="1"/>
  <c r="KE15" i="12" s="1"/>
  <c r="KF15" i="12" s="1"/>
  <c r="KG15" i="12" s="1"/>
  <c r="KH15" i="12" s="1"/>
  <c r="KI15" i="12" s="1"/>
  <c r="KJ15" i="12" s="1"/>
  <c r="KK15" i="12" s="1"/>
  <c r="KL15" i="12" s="1"/>
  <c r="KM15" i="12" s="1"/>
  <c r="KN15" i="12" s="1"/>
  <c r="KO15" i="12" s="1"/>
  <c r="KP15" i="12" s="1"/>
  <c r="KQ15" i="12" s="1"/>
  <c r="KR15" i="12" s="1"/>
  <c r="KS15" i="12" s="1"/>
  <c r="KT15" i="12" s="1"/>
  <c r="KU15" i="12" s="1"/>
  <c r="KV15" i="12" s="1"/>
  <c r="KW15" i="12" s="1"/>
  <c r="KX15" i="12" s="1"/>
  <c r="KY15" i="12" s="1"/>
  <c r="KZ15" i="12" s="1"/>
  <c r="LA15" i="12" s="1"/>
  <c r="LB15" i="12" s="1"/>
  <c r="LC15" i="12" s="1"/>
  <c r="LD15" i="12" s="1"/>
  <c r="LE15" i="12" s="1"/>
  <c r="LF15" i="12" s="1"/>
  <c r="LG15" i="12" s="1"/>
  <c r="LH15" i="12" s="1"/>
  <c r="LI15" i="12" s="1"/>
  <c r="LJ15" i="12" s="1"/>
  <c r="LK15" i="12" s="1"/>
  <c r="LL15" i="12" s="1"/>
  <c r="LM15" i="12" s="1"/>
  <c r="LN15" i="12" s="1"/>
  <c r="LO15" i="12" s="1"/>
  <c r="LP15" i="12" s="1"/>
  <c r="LQ15" i="12" s="1"/>
  <c r="LR15" i="12" s="1"/>
  <c r="LS15" i="12" s="1"/>
  <c r="LT15" i="12" s="1"/>
  <c r="LU15" i="12" s="1"/>
  <c r="LV15" i="12" s="1"/>
  <c r="LW15" i="12" s="1"/>
  <c r="LX15" i="12" s="1"/>
  <c r="LY15" i="12" s="1"/>
  <c r="LZ15" i="12" s="1"/>
  <c r="MA15" i="12" s="1"/>
  <c r="MB15" i="12" s="1"/>
  <c r="MC15" i="12" s="1"/>
  <c r="MD15" i="12" s="1"/>
  <c r="J9" i="2"/>
  <c r="J7" i="2"/>
  <c r="J6" i="2"/>
  <c r="BD7" i="12" l="1"/>
  <c r="BD9" i="12" s="1"/>
  <c r="BD10" i="12" s="1"/>
  <c r="BD12" i="12" s="1"/>
  <c r="C30" i="2"/>
  <c r="C29" i="2"/>
  <c r="C28" i="2"/>
  <c r="C27" i="2"/>
  <c r="C24" i="2"/>
  <c r="C23" i="2"/>
  <c r="C22" i="2"/>
  <c r="P28" i="2"/>
  <c r="P22" i="2"/>
  <c r="C19" i="2" s="1"/>
  <c r="C15" i="2"/>
  <c r="C14" i="2"/>
  <c r="C13" i="2"/>
  <c r="Q14" i="2"/>
  <c r="D9" i="2"/>
  <c r="C10" i="2"/>
  <c r="C9" i="2"/>
  <c r="C8" i="2"/>
  <c r="C7" i="2"/>
  <c r="D3" i="2"/>
  <c r="D2" i="2"/>
  <c r="C3" i="2"/>
  <c r="C2" i="2"/>
  <c r="D8" i="2"/>
  <c r="D7" i="2"/>
  <c r="C18" i="2" l="1"/>
  <c r="J4" i="2" l="1"/>
  <c r="J8" i="2" s="1"/>
  <c r="AM39" i="14" l="1"/>
  <c r="AL39" i="14" l="1"/>
  <c r="AM36" i="14" l="1"/>
  <c r="AK39" i="14" l="1"/>
  <c r="AL36" i="14" l="1"/>
  <c r="AJ39" i="14" l="1"/>
  <c r="AK36" i="14" l="1"/>
  <c r="AI39" i="14" l="1"/>
  <c r="AJ36" i="14" l="1"/>
  <c r="AH39" i="14" l="1"/>
  <c r="AI36" i="14" l="1"/>
  <c r="AG39" i="14" l="1"/>
  <c r="AH36" i="14" l="1"/>
  <c r="AF39" i="14" l="1"/>
  <c r="AF36" i="14" l="1"/>
  <c r="AG36" i="14"/>
  <c r="AP36" i="14"/>
  <c r="AQ36" i="14"/>
  <c r="AR36" i="14"/>
  <c r="AN36" i="14"/>
  <c r="AO36" i="14"/>
  <c r="AP49" i="14" l="1"/>
  <c r="AQ49" i="14" l="1"/>
  <c r="AR49" i="14" l="1"/>
  <c r="AN27" i="14"/>
  <c r="AM27" i="14"/>
  <c r="AU27" i="14" s="1"/>
  <c r="S9" i="12" l="1"/>
  <c r="S10" i="12"/>
  <c r="I10" i="14"/>
  <c r="I9" i="14"/>
  <c r="N9" i="14"/>
  <c r="N10" i="14"/>
  <c r="Q9" i="12"/>
  <c r="Q10" i="12"/>
  <c r="D9" i="14"/>
  <c r="D10" i="14"/>
  <c r="C10" i="14"/>
  <c r="C9" i="14"/>
  <c r="G9" i="12"/>
  <c r="G10" i="12"/>
  <c r="L10" i="14"/>
  <c r="L9" i="14"/>
  <c r="K10" i="12"/>
  <c r="K9" i="12"/>
  <c r="M9" i="12"/>
  <c r="M10" i="12"/>
  <c r="H9" i="12"/>
  <c r="H10" i="12"/>
  <c r="O10" i="14"/>
  <c r="O9" i="14"/>
  <c r="E9" i="14"/>
  <c r="E10" i="14"/>
  <c r="P10" i="12"/>
  <c r="P9" i="12"/>
  <c r="D9" i="12"/>
  <c r="D10" i="12"/>
  <c r="K9" i="14"/>
  <c r="K10" i="14"/>
  <c r="I9" i="12"/>
  <c r="I10" i="12"/>
  <c r="S10" i="14"/>
  <c r="S9" i="14"/>
  <c r="J10" i="12"/>
  <c r="J9" i="12"/>
  <c r="F9" i="14"/>
  <c r="F10" i="14"/>
  <c r="J9" i="14"/>
  <c r="J10" i="14"/>
  <c r="O9" i="12"/>
  <c r="O10" i="12"/>
  <c r="R10" i="14"/>
  <c r="R9" i="14"/>
  <c r="H10" i="14"/>
  <c r="H9" i="14"/>
  <c r="C10" i="12"/>
  <c r="C9" i="12"/>
  <c r="R9" i="12"/>
  <c r="R10" i="12"/>
  <c r="M9" i="14"/>
  <c r="M10" i="14"/>
  <c r="N10" i="12"/>
  <c r="N9" i="12"/>
  <c r="G9" i="14"/>
  <c r="G10" i="14"/>
  <c r="Q9" i="14"/>
  <c r="Q10" i="14"/>
  <c r="L10" i="12"/>
  <c r="L9" i="12"/>
  <c r="P10" i="14"/>
  <c r="P9" i="14"/>
  <c r="E10" i="12"/>
  <c r="E9" i="12"/>
  <c r="F9" i="12"/>
  <c r="F10" i="12"/>
</calcChain>
</file>

<file path=xl/sharedStrings.xml><?xml version="1.0" encoding="utf-8"?>
<sst xmlns="http://schemas.openxmlformats.org/spreadsheetml/2006/main" count="425" uniqueCount="276">
  <si>
    <t>Revenue</t>
  </si>
  <si>
    <t>Q118</t>
  </si>
  <si>
    <t>Q218</t>
  </si>
  <si>
    <t>Q318</t>
  </si>
  <si>
    <t>Q418</t>
  </si>
  <si>
    <t>Q119</t>
  </si>
  <si>
    <t>Q219</t>
  </si>
  <si>
    <t>Q319</t>
  </si>
  <si>
    <t>Q419</t>
  </si>
  <si>
    <t>Q120</t>
  </si>
  <si>
    <t>Q220</t>
  </si>
  <si>
    <t>Q320</t>
  </si>
  <si>
    <t>Q420</t>
  </si>
  <si>
    <t>Q121</t>
  </si>
  <si>
    <t>Q221</t>
  </si>
  <si>
    <t>Q321</t>
  </si>
  <si>
    <t>Q421</t>
  </si>
  <si>
    <t>Q122</t>
  </si>
  <si>
    <t>Services</t>
  </si>
  <si>
    <t>Products</t>
  </si>
  <si>
    <t>Total COGS</t>
  </si>
  <si>
    <t>Gross Margin</t>
  </si>
  <si>
    <t>Gross Profit</t>
  </si>
  <si>
    <t>Operating Expenses</t>
  </si>
  <si>
    <t>-</t>
  </si>
  <si>
    <t>Depreciation &amp; Amortization</t>
  </si>
  <si>
    <t>Operating Income (EBITDA)</t>
  </si>
  <si>
    <t>Interest Expense</t>
  </si>
  <si>
    <t>Pretax Income</t>
  </si>
  <si>
    <t>Taxes</t>
  </si>
  <si>
    <t>Price</t>
  </si>
  <si>
    <t>Shares</t>
  </si>
  <si>
    <t>MC</t>
  </si>
  <si>
    <t>Cash</t>
  </si>
  <si>
    <t>Debt</t>
  </si>
  <si>
    <t>EV</t>
  </si>
  <si>
    <t>Q222</t>
  </si>
  <si>
    <t>Q322</t>
  </si>
  <si>
    <t>Q422</t>
  </si>
  <si>
    <t>Revenue y/y</t>
  </si>
  <si>
    <t>COGS  y/y</t>
  </si>
  <si>
    <t>Tax Rate</t>
  </si>
  <si>
    <t>Net Income y/y</t>
  </si>
  <si>
    <t>Name</t>
  </si>
  <si>
    <t>Maturity</t>
  </si>
  <si>
    <t>Discount</t>
  </si>
  <si>
    <t>NPV</t>
  </si>
  <si>
    <t>Net NPV</t>
  </si>
  <si>
    <t>Share P</t>
  </si>
  <si>
    <t>Current</t>
  </si>
  <si>
    <t>Other:</t>
  </si>
  <si>
    <t>Restructuring y/y</t>
  </si>
  <si>
    <t>Disney business is two segments: Disney Media and Entertainment Distribution (DMED) and Disney Parks, Experiences and Products (DPEP).</t>
  </si>
  <si>
    <t>DMED</t>
  </si>
  <si>
    <t>Linear Networks</t>
  </si>
  <si>
    <t>Domestic Channels:  domestic television networks (Cable)</t>
  </si>
  <si>
    <t>International Channels: Disney, ESPN, Fox, National Geographic and Star branded television networks outside of the U.S.</t>
  </si>
  <si>
    <t>Direct-to-Consumer</t>
  </si>
  <si>
    <t>Disney+, Disney+ Hotstar, ESPN+, Hulu and Star+ direct-to-consumer (DTC) streaming services</t>
  </si>
  <si>
    <t>Sale/licensing of film and television content to third-party television and subscription video-on-demand (TV/SVOD) services</t>
  </si>
  <si>
    <t>Content Sales/License</t>
  </si>
  <si>
    <t>Home entertainment distribution (DVD, Blu-ray discs and electronic home video licenses)</t>
  </si>
  <si>
    <t>Music distribution</t>
  </si>
  <si>
    <t>Stage Plays</t>
  </si>
  <si>
    <t>Disney Media and Entertainment Distribution (DMED)</t>
  </si>
  <si>
    <t>Disney Parks, Experiences and Products (DPEP)</t>
  </si>
  <si>
    <t>Direct-To-Consumer</t>
  </si>
  <si>
    <t>Content Sales/ Licensing</t>
  </si>
  <si>
    <t>Elimination of intrasegment Revenue</t>
  </si>
  <si>
    <t>https://www.disney.com</t>
  </si>
  <si>
    <t>Linear Networks consist of our domestic and international branded television channels.</t>
  </si>
  <si>
    <t>The majority of Linear Networks revenue is derived from affiliate fees and advertising sales.</t>
  </si>
  <si>
    <t>Disney</t>
  </si>
  <si>
    <t>Business Model</t>
  </si>
  <si>
    <t>Our DTC businesses consist of subscription services that provide video streaming of general entertainment, family and sports programming</t>
  </si>
  <si>
    <t xml:space="preserve">The majority of Content Sales/Licensing revenue is derived from TV/SVOD, theatrical and home entertainment distribution. </t>
  </si>
  <si>
    <t>In addition, revenue is generated from music distribution and stage play</t>
  </si>
  <si>
    <t>DPEP</t>
  </si>
  <si>
    <t>Parks &amp; Experiences:</t>
  </si>
  <si>
    <t>Theme parks and resorts</t>
  </si>
  <si>
    <t>Disney Cruise Line, Disney Vacation Club, National Geographic Expeditions</t>
  </si>
  <si>
    <t>Consumer Products</t>
  </si>
  <si>
    <t>Licensing of our trade names, characters, visual, literary and other IP to various businesses</t>
  </si>
  <si>
    <t>Sale of branded merchandise through retail, online and wholesale businesses, and development and publishing of books</t>
  </si>
  <si>
    <t>The significant revenues of DPEP are as follows:</t>
  </si>
  <si>
    <t>Merchandise licensing and retail</t>
  </si>
  <si>
    <t>Theme park admissions - Sales of tickets, Parks &amp; Experiences merchandise</t>
  </si>
  <si>
    <t xml:space="preserve"> Resorts and vacations - Sales of room nights at hotels, sales of cruise</t>
  </si>
  <si>
    <t>% of Segment Revenue</t>
  </si>
  <si>
    <t>% OP Segment Income</t>
  </si>
  <si>
    <t>Linear Networks Revenues</t>
  </si>
  <si>
    <t>Affilate Fees</t>
  </si>
  <si>
    <t>Advertising</t>
  </si>
  <si>
    <t>Other</t>
  </si>
  <si>
    <t>OP Income</t>
  </si>
  <si>
    <t>DMED + DPEP</t>
  </si>
  <si>
    <t>DMED:</t>
  </si>
  <si>
    <t>Direct-to-customer</t>
  </si>
  <si>
    <t>Content Sales/ Licen</t>
  </si>
  <si>
    <t>Total</t>
  </si>
  <si>
    <t>Missclassification</t>
  </si>
  <si>
    <t>Linear Networks:</t>
  </si>
  <si>
    <t>Affiliate Revenues:</t>
  </si>
  <si>
    <t>Domestic</t>
  </si>
  <si>
    <t>International</t>
  </si>
  <si>
    <t>DTC:</t>
  </si>
  <si>
    <t>Subscription Fees</t>
  </si>
  <si>
    <t>TV/SVOD</t>
  </si>
  <si>
    <t>Direct-To-Consumer Revenues</t>
  </si>
  <si>
    <t>Content Sales/Licensing</t>
  </si>
  <si>
    <t>Content Sales/ Licen:</t>
  </si>
  <si>
    <t>Theatrical</t>
  </si>
  <si>
    <t>Home Entertain</t>
  </si>
  <si>
    <t>TV/SVOD Distribution</t>
  </si>
  <si>
    <t>Theatrical Distribution</t>
  </si>
  <si>
    <t>Home Entertainment</t>
  </si>
  <si>
    <t>https://thewaltdisneycompany.com/disneys-q1-fy22-earnings-results-webcast</t>
  </si>
  <si>
    <t xml:space="preserve">Pixar’s Turning Red and Marvel Studios’ Moon Knight in March. </t>
  </si>
  <si>
    <t xml:space="preserve"> back half of FY22 will feature a truly stunning array of content, including two Star Wars series: Andor, and the highly-anticipated Obi-Wan Kenobi, which I am excited to announce will premiere on May 25</t>
  </si>
  <si>
    <t xml:space="preserve"> 230-260 million total paid Disney+ subscribers globally by the end of Fiscal 2024.   </t>
  </si>
  <si>
    <t xml:space="preserve">big franchise blockbusters. Marvel franchise film, Doctor Strange in the Multiverse of Madness. </t>
  </si>
  <si>
    <t>Things Coming</t>
  </si>
  <si>
    <t xml:space="preserve"> six of the 10 most-watched programs across our services are general entertainment titles produced by our own team.  </t>
  </si>
  <si>
    <t xml:space="preserve">Sporting events continue to be the most powerful draw in television, accounting for 95 of the 100 most-watched live broadcasts in 2021. And ESPN once again set the bar this quarter with live games across each of our four major U.S. sports, including the revolutionary Monday Night with Peyton and Eli. </t>
  </si>
  <si>
    <t xml:space="preserve">expanded our agreement with Peyton Manning and his Omaha Productions company to extend our relationship through the 2024 NFL season, </t>
  </si>
  <si>
    <t xml:space="preserve">ENCANTO Movie: The soundtrack – which debuted at Number 197 on the Billboard 200 chart – reached #1 shortly after debuting on Disney+. And eight of the film’s songs hit the Hot 100 Chart, including “We Don’t Talk About Bruno”, which became the first Disney song to reach #1 since Aladdin’s “A Whole New World” in 1993. </t>
  </si>
  <si>
    <t xml:space="preserve">Star Wars: Galactic Starcruiser at Walt Disney World – a twonight adventure into the most immersive Star Wars story ever created. We are pleased with demand for this premium, groundbreaking experience, which will welcome Guests starting on March 1. </t>
  </si>
  <si>
    <t>While demand was strong throughout the quarter at both domestic sites, our reservation system enabled us to strategically manage attendance. In fact, their stellar performance was achieved at lower attendance levels than in 2019</t>
  </si>
  <si>
    <t>Per capita spending at our domestic parks was up more than 40% versus fiscal first quarter 2019 driven by a more favorable guest and ticket mix, higher food, beverage and merchandise spending,</t>
  </si>
  <si>
    <t xml:space="preserve">Operating losses at Disney+ increased versus the prior year, as growth in subscription revenue was more than offset by higher programming, technology, and marketing costs. </t>
  </si>
  <si>
    <t xml:space="preserve">Overall, we are pleased with Disney+ subscriber growth in the quarter, and are looking forward to new market launches and a strong content slate later this year. As I’ve previously shared, we don’t anticipate that subscriber growth will necessarily be linear from quarter to quarter, and we continue to expect growth in the back half of the fiscal year to exceed growth in the first half. </t>
  </si>
  <si>
    <t>At Direct-to-Consumer, we expect programming and production expenses to increase by approximately $800 million to $1 billion,</t>
  </si>
  <si>
    <t xml:space="preserve">At Linear Networks, we expect programming and production expenses to increase by approximately $500 million, reflecting factors including COVID-related timing shifts. </t>
  </si>
  <si>
    <t xml:space="preserve">about 50% – slightly over 50%1 – of our consumer base on Disney+ do not have kids. </t>
  </si>
  <si>
    <t xml:space="preserve">Thanks, Ben. So on the Disney+ U.S. side, you mentioned that we're roughly 1/3 penetrated. </t>
  </si>
  <si>
    <t xml:space="preserve"> look at India, we're certainly going to try to extend our rights on the IPL. But we're very confident that even if we were not to go ahead and win that auction that we would still be able to achieve our 230 to 260. </t>
  </si>
  <si>
    <t xml:space="preserve">Hotstar was about 40% of your long-term guide and without cricket, getting to that number seems like a little bit tougher to do, just given the popularity of the sport in the country and also the fact that Hotstar has been in the country for a long time as a localized service. </t>
  </si>
  <si>
    <t xml:space="preserve">So while certainly it's an important component, that local content that we're developing really will mitigate the impact of if we were not to win the auction on IPL. So an important component, but it's not like we see that business evaporating if we don't get it. </t>
  </si>
  <si>
    <t>DIS GET IPL?</t>
  </si>
  <si>
    <t xml:space="preserve">18% to 22% of our Walt Disney World guests came from outside of the U.S. and they have an even yet started to return. </t>
  </si>
  <si>
    <t xml:space="preserve">We maintain that we offer an extraordinary price value relationship around the world for Disney+. Obviously, the last few years, pretty much the entirety of the launch of Disney+ have been plagued by COVID-related production interruptions. Plus in all fairness, our own </t>
  </si>
  <si>
    <t xml:space="preserve">recognition that we needed to essentially double our production output. You put those 2 things together, and we certainly have less content than we want. </t>
  </si>
  <si>
    <t xml:space="preserve">But as we've said over the last few earnings calls, that will rectify itself in the second half of this year. </t>
  </si>
  <si>
    <t xml:space="preserve">But by '23, we want to get to a steady state, which is even higher than we have right now. And I think that will give us the impetus to increase that price value relationship even higher and then have the flexibility, if we were to so choose, to then look at price increases on our service. </t>
  </si>
  <si>
    <t xml:space="preserve">Hi Brett. The only other thing I would add to that is that we are still only less than 2.5 years into this business, and we're learning a lot about what consumers are watching, consumption patterns, repeatability and all of those things will factor into when we look at the – as Bob mentioned – the price value equation going forward. So as we learn more, we'll continue to refine the business model. </t>
  </si>
  <si>
    <t xml:space="preserve">And when you're looking at that $33 billion, I think it's also informative to take into account that about 1/3 of that is for sports rights, including the programming and production, but primarily it's the sports rights. So if you want to think about the total $33 billion, take out 1/3 for sports and the remainder is for content. Not all on Disney+, some of that's for Hulu as well. </t>
  </si>
  <si>
    <t>Net Cash</t>
  </si>
  <si>
    <t>A/R</t>
  </si>
  <si>
    <t>Inventory</t>
  </si>
  <si>
    <t>Goodwill &amp; Intangibles</t>
  </si>
  <si>
    <t>Produced and Licensed Content</t>
  </si>
  <si>
    <t>PP&amp;E</t>
  </si>
  <si>
    <t>Projects in progress</t>
  </si>
  <si>
    <t>Land</t>
  </si>
  <si>
    <t>Assets</t>
  </si>
  <si>
    <t>A/P</t>
  </si>
  <si>
    <t>Defered Income</t>
  </si>
  <si>
    <t>Defered Income Tax</t>
  </si>
  <si>
    <t>SE</t>
  </si>
  <si>
    <t xml:space="preserve">Redeemable non-Controlling </t>
  </si>
  <si>
    <t>Total L+SE</t>
  </si>
  <si>
    <t>Yield</t>
  </si>
  <si>
    <t>EV/E</t>
  </si>
  <si>
    <t>2022 ER</t>
  </si>
  <si>
    <t>ROIC</t>
  </si>
  <si>
    <t>(in millions)</t>
  </si>
  <si>
    <t>October 2,</t>
  </si>
  <si>
    <t>July 3,</t>
  </si>
  <si>
    <t>April 3,</t>
  </si>
  <si>
    <t>January 2,</t>
  </si>
  <si>
    <t>Disney+</t>
  </si>
  <si>
    <t>International (excluding Disney+ Hotstar)</t>
  </si>
  <si>
    <r>
      <t>Disney+ (excluding Disney+ Hotstar) </t>
    </r>
    <r>
      <rPr>
        <sz val="6.5"/>
        <color rgb="FF000000"/>
        <rFont val="Times New Roman"/>
        <family val="1"/>
      </rPr>
      <t>(1)</t>
    </r>
  </si>
  <si>
    <t>Disney+ Hotstar</t>
  </si>
  <si>
    <r>
      <t>Total Disney+ </t>
    </r>
    <r>
      <rPr>
        <sz val="6.5"/>
        <color rgb="FF000000"/>
        <rFont val="Times New Roman"/>
        <family val="1"/>
      </rPr>
      <t>(1)</t>
    </r>
  </si>
  <si>
    <t>ESPN+</t>
  </si>
  <si>
    <t>% Change</t>
  </si>
  <si>
    <t>Better (Worse)</t>
  </si>
  <si>
    <t>Programming and production costs</t>
  </si>
  <si>
    <t>Cable</t>
  </si>
  <si>
    <t>$</t>
  </si>
  <si>
    <t>  </t>
  </si>
  <si>
    <t>(10) %</t>
  </si>
  <si>
    <t>Broadcasting</t>
  </si>
  <si>
    <t>(6) %</t>
  </si>
  <si>
    <t>Domestic Channels</t>
  </si>
  <si>
    <t>(9) %</t>
  </si>
  <si>
    <t>International Channels</t>
  </si>
  <si>
    <t>(17) %</t>
  </si>
  <si>
    <t>Other operating expenses</t>
  </si>
  <si>
    <t>(5) %</t>
  </si>
  <si>
    <t>% Change</t>
  </si>
  <si>
    <t>(15) %</t>
  </si>
  <si>
    <t>5  %</t>
  </si>
  <si>
    <t>Hulu</t>
  </si>
  <si>
    <t>SVOD Only</t>
  </si>
  <si>
    <t>Live TV + SVOD</t>
  </si>
  <si>
    <t>21  %</t>
  </si>
  <si>
    <t>Better</t>
  </si>
  <si>
    <t>(Worse)</t>
  </si>
  <si>
    <t>January 1,</t>
  </si>
  <si>
    <t>Domestic (U.S. and Canada)</t>
  </si>
  <si>
    <t>6.68 </t>
  </si>
  <si>
    <t>5.80 </t>
  </si>
  <si>
    <t>15  %</t>
  </si>
  <si>
    <r>
      <t>International (excluding Disney+ Hotstar)</t>
    </r>
    <r>
      <rPr>
        <sz val="6.5"/>
        <color rgb="FF000000"/>
        <rFont val="Times New Roman"/>
        <family val="1"/>
      </rPr>
      <t>(3)</t>
    </r>
  </si>
  <si>
    <t>5.96 </t>
  </si>
  <si>
    <t>4.73 </t>
  </si>
  <si>
    <t>26  %</t>
  </si>
  <si>
    <t>Disney+ (excluding Disney+ Hotstar)</t>
  </si>
  <si>
    <t>6.33 </t>
  </si>
  <si>
    <t>5.37 </t>
  </si>
  <si>
    <t>18  %</t>
  </si>
  <si>
    <t>1.03 </t>
  </si>
  <si>
    <t>0.98 </t>
  </si>
  <si>
    <t>4.41 </t>
  </si>
  <si>
    <t>4.03 </t>
  </si>
  <si>
    <t>9  %</t>
  </si>
  <si>
    <t>5.16 </t>
  </si>
  <si>
    <t>4.48 </t>
  </si>
  <si>
    <t>12.96 </t>
  </si>
  <si>
    <t>13.51 </t>
  </si>
  <si>
    <t>(4) %</t>
  </si>
  <si>
    <t>87.01 </t>
  </si>
  <si>
    <t>75.11 </t>
  </si>
  <si>
    <t>16  %</t>
  </si>
  <si>
    <t>09/2021 - 2022</t>
  </si>
  <si>
    <t>Net Income (Continued Ops)</t>
  </si>
  <si>
    <t>FCF</t>
  </si>
  <si>
    <t>Growth</t>
  </si>
  <si>
    <t>CF</t>
  </si>
  <si>
    <t>Interest Income</t>
  </si>
  <si>
    <t>Operating Expense</t>
  </si>
  <si>
    <t>Averages</t>
  </si>
  <si>
    <t>Revenue G</t>
  </si>
  <si>
    <t>COGS + OP EXP</t>
  </si>
  <si>
    <t>COGS G</t>
  </si>
  <si>
    <t>OP EXP AVG</t>
  </si>
  <si>
    <t>NOPAT + Depreciation</t>
  </si>
  <si>
    <t>CAPEX</t>
  </si>
  <si>
    <t>Terminal</t>
  </si>
  <si>
    <t>Delta Non-Cash Work Cap</t>
  </si>
  <si>
    <t>Income Tax</t>
  </si>
  <si>
    <t>Deferred Income Tax</t>
  </si>
  <si>
    <t>Non-Operating Income</t>
  </si>
  <si>
    <t>CAPEX %</t>
  </si>
  <si>
    <t>FCF %</t>
  </si>
  <si>
    <t>FCF g</t>
  </si>
  <si>
    <t>CPEX % g</t>
  </si>
  <si>
    <t>CA</t>
  </si>
  <si>
    <t>CL</t>
  </si>
  <si>
    <t>Current Assets</t>
  </si>
  <si>
    <t>Current Liabilities</t>
  </si>
  <si>
    <t>NWC</t>
  </si>
  <si>
    <t>NWC/REV</t>
  </si>
  <si>
    <t>Current Assets/ Revenue</t>
  </si>
  <si>
    <t>Current Liabilities/ Revenue</t>
  </si>
  <si>
    <t>Spread</t>
  </si>
  <si>
    <t>Cash Flow</t>
  </si>
  <si>
    <t>CAPEX/Revemue</t>
  </si>
  <si>
    <t>WACC</t>
  </si>
  <si>
    <t>Valuation ($ in millions)</t>
  </si>
  <si>
    <t>LT Growth</t>
  </si>
  <si>
    <t>Net Debt</t>
  </si>
  <si>
    <t>Shares Outstanding</t>
  </si>
  <si>
    <t>Price Per Share</t>
  </si>
  <si>
    <t>Equity Value</t>
  </si>
  <si>
    <t>Implied Enterprise Value</t>
  </si>
  <si>
    <t>Implied Upside</t>
  </si>
  <si>
    <t>NI + Depreciation</t>
  </si>
  <si>
    <t>Cash from Financing Activities</t>
  </si>
  <si>
    <t>LT Debt</t>
  </si>
  <si>
    <t>Year</t>
  </si>
  <si>
    <t>Cash as Current Assets</t>
  </si>
  <si>
    <t>CL are not effected by LT Debt</t>
  </si>
  <si>
    <t>ebita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</si>
</sst>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0&quot;x&quot;"/>
    <numFmt numFmtId="165" formatCode="0.0%"/>
    <numFmt numFmtId="166" formatCode="#,##0.000"/>
    <numFmt numFmtId="167"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u/>
      <sz val="11"/>
      <color theme="10"/>
      <name val="Calibri"/>
      <family val="2"/>
      <scheme val="minor"/>
    </font>
    <font>
      <sz val="10"/>
      <color theme="1"/>
      <name val="Times New Roman"/>
      <family val="1"/>
    </font>
    <font>
      <sz val="14"/>
      <color rgb="FF000000"/>
      <name val="Times New Roman"/>
      <family val="1"/>
    </font>
    <font>
      <sz val="6.5"/>
      <color rgb="FF000000"/>
      <name val="Times New Roman"/>
      <family val="1"/>
    </font>
    <font>
      <b/>
      <sz val="10"/>
      <color rgb="FF000000"/>
      <name val="Times New Roman"/>
      <family val="1"/>
    </font>
    <font>
      <sz val="11"/>
      <color theme="1"/>
      <name val="Times New Roman"/>
      <family val="1"/>
    </font>
    <font>
      <sz val="8"/>
      <color rgb="FF000000"/>
      <name val="Times New Roman"/>
      <family val="1"/>
    </font>
    <font>
      <sz val="11"/>
      <color rgb="FFFF0000"/>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FF"/>
        <bgColor indexed="64"/>
      </patternFill>
    </fill>
    <fill>
      <patternFill patternType="solid">
        <fgColor rgb="FFCCEEFF"/>
        <bgColor indexed="64"/>
      </patternFill>
    </fill>
    <fill>
      <patternFill patternType="solid">
        <fgColor theme="6"/>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17">
    <border>
      <left/>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rgb="FF000000"/>
      </top>
      <bottom/>
      <diagonal/>
    </border>
    <border>
      <left/>
      <right/>
      <top style="double">
        <color rgb="FF000000"/>
      </top>
      <bottom/>
      <diagonal/>
    </border>
    <border>
      <left/>
      <right/>
      <top/>
      <bottom style="medium">
        <color rgb="FF000000"/>
      </bottom>
      <diagonal/>
    </border>
    <border>
      <left/>
      <right/>
      <top style="medium">
        <color rgb="FF000000"/>
      </top>
      <bottom style="double">
        <color rgb="FF000000"/>
      </bottom>
      <diagonal/>
    </border>
    <border>
      <left/>
      <right/>
      <top/>
      <bottom style="medium">
        <color indexed="64"/>
      </bottom>
      <diagonal/>
    </border>
    <border>
      <left/>
      <right/>
      <top style="medium">
        <color indexed="64"/>
      </top>
      <bottom/>
      <diagonal/>
    </border>
    <border>
      <left style="medium">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282">
    <xf numFmtId="0" fontId="0" fillId="0" borderId="0" xfId="0"/>
    <xf numFmtId="0" fontId="0" fillId="0" borderId="0" xfId="0" applyAlignment="1">
      <alignment horizontal="right"/>
    </xf>
    <xf numFmtId="3" fontId="0" fillId="0" borderId="0" xfId="0" applyNumberFormat="1"/>
    <xf numFmtId="3" fontId="0" fillId="0" borderId="0" xfId="0" applyNumberFormat="1" applyAlignment="1">
      <alignment horizontal="right"/>
    </xf>
    <xf numFmtId="3" fontId="2" fillId="0" borderId="0" xfId="0" applyNumberFormat="1" applyFont="1" applyAlignment="1">
      <alignment horizontal="right"/>
    </xf>
    <xf numFmtId="3" fontId="2" fillId="0" borderId="0" xfId="0" applyNumberFormat="1" applyFont="1"/>
    <xf numFmtId="9" fontId="0" fillId="0" borderId="0" xfId="1" applyFont="1" applyAlignment="1">
      <alignment horizontal="right"/>
    </xf>
    <xf numFmtId="3" fontId="0" fillId="0" borderId="0" xfId="0" applyNumberFormat="1" applyFill="1"/>
    <xf numFmtId="3" fontId="0" fillId="0" borderId="0" xfId="0" applyNumberFormat="1" applyFill="1" applyAlignment="1">
      <alignment horizontal="right"/>
    </xf>
    <xf numFmtId="2" fontId="0" fillId="0" borderId="0" xfId="0" applyNumberFormat="1" applyAlignment="1">
      <alignment horizontal="right"/>
    </xf>
    <xf numFmtId="9" fontId="0" fillId="0" borderId="0" xfId="1" applyFont="1"/>
    <xf numFmtId="0" fontId="2" fillId="0" borderId="0" xfId="0" applyFont="1" applyAlignment="1">
      <alignment horizontal="right"/>
    </xf>
    <xf numFmtId="9" fontId="2" fillId="0" borderId="0" xfId="1" applyFont="1" applyAlignment="1">
      <alignment horizontal="right"/>
    </xf>
    <xf numFmtId="0" fontId="2" fillId="0" borderId="0" xfId="0" applyFont="1"/>
    <xf numFmtId="9" fontId="2" fillId="0" borderId="0" xfId="1" applyFont="1"/>
    <xf numFmtId="3" fontId="0" fillId="0" borderId="0" xfId="0" applyNumberFormat="1" applyFont="1"/>
    <xf numFmtId="0" fontId="0" fillId="0" borderId="0" xfId="0" applyFont="1"/>
    <xf numFmtId="9" fontId="2" fillId="3" borderId="0" xfId="1" applyFont="1" applyFill="1" applyAlignment="1">
      <alignment horizontal="right"/>
    </xf>
    <xf numFmtId="9" fontId="2" fillId="3" borderId="0" xfId="1" applyFont="1" applyFill="1"/>
    <xf numFmtId="3" fontId="2" fillId="4" borderId="0" xfId="0" applyNumberFormat="1" applyFont="1" applyFill="1"/>
    <xf numFmtId="3" fontId="0" fillId="4" borderId="0" xfId="0" applyNumberFormat="1" applyFill="1"/>
    <xf numFmtId="3" fontId="2" fillId="5" borderId="0" xfId="0" applyNumberFormat="1" applyFont="1" applyFill="1"/>
    <xf numFmtId="3" fontId="2" fillId="0" borderId="1" xfId="0" applyNumberFormat="1" applyFont="1" applyBorder="1" applyAlignment="1">
      <alignment horizontal="right"/>
    </xf>
    <xf numFmtId="0" fontId="0" fillId="0" borderId="3" xfId="0" applyBorder="1"/>
    <xf numFmtId="0" fontId="0" fillId="0" borderId="5" xfId="0" applyBorder="1"/>
    <xf numFmtId="0" fontId="0" fillId="0" borderId="0" xfId="0" applyBorder="1"/>
    <xf numFmtId="3" fontId="0" fillId="0" borderId="0" xfId="0" applyNumberFormat="1" applyBorder="1"/>
    <xf numFmtId="0" fontId="3" fillId="6" borderId="0" xfId="0" applyFont="1" applyFill="1"/>
    <xf numFmtId="0" fontId="0" fillId="6" borderId="0" xfId="0" applyFill="1"/>
    <xf numFmtId="0" fontId="3" fillId="6" borderId="2" xfId="0" applyFont="1" applyFill="1" applyBorder="1"/>
    <xf numFmtId="0" fontId="0" fillId="6" borderId="3" xfId="0" applyFill="1" applyBorder="1"/>
    <xf numFmtId="0" fontId="0" fillId="6" borderId="4" xfId="0" applyFill="1" applyBorder="1"/>
    <xf numFmtId="0" fontId="3" fillId="6" borderId="7" xfId="0" applyFont="1" applyFill="1" applyBorder="1"/>
    <xf numFmtId="0" fontId="0" fillId="6" borderId="8" xfId="0" applyFill="1" applyBorder="1"/>
    <xf numFmtId="0" fontId="0" fillId="6" borderId="9" xfId="0" applyFill="1" applyBorder="1"/>
    <xf numFmtId="0" fontId="4" fillId="0" borderId="0" xfId="2"/>
    <xf numFmtId="0" fontId="0" fillId="6" borderId="7" xfId="0" applyFill="1" applyBorder="1"/>
    <xf numFmtId="0" fontId="0" fillId="6" borderId="0" xfId="0" applyFill="1" applyBorder="1"/>
    <xf numFmtId="0" fontId="0" fillId="0" borderId="0" xfId="0" applyFill="1"/>
    <xf numFmtId="0" fontId="0" fillId="0" borderId="0" xfId="0" applyFill="1" applyBorder="1"/>
    <xf numFmtId="0" fontId="3" fillId="6" borderId="5" xfId="0" applyFont="1" applyFill="1" applyBorder="1"/>
    <xf numFmtId="0" fontId="0" fillId="6" borderId="6" xfId="0" applyFill="1" applyBorder="1"/>
    <xf numFmtId="0" fontId="5" fillId="6" borderId="5" xfId="0" applyFont="1" applyFill="1" applyBorder="1"/>
    <xf numFmtId="0" fontId="5" fillId="6" borderId="0" xfId="0" applyFont="1" applyFill="1" applyBorder="1"/>
    <xf numFmtId="0" fontId="0" fillId="6" borderId="5" xfId="0" applyFill="1" applyBorder="1"/>
    <xf numFmtId="0" fontId="0" fillId="2" borderId="0" xfId="0" applyFill="1"/>
    <xf numFmtId="0" fontId="0" fillId="6" borderId="2" xfId="0" applyFill="1" applyBorder="1"/>
    <xf numFmtId="0" fontId="3" fillId="6" borderId="3" xfId="0" applyFont="1" applyFill="1" applyBorder="1"/>
    <xf numFmtId="10" fontId="0" fillId="0" borderId="0" xfId="1" applyNumberFormat="1" applyFont="1" applyBorder="1" applyAlignment="1">
      <alignment horizontal="center"/>
    </xf>
    <xf numFmtId="3" fontId="0" fillId="0" borderId="0" xfId="0" applyNumberFormat="1" applyBorder="1" applyAlignment="1">
      <alignment horizontal="center"/>
    </xf>
    <xf numFmtId="10" fontId="0" fillId="0" borderId="0" xfId="1" applyNumberFormat="1" applyFont="1" applyAlignment="1">
      <alignment horizontal="center"/>
    </xf>
    <xf numFmtId="3" fontId="0" fillId="0" borderId="0" xfId="0" applyNumberFormat="1" applyAlignment="1">
      <alignment horizontal="center"/>
    </xf>
    <xf numFmtId="3" fontId="0" fillId="0" borderId="0" xfId="0" applyNumberFormat="1" applyFill="1" applyBorder="1" applyAlignment="1">
      <alignment horizontal="center"/>
    </xf>
    <xf numFmtId="10" fontId="0" fillId="0" borderId="0" xfId="1" applyNumberFormat="1" applyFont="1" applyFill="1" applyBorder="1" applyAlignment="1">
      <alignment horizontal="center"/>
    </xf>
    <xf numFmtId="3" fontId="0" fillId="9" borderId="0" xfId="0" applyNumberFormat="1" applyFill="1" applyBorder="1" applyAlignment="1">
      <alignment horizontal="center"/>
    </xf>
    <xf numFmtId="3" fontId="0" fillId="7" borderId="2" xfId="0" applyNumberFormat="1" applyFill="1" applyBorder="1"/>
    <xf numFmtId="10" fontId="0" fillId="0" borderId="4" xfId="1" applyNumberFormat="1" applyFont="1" applyBorder="1" applyAlignment="1">
      <alignment horizontal="center"/>
    </xf>
    <xf numFmtId="10" fontId="0" fillId="0" borderId="6" xfId="1" applyNumberFormat="1" applyFont="1" applyBorder="1" applyAlignment="1">
      <alignment horizontal="center"/>
    </xf>
    <xf numFmtId="0" fontId="0" fillId="0" borderId="5" xfId="0" applyFill="1" applyBorder="1"/>
    <xf numFmtId="0" fontId="0" fillId="0" borderId="7" xfId="0" applyFill="1" applyBorder="1"/>
    <xf numFmtId="10" fontId="0" fillId="0" borderId="9" xfId="1" applyNumberFormat="1" applyFont="1" applyBorder="1" applyAlignment="1">
      <alignment horizontal="center"/>
    </xf>
    <xf numFmtId="3" fontId="0" fillId="0" borderId="2" xfId="0" applyNumberFormat="1" applyBorder="1"/>
    <xf numFmtId="3" fontId="0" fillId="0" borderId="3" xfId="0" applyNumberFormat="1" applyBorder="1" applyAlignment="1">
      <alignment horizontal="center"/>
    </xf>
    <xf numFmtId="3" fontId="0" fillId="0" borderId="4" xfId="0" applyNumberFormat="1" applyBorder="1" applyAlignment="1">
      <alignment horizontal="center"/>
    </xf>
    <xf numFmtId="3" fontId="0" fillId="0" borderId="5" xfId="0" applyNumberFormat="1" applyBorder="1"/>
    <xf numFmtId="3" fontId="0" fillId="0" borderId="6" xfId="0" applyNumberFormat="1" applyBorder="1" applyAlignment="1">
      <alignment horizontal="center"/>
    </xf>
    <xf numFmtId="3" fontId="0" fillId="0" borderId="7" xfId="0" applyNumberFormat="1" applyBorder="1"/>
    <xf numFmtId="3" fontId="0" fillId="9" borderId="8" xfId="0" applyNumberFormat="1" applyFill="1" applyBorder="1" applyAlignment="1">
      <alignment horizontal="center"/>
    </xf>
    <xf numFmtId="3" fontId="0" fillId="0" borderId="9" xfId="0" applyNumberFormat="1" applyBorder="1" applyAlignment="1">
      <alignment horizontal="center"/>
    </xf>
    <xf numFmtId="10" fontId="0" fillId="7" borderId="4" xfId="1" applyNumberFormat="1" applyFont="1" applyFill="1" applyBorder="1" applyAlignment="1">
      <alignment horizontal="center"/>
    </xf>
    <xf numFmtId="0" fontId="0" fillId="10" borderId="2" xfId="0" applyFill="1" applyBorder="1"/>
    <xf numFmtId="10" fontId="0" fillId="10" borderId="4" xfId="1" applyNumberFormat="1" applyFont="1" applyFill="1" applyBorder="1" applyAlignment="1">
      <alignment horizontal="center"/>
    </xf>
    <xf numFmtId="3" fontId="0" fillId="0" borderId="7" xfId="0" applyNumberFormat="1" applyFill="1" applyBorder="1"/>
    <xf numFmtId="3" fontId="0" fillId="0" borderId="2" xfId="0" applyNumberFormat="1" applyFill="1" applyBorder="1"/>
    <xf numFmtId="3" fontId="0" fillId="0" borderId="5" xfId="0" applyNumberFormat="1" applyFill="1" applyBorder="1"/>
    <xf numFmtId="3" fontId="0" fillId="0" borderId="8" xfId="0" applyNumberFormat="1" applyBorder="1" applyAlignment="1">
      <alignment horizontal="center"/>
    </xf>
    <xf numFmtId="3" fontId="0" fillId="12" borderId="0" xfId="0" applyNumberFormat="1" applyFill="1" applyBorder="1" applyAlignment="1">
      <alignment horizontal="center"/>
    </xf>
    <xf numFmtId="3" fontId="0" fillId="12" borderId="8" xfId="0" applyNumberFormat="1" applyFill="1" applyBorder="1" applyAlignment="1">
      <alignment horizontal="center"/>
    </xf>
    <xf numFmtId="3" fontId="0" fillId="8" borderId="6" xfId="0" applyNumberFormat="1" applyFill="1" applyBorder="1" applyAlignment="1">
      <alignment horizontal="center"/>
    </xf>
    <xf numFmtId="0" fontId="0" fillId="11" borderId="2" xfId="0" applyFill="1" applyBorder="1"/>
    <xf numFmtId="10" fontId="0" fillId="11" borderId="4" xfId="1" applyNumberFormat="1" applyFont="1" applyFill="1" applyBorder="1" applyAlignment="1">
      <alignment horizontal="center"/>
    </xf>
    <xf numFmtId="0" fontId="0" fillId="0" borderId="7" xfId="0" applyBorder="1"/>
    <xf numFmtId="3" fontId="0" fillId="9" borderId="2" xfId="0" applyNumberFormat="1" applyFill="1" applyBorder="1"/>
    <xf numFmtId="10" fontId="0" fillId="9" borderId="3" xfId="1" applyNumberFormat="1" applyFont="1" applyFill="1" applyBorder="1" applyAlignment="1">
      <alignment horizontal="center"/>
    </xf>
    <xf numFmtId="10" fontId="0" fillId="9" borderId="4" xfId="1" applyNumberFormat="1" applyFont="1" applyFill="1" applyBorder="1" applyAlignment="1">
      <alignment horizontal="center"/>
    </xf>
    <xf numFmtId="3" fontId="0" fillId="7" borderId="5" xfId="0" applyNumberFormat="1" applyFill="1" applyBorder="1"/>
    <xf numFmtId="10" fontId="0" fillId="0" borderId="6" xfId="1" applyNumberFormat="1" applyFont="1" applyFill="1" applyBorder="1" applyAlignment="1">
      <alignment horizontal="center"/>
    </xf>
    <xf numFmtId="3" fontId="0" fillId="10" borderId="5" xfId="0" applyNumberFormat="1" applyFill="1" applyBorder="1"/>
    <xf numFmtId="3" fontId="0" fillId="11" borderId="5" xfId="0" applyNumberFormat="1" applyFill="1" applyBorder="1"/>
    <xf numFmtId="10" fontId="0" fillId="0" borderId="8" xfId="1" applyNumberFormat="1" applyFont="1" applyBorder="1" applyAlignment="1">
      <alignment horizontal="center"/>
    </xf>
    <xf numFmtId="0" fontId="0" fillId="12" borderId="0" xfId="0" applyFill="1"/>
    <xf numFmtId="10" fontId="0" fillId="12" borderId="0" xfId="1" applyNumberFormat="1" applyFont="1" applyFill="1" applyAlignment="1">
      <alignment horizontal="center"/>
    </xf>
    <xf numFmtId="10" fontId="0" fillId="0" borderId="3" xfId="1" applyNumberFormat="1" applyFont="1" applyBorder="1" applyAlignment="1">
      <alignment horizontal="center"/>
    </xf>
    <xf numFmtId="3" fontId="0" fillId="0" borderId="0" xfId="0" applyNumberFormat="1" applyBorder="1" applyAlignment="1">
      <alignment horizontal="right"/>
    </xf>
    <xf numFmtId="3" fontId="2" fillId="0" borderId="0" xfId="0" applyNumberFormat="1" applyFont="1" applyFill="1" applyAlignment="1">
      <alignment horizontal="right"/>
    </xf>
    <xf numFmtId="3" fontId="2" fillId="0" borderId="0" xfId="0" applyNumberFormat="1" applyFont="1" applyFill="1" applyBorder="1"/>
    <xf numFmtId="10" fontId="0" fillId="0" borderId="0" xfId="1" applyNumberFormat="1" applyFont="1"/>
    <xf numFmtId="9" fontId="0" fillId="0" borderId="0" xfId="1" applyNumberFormat="1" applyFont="1"/>
    <xf numFmtId="10" fontId="2" fillId="0" borderId="0" xfId="1" applyNumberFormat="1" applyFont="1"/>
    <xf numFmtId="0" fontId="2" fillId="5" borderId="2" xfId="0" applyFont="1" applyFill="1" applyBorder="1"/>
    <xf numFmtId="10" fontId="0" fillId="5" borderId="3" xfId="1" applyNumberFormat="1" applyFont="1" applyFill="1" applyBorder="1"/>
    <xf numFmtId="3" fontId="0" fillId="0" borderId="4" xfId="0" applyNumberFormat="1" applyBorder="1"/>
    <xf numFmtId="0" fontId="2" fillId="5" borderId="5" xfId="0" applyFont="1" applyFill="1" applyBorder="1"/>
    <xf numFmtId="3" fontId="0" fillId="0" borderId="6" xfId="0" applyNumberFormat="1" applyBorder="1"/>
    <xf numFmtId="0" fontId="2" fillId="0" borderId="5" xfId="0" applyFont="1" applyBorder="1"/>
    <xf numFmtId="4" fontId="2" fillId="0" borderId="0" xfId="0" applyNumberFormat="1" applyFont="1" applyBorder="1"/>
    <xf numFmtId="0" fontId="2" fillId="0" borderId="0" xfId="0" applyFont="1" applyBorder="1"/>
    <xf numFmtId="0" fontId="0" fillId="0" borderId="0" xfId="0" applyFont="1" applyBorder="1"/>
    <xf numFmtId="164" fontId="0" fillId="0" borderId="6" xfId="0" applyNumberFormat="1" applyFont="1" applyBorder="1"/>
    <xf numFmtId="10" fontId="0" fillId="0" borderId="6" xfId="1" applyNumberFormat="1" applyFont="1" applyBorder="1"/>
    <xf numFmtId="3" fontId="2" fillId="0" borderId="6" xfId="0" applyNumberFormat="1" applyFont="1" applyBorder="1"/>
    <xf numFmtId="0" fontId="0" fillId="2" borderId="5" xfId="0" applyFont="1" applyFill="1" applyBorder="1"/>
    <xf numFmtId="4" fontId="0" fillId="2" borderId="0" xfId="0" applyNumberFormat="1" applyFont="1" applyFill="1" applyBorder="1"/>
    <xf numFmtId="165" fontId="0" fillId="0" borderId="6" xfId="1" applyNumberFormat="1" applyFont="1" applyBorder="1"/>
    <xf numFmtId="9" fontId="0" fillId="0" borderId="8" xfId="1" applyFont="1" applyBorder="1"/>
    <xf numFmtId="0" fontId="0" fillId="0" borderId="8" xfId="0" applyBorder="1"/>
    <xf numFmtId="0" fontId="0" fillId="0" borderId="9" xfId="0" applyBorder="1"/>
    <xf numFmtId="1" fontId="0" fillId="0" borderId="0" xfId="0" applyNumberFormat="1"/>
    <xf numFmtId="0" fontId="0" fillId="3" borderId="0" xfId="0" applyFill="1"/>
    <xf numFmtId="0" fontId="6" fillId="13" borderId="0" xfId="0" applyFont="1" applyFill="1" applyAlignment="1">
      <alignment vertical="center" wrapText="1"/>
    </xf>
    <xf numFmtId="0" fontId="3" fillId="13" borderId="0" xfId="0" applyFont="1" applyFill="1" applyAlignment="1">
      <alignment horizontal="left" wrapText="1"/>
    </xf>
    <xf numFmtId="0" fontId="3" fillId="13" borderId="0" xfId="0" applyFont="1" applyFill="1" applyAlignment="1">
      <alignment horizontal="right" wrapText="1"/>
    </xf>
    <xf numFmtId="0" fontId="9" fillId="0" borderId="0" xfId="0" applyFont="1" applyAlignment="1">
      <alignment vertical="center" wrapText="1"/>
    </xf>
    <xf numFmtId="0" fontId="8" fillId="13" borderId="0" xfId="0" applyFont="1" applyFill="1" applyAlignment="1">
      <alignment horizontal="left" wrapText="1"/>
    </xf>
    <xf numFmtId="3" fontId="8" fillId="13" borderId="0" xfId="0" applyNumberFormat="1" applyFont="1" applyFill="1" applyAlignment="1">
      <alignment horizontal="right" wrapText="1"/>
    </xf>
    <xf numFmtId="0" fontId="8" fillId="13" borderId="0" xfId="0" applyFont="1" applyFill="1" applyAlignment="1">
      <alignment horizontal="right" wrapText="1"/>
    </xf>
    <xf numFmtId="3" fontId="3" fillId="13" borderId="0" xfId="0" applyNumberFormat="1" applyFont="1" applyFill="1" applyAlignment="1">
      <alignment horizontal="right" wrapText="1"/>
    </xf>
    <xf numFmtId="0" fontId="9" fillId="14" borderId="0" xfId="0" applyFont="1" applyFill="1" applyAlignment="1">
      <alignment horizontal="right" wrapText="1"/>
    </xf>
    <xf numFmtId="0" fontId="9" fillId="13" borderId="10" xfId="0" applyFont="1" applyFill="1" applyBorder="1" applyAlignment="1">
      <alignment horizontal="right" wrapText="1"/>
    </xf>
    <xf numFmtId="0" fontId="8" fillId="13" borderId="13" xfId="0" applyFont="1" applyFill="1" applyBorder="1" applyAlignment="1">
      <alignment horizontal="left" wrapText="1"/>
    </xf>
    <xf numFmtId="3" fontId="8" fillId="13" borderId="13" xfId="0" applyNumberFormat="1" applyFont="1" applyFill="1" applyBorder="1" applyAlignment="1">
      <alignment horizontal="right" wrapText="1"/>
    </xf>
    <xf numFmtId="0" fontId="9" fillId="13" borderId="13" xfId="0" applyFont="1" applyFill="1" applyBorder="1" applyAlignment="1">
      <alignment horizontal="right" wrapText="1"/>
    </xf>
    <xf numFmtId="0" fontId="3" fillId="13" borderId="13" xfId="0" applyFont="1" applyFill="1" applyBorder="1" applyAlignment="1">
      <alignment horizontal="left" wrapText="1"/>
    </xf>
    <xf numFmtId="3" fontId="3" fillId="13" borderId="13" xfId="0" applyNumberFormat="1" applyFont="1" applyFill="1" applyBorder="1" applyAlignment="1">
      <alignment horizontal="right" wrapText="1"/>
    </xf>
    <xf numFmtId="0" fontId="8" fillId="14" borderId="10" xfId="0" applyFont="1" applyFill="1" applyBorder="1" applyAlignment="1">
      <alignment horizontal="left" wrapText="1"/>
    </xf>
    <xf numFmtId="0" fontId="3" fillId="14" borderId="10" xfId="0" applyFont="1" applyFill="1" applyBorder="1" applyAlignment="1">
      <alignment horizontal="left" wrapText="1"/>
    </xf>
    <xf numFmtId="0" fontId="8" fillId="14" borderId="0" xfId="0" applyFont="1" applyFill="1" applyAlignment="1">
      <alignment horizontal="left" wrapText="1"/>
    </xf>
    <xf numFmtId="0" fontId="3" fillId="14" borderId="0" xfId="0" applyFont="1" applyFill="1" applyAlignment="1">
      <alignment horizontal="left" wrapText="1"/>
    </xf>
    <xf numFmtId="17" fontId="0" fillId="0" borderId="0" xfId="0" applyNumberFormat="1"/>
    <xf numFmtId="3" fontId="2" fillId="0" borderId="0" xfId="0" applyNumberFormat="1" applyFont="1" applyFill="1"/>
    <xf numFmtId="3" fontId="2" fillId="0" borderId="0" xfId="0" applyNumberFormat="1" applyFont="1" applyBorder="1" applyAlignment="1">
      <alignment horizontal="right"/>
    </xf>
    <xf numFmtId="3" fontId="0" fillId="0" borderId="0" xfId="0" applyNumberFormat="1" applyFont="1" applyFill="1"/>
    <xf numFmtId="0" fontId="2" fillId="0" borderId="0" xfId="0" applyFont="1" applyFill="1"/>
    <xf numFmtId="9" fontId="2" fillId="0" borderId="0" xfId="1" applyFont="1" applyFill="1"/>
    <xf numFmtId="10" fontId="2" fillId="5" borderId="0" xfId="1" applyNumberFormat="1" applyFont="1" applyFill="1" applyBorder="1"/>
    <xf numFmtId="9" fontId="2" fillId="3" borderId="0" xfId="1" applyFont="1" applyFill="1" applyBorder="1"/>
    <xf numFmtId="9" fontId="2" fillId="3" borderId="0" xfId="1" applyFont="1" applyFill="1" applyBorder="1" applyAlignment="1">
      <alignment horizontal="right"/>
    </xf>
    <xf numFmtId="0" fontId="0" fillId="15" borderId="0" xfId="0" applyFill="1"/>
    <xf numFmtId="3" fontId="2" fillId="0" borderId="0" xfId="0" applyNumberFormat="1" applyFont="1" applyFill="1" applyBorder="1" applyAlignment="1">
      <alignment horizontal="right"/>
    </xf>
    <xf numFmtId="3" fontId="2" fillId="4" borderId="0" xfId="0" applyNumberFormat="1" applyFont="1" applyFill="1" applyAlignment="1">
      <alignment horizontal="right"/>
    </xf>
    <xf numFmtId="10" fontId="2" fillId="0" borderId="0" xfId="0" applyNumberFormat="1" applyFont="1"/>
    <xf numFmtId="3" fontId="0" fillId="0" borderId="6" xfId="0" applyNumberFormat="1" applyFont="1" applyBorder="1"/>
    <xf numFmtId="9" fontId="2" fillId="0" borderId="0" xfId="0" applyNumberFormat="1" applyFont="1"/>
    <xf numFmtId="4" fontId="0" fillId="0" borderId="0" xfId="0" applyNumberFormat="1"/>
    <xf numFmtId="166" fontId="0" fillId="0" borderId="0" xfId="0" applyNumberFormat="1"/>
    <xf numFmtId="9" fontId="2" fillId="16" borderId="0" xfId="1" applyFont="1" applyFill="1"/>
    <xf numFmtId="1" fontId="0" fillId="0" borderId="0" xfId="0" applyNumberFormat="1" applyFill="1"/>
    <xf numFmtId="2" fontId="2" fillId="0" borderId="0" xfId="0" applyNumberFormat="1" applyFont="1" applyAlignment="1">
      <alignment horizontal="right"/>
    </xf>
    <xf numFmtId="9" fontId="2" fillId="0" borderId="0" xfId="1" applyFont="1" applyBorder="1" applyAlignment="1">
      <alignment horizontal="right"/>
    </xf>
    <xf numFmtId="9" fontId="2" fillId="6" borderId="0" xfId="1" applyFont="1" applyFill="1"/>
    <xf numFmtId="0" fontId="0" fillId="2" borderId="7" xfId="0" applyFont="1" applyFill="1" applyBorder="1"/>
    <xf numFmtId="4" fontId="0" fillId="2" borderId="8" xfId="0" applyNumberFormat="1" applyFont="1" applyFill="1" applyBorder="1"/>
    <xf numFmtId="3" fontId="0" fillId="0" borderId="9" xfId="0" applyNumberFormat="1" applyBorder="1"/>
    <xf numFmtId="0" fontId="2" fillId="0" borderId="2" xfId="0" applyFont="1" applyBorder="1"/>
    <xf numFmtId="3" fontId="2" fillId="0" borderId="4" xfId="0" applyNumberFormat="1" applyFont="1" applyFill="1" applyBorder="1"/>
    <xf numFmtId="3" fontId="2" fillId="0" borderId="5" xfId="0" applyNumberFormat="1" applyFont="1" applyFill="1" applyBorder="1"/>
    <xf numFmtId="3" fontId="2" fillId="0" borderId="6" xfId="0" applyNumberFormat="1" applyFont="1" applyFill="1" applyBorder="1"/>
    <xf numFmtId="0" fontId="2" fillId="0" borderId="6" xfId="0" applyFont="1" applyBorder="1"/>
    <xf numFmtId="0" fontId="0" fillId="0" borderId="6" xfId="0" applyBorder="1"/>
    <xf numFmtId="9" fontId="2" fillId="0" borderId="6" xfId="0" applyNumberFormat="1" applyFont="1" applyBorder="1"/>
    <xf numFmtId="0" fontId="2" fillId="0" borderId="7" xfId="0" applyFont="1" applyBorder="1"/>
    <xf numFmtId="0" fontId="2" fillId="0" borderId="9" xfId="0" applyFont="1" applyBorder="1"/>
    <xf numFmtId="10" fontId="2" fillId="0" borderId="6" xfId="0" applyNumberFormat="1" applyFont="1" applyBorder="1"/>
    <xf numFmtId="0" fontId="2" fillId="6" borderId="0" xfId="0" applyFont="1" applyFill="1"/>
    <xf numFmtId="0" fontId="2" fillId="6" borderId="5" xfId="0" applyFont="1" applyFill="1" applyBorder="1"/>
    <xf numFmtId="9" fontId="2" fillId="6" borderId="6" xfId="0" applyNumberFormat="1" applyFont="1" applyFill="1" applyBorder="1"/>
    <xf numFmtId="0" fontId="2" fillId="3" borderId="0" xfId="0" applyFont="1" applyFill="1"/>
    <xf numFmtId="0" fontId="2" fillId="3" borderId="5" xfId="0" applyFont="1" applyFill="1" applyBorder="1"/>
    <xf numFmtId="9" fontId="2" fillId="3" borderId="6" xfId="0" applyNumberFormat="1" applyFont="1" applyFill="1" applyBorder="1"/>
    <xf numFmtId="9" fontId="2" fillId="6" borderId="6" xfId="1" applyFont="1" applyFill="1" applyBorder="1"/>
    <xf numFmtId="3" fontId="2" fillId="6" borderId="0" xfId="0" applyNumberFormat="1" applyFont="1" applyFill="1" applyBorder="1" applyAlignment="1">
      <alignment horizontal="right"/>
    </xf>
    <xf numFmtId="8" fontId="0" fillId="0" borderId="0" xfId="0" applyNumberFormat="1"/>
    <xf numFmtId="165" fontId="0" fillId="0" borderId="0" xfId="0" applyNumberFormat="1"/>
    <xf numFmtId="8" fontId="0" fillId="2" borderId="0" xfId="1" applyNumberFormat="1" applyFont="1" applyFill="1"/>
    <xf numFmtId="3" fontId="0" fillId="2" borderId="0" xfId="0" applyNumberFormat="1" applyFill="1"/>
    <xf numFmtId="10" fontId="0" fillId="15" borderId="0" xfId="0" applyNumberFormat="1" applyFill="1"/>
    <xf numFmtId="8" fontId="2" fillId="0" borderId="0" xfId="1" applyNumberFormat="1" applyFont="1" applyFill="1"/>
    <xf numFmtId="165" fontId="0" fillId="17" borderId="0" xfId="0" applyNumberFormat="1" applyFill="1"/>
    <xf numFmtId="165" fontId="0" fillId="18" borderId="0" xfId="0" applyNumberFormat="1" applyFill="1"/>
    <xf numFmtId="0" fontId="0" fillId="19" borderId="0" xfId="0" applyFill="1"/>
    <xf numFmtId="0" fontId="0" fillId="19" borderId="14" xfId="0" applyFill="1" applyBorder="1"/>
    <xf numFmtId="0" fontId="11" fillId="0" borderId="0" xfId="0" applyFont="1" applyFill="1"/>
    <xf numFmtId="3" fontId="0" fillId="19" borderId="0" xfId="0" applyNumberFormat="1" applyFill="1"/>
    <xf numFmtId="0" fontId="2" fillId="19" borderId="0" xfId="0" applyFont="1" applyFill="1"/>
    <xf numFmtId="167" fontId="0" fillId="19" borderId="0" xfId="0" applyNumberFormat="1" applyFill="1"/>
    <xf numFmtId="0" fontId="2" fillId="19" borderId="15" xfId="0" applyFont="1" applyFill="1" applyBorder="1" applyAlignment="1"/>
    <xf numFmtId="9" fontId="2" fillId="19" borderId="15" xfId="0" applyNumberFormat="1" applyFont="1" applyFill="1" applyBorder="1" applyAlignment="1"/>
    <xf numFmtId="0" fontId="0" fillId="19" borderId="15" xfId="0" applyFill="1" applyBorder="1"/>
    <xf numFmtId="0" fontId="2" fillId="19" borderId="14" xfId="0" applyFont="1" applyFill="1" applyBorder="1" applyAlignment="1"/>
    <xf numFmtId="9" fontId="2" fillId="19" borderId="14" xfId="0" applyNumberFormat="1" applyFont="1" applyFill="1" applyBorder="1" applyAlignment="1"/>
    <xf numFmtId="167" fontId="0" fillId="19" borderId="14" xfId="0" applyNumberFormat="1" applyFill="1" applyBorder="1"/>
    <xf numFmtId="0" fontId="2" fillId="19" borderId="14" xfId="0" applyFont="1" applyFill="1" applyBorder="1"/>
    <xf numFmtId="167" fontId="0" fillId="0" borderId="14" xfId="0" applyNumberFormat="1" applyBorder="1"/>
    <xf numFmtId="0" fontId="0" fillId="19" borderId="0" xfId="0" applyFont="1" applyFill="1"/>
    <xf numFmtId="0" fontId="0" fillId="19" borderId="14" xfId="0" applyFont="1" applyFill="1" applyBorder="1"/>
    <xf numFmtId="0" fontId="0" fillId="19" borderId="0" xfId="0" applyFill="1" applyBorder="1"/>
    <xf numFmtId="0" fontId="0" fillId="19" borderId="0" xfId="0" applyFont="1" applyFill="1" applyBorder="1"/>
    <xf numFmtId="167" fontId="0" fillId="0" borderId="0" xfId="0" applyNumberFormat="1" applyBorder="1"/>
    <xf numFmtId="0" fontId="2" fillId="19" borderId="0" xfId="0" applyFont="1" applyFill="1" applyBorder="1"/>
    <xf numFmtId="9" fontId="0" fillId="4" borderId="0" xfId="1" applyFont="1" applyFill="1" applyBorder="1" applyAlignment="1">
      <alignment horizontal="center"/>
    </xf>
    <xf numFmtId="0" fontId="0" fillId="9" borderId="0" xfId="0" applyFill="1" applyAlignment="1">
      <alignment horizontal="center" vertical="center"/>
    </xf>
    <xf numFmtId="0" fontId="0" fillId="9" borderId="14" xfId="0" applyFill="1" applyBorder="1" applyAlignment="1">
      <alignment horizontal="center" vertical="center"/>
    </xf>
    <xf numFmtId="3" fontId="0" fillId="8" borderId="6" xfId="0" applyNumberFormat="1" applyFill="1" applyBorder="1" applyAlignment="1">
      <alignment horizontal="center" vertical="center"/>
    </xf>
    <xf numFmtId="3" fontId="0" fillId="8" borderId="9" xfId="0" applyNumberFormat="1" applyFill="1" applyBorder="1" applyAlignment="1">
      <alignment horizontal="center" vertical="center"/>
    </xf>
    <xf numFmtId="0" fontId="3" fillId="13" borderId="0" xfId="0" applyFont="1" applyFill="1" applyAlignment="1">
      <alignment horizontal="left" wrapText="1" indent="3"/>
    </xf>
    <xf numFmtId="0" fontId="8" fillId="13" borderId="0" xfId="0" applyFont="1" applyFill="1" applyAlignment="1">
      <alignment horizontal="right" wrapText="1"/>
    </xf>
    <xf numFmtId="0" fontId="9" fillId="13" borderId="0" xfId="0" applyFont="1" applyFill="1" applyAlignment="1">
      <alignment vertical="center" wrapText="1"/>
    </xf>
    <xf numFmtId="0" fontId="3" fillId="13" borderId="0" xfId="0" applyFont="1" applyFill="1" applyAlignment="1">
      <alignment horizontal="right" wrapText="1"/>
    </xf>
    <xf numFmtId="0" fontId="3" fillId="14" borderId="0" xfId="0" applyFont="1" applyFill="1" applyAlignment="1">
      <alignment horizontal="left" wrapText="1" indent="3"/>
    </xf>
    <xf numFmtId="0" fontId="8" fillId="14" borderId="0" xfId="0" applyFont="1" applyFill="1" applyAlignment="1">
      <alignment horizontal="right" wrapText="1"/>
    </xf>
    <xf numFmtId="0" fontId="9" fillId="14" borderId="0" xfId="0" applyFont="1" applyFill="1" applyAlignment="1">
      <alignment vertical="center" wrapText="1"/>
    </xf>
    <xf numFmtId="0" fontId="3" fillId="14" borderId="0" xfId="0" applyFont="1" applyFill="1" applyAlignment="1">
      <alignment horizontal="right" wrapText="1"/>
    </xf>
    <xf numFmtId="0" fontId="3" fillId="13" borderId="0" xfId="0" applyFont="1" applyFill="1" applyAlignment="1">
      <alignment horizontal="left" wrapText="1" indent="1"/>
    </xf>
    <xf numFmtId="0" fontId="3" fillId="13" borderId="0" xfId="0" applyFont="1" applyFill="1" applyAlignment="1">
      <alignment horizontal="left" wrapText="1" indent="4"/>
    </xf>
    <xf numFmtId="0" fontId="8" fillId="0" borderId="0" xfId="0" applyFont="1" applyFill="1" applyAlignment="1">
      <alignment horizontal="right" wrapText="1"/>
    </xf>
    <xf numFmtId="0" fontId="3" fillId="14" borderId="0" xfId="0" applyFont="1" applyFill="1" applyAlignment="1">
      <alignment horizontal="left" wrapText="1" indent="2"/>
    </xf>
    <xf numFmtId="0" fontId="8" fillId="2" borderId="0" xfId="0" applyFont="1" applyFill="1" applyAlignment="1">
      <alignment horizontal="right" wrapText="1"/>
    </xf>
    <xf numFmtId="0" fontId="3" fillId="14" borderId="0" xfId="0" applyFont="1" applyFill="1" applyAlignment="1">
      <alignment horizontal="left" vertical="center" wrapText="1" indent="2"/>
    </xf>
    <xf numFmtId="0" fontId="3" fillId="13" borderId="0" xfId="0" applyFont="1" applyFill="1" applyAlignment="1">
      <alignment horizontal="left" wrapText="1" indent="2"/>
    </xf>
    <xf numFmtId="0" fontId="8" fillId="13" borderId="0" xfId="0" applyFont="1" applyFill="1" applyAlignment="1">
      <alignment horizontal="right" wrapText="1" indent="1"/>
    </xf>
    <xf numFmtId="0" fontId="3" fillId="13" borderId="0" xfId="0" applyFont="1" applyFill="1" applyAlignment="1">
      <alignment horizontal="right" wrapText="1" indent="1"/>
    </xf>
    <xf numFmtId="0" fontId="3" fillId="14" borderId="0" xfId="0" applyFont="1" applyFill="1" applyAlignment="1">
      <alignment horizontal="left" wrapText="1" indent="1"/>
    </xf>
    <xf numFmtId="0" fontId="9" fillId="14" borderId="10" xfId="0" applyFont="1" applyFill="1" applyBorder="1" applyAlignment="1">
      <alignment vertical="center" wrapText="1"/>
    </xf>
    <xf numFmtId="0" fontId="3" fillId="0" borderId="0" xfId="0" applyFont="1" applyAlignment="1">
      <alignment horizontal="center" wrapText="1"/>
    </xf>
    <xf numFmtId="0" fontId="3" fillId="0" borderId="12" xfId="0" applyFont="1" applyBorder="1" applyAlignment="1">
      <alignment horizontal="center" wrapText="1"/>
    </xf>
    <xf numFmtId="0" fontId="9" fillId="0" borderId="0" xfId="0" applyFont="1" applyAlignment="1">
      <alignment vertical="center" wrapText="1"/>
    </xf>
    <xf numFmtId="0" fontId="8" fillId="0" borderId="0" xfId="0" applyFont="1" applyAlignment="1">
      <alignment horizontal="center" wrapText="1"/>
    </xf>
    <xf numFmtId="0" fontId="8" fillId="0" borderId="12" xfId="0" applyFont="1" applyBorder="1" applyAlignment="1">
      <alignment horizontal="center" wrapText="1"/>
    </xf>
    <xf numFmtId="0" fontId="6" fillId="14" borderId="0" xfId="0" applyFont="1" applyFill="1" applyAlignment="1">
      <alignment vertical="center" wrapText="1"/>
    </xf>
    <xf numFmtId="0" fontId="3" fillId="14" borderId="0" xfId="0" applyFont="1" applyFill="1" applyAlignment="1">
      <alignment horizontal="right" wrapText="1" indent="1"/>
    </xf>
    <xf numFmtId="0" fontId="10" fillId="0" borderId="0" xfId="0" applyFont="1" applyAlignment="1">
      <alignment horizontal="left" wrapText="1"/>
    </xf>
    <xf numFmtId="0" fontId="6" fillId="13" borderId="0" xfId="0" applyFont="1" applyFill="1" applyAlignment="1">
      <alignment vertical="center" wrapText="1"/>
    </xf>
    <xf numFmtId="0" fontId="3" fillId="14" borderId="10" xfId="0" applyFont="1" applyFill="1" applyBorder="1" applyAlignment="1">
      <alignment horizontal="right" wrapText="1"/>
    </xf>
    <xf numFmtId="0" fontId="3" fillId="13" borderId="0" xfId="0" applyFont="1" applyFill="1" applyAlignment="1">
      <alignment horizontal="center" wrapText="1"/>
    </xf>
    <xf numFmtId="0" fontId="3" fillId="13" borderId="12" xfId="0" applyFont="1" applyFill="1" applyBorder="1" applyAlignment="1">
      <alignment horizontal="center" wrapText="1"/>
    </xf>
    <xf numFmtId="0" fontId="8" fillId="2" borderId="10" xfId="0" applyFont="1" applyFill="1" applyBorder="1" applyAlignment="1">
      <alignment horizontal="right" wrapText="1" indent="1"/>
    </xf>
    <xf numFmtId="0" fontId="3" fillId="14" borderId="10" xfId="0" applyFont="1" applyFill="1" applyBorder="1" applyAlignment="1">
      <alignment horizontal="right" wrapText="1" indent="1"/>
    </xf>
    <xf numFmtId="0" fontId="8" fillId="13" borderId="0" xfId="0" applyFont="1" applyFill="1" applyAlignment="1">
      <alignment horizontal="center" wrapText="1"/>
    </xf>
    <xf numFmtId="0" fontId="8" fillId="13" borderId="12" xfId="0" applyFont="1" applyFill="1" applyBorder="1" applyAlignment="1">
      <alignment horizontal="center" wrapText="1"/>
    </xf>
    <xf numFmtId="0" fontId="8" fillId="14" borderId="0" xfId="0" applyFont="1" applyFill="1" applyAlignment="1">
      <alignment horizontal="right" wrapText="1" indent="1"/>
    </xf>
    <xf numFmtId="3" fontId="8" fillId="14" borderId="12" xfId="0" applyNumberFormat="1" applyFont="1" applyFill="1" applyBorder="1" applyAlignment="1">
      <alignment horizontal="right" wrapText="1"/>
    </xf>
    <xf numFmtId="3" fontId="3" fillId="14" borderId="12" xfId="0" applyNumberFormat="1" applyFont="1" applyFill="1" applyBorder="1" applyAlignment="1">
      <alignment horizontal="right" wrapText="1"/>
    </xf>
    <xf numFmtId="3" fontId="8" fillId="13" borderId="10" xfId="0" applyNumberFormat="1" applyFont="1" applyFill="1" applyBorder="1" applyAlignment="1">
      <alignment horizontal="right" wrapText="1"/>
    </xf>
    <xf numFmtId="3" fontId="3" fillId="13" borderId="10" xfId="0" applyNumberFormat="1" applyFont="1" applyFill="1" applyBorder="1" applyAlignment="1">
      <alignment horizontal="right" wrapText="1"/>
    </xf>
    <xf numFmtId="0" fontId="3" fillId="0" borderId="0" xfId="0" applyFont="1" applyAlignment="1">
      <alignment horizontal="left" wrapText="1" indent="1"/>
    </xf>
    <xf numFmtId="0" fontId="6" fillId="14" borderId="11" xfId="0" applyFont="1" applyFill="1" applyBorder="1" applyAlignment="1">
      <alignment vertical="center" wrapText="1"/>
    </xf>
    <xf numFmtId="0" fontId="6" fillId="14" borderId="0" xfId="0" applyFont="1" applyFill="1" applyAlignment="1">
      <alignment horizontal="left" vertical="center" wrapText="1" indent="1"/>
    </xf>
    <xf numFmtId="0" fontId="3" fillId="14" borderId="12" xfId="0" applyFont="1" applyFill="1" applyBorder="1" applyAlignment="1">
      <alignment horizontal="right" wrapText="1"/>
    </xf>
    <xf numFmtId="0" fontId="3" fillId="13" borderId="0" xfId="0" applyFont="1" applyFill="1" applyAlignment="1">
      <alignment horizontal="left" vertical="center" wrapText="1" indent="4"/>
    </xf>
    <xf numFmtId="0" fontId="3" fillId="13" borderId="13" xfId="0" applyFont="1" applyFill="1" applyBorder="1" applyAlignment="1">
      <alignment horizontal="right" wrapText="1"/>
    </xf>
    <xf numFmtId="0" fontId="3" fillId="13" borderId="10" xfId="0" applyFont="1" applyFill="1" applyBorder="1" applyAlignment="1">
      <alignment horizontal="right" wrapText="1"/>
    </xf>
    <xf numFmtId="0" fontId="6" fillId="14" borderId="10" xfId="0" applyFont="1" applyFill="1" applyBorder="1" applyAlignment="1">
      <alignment vertical="center" wrapText="1"/>
    </xf>
    <xf numFmtId="0" fontId="3" fillId="13" borderId="0" xfId="0" applyFont="1" applyFill="1" applyAlignment="1">
      <alignment horizontal="left" wrapText="1"/>
    </xf>
    <xf numFmtId="0" fontId="0" fillId="0" borderId="16" xfId="0" applyBorder="1"/>
    <xf numFmtId="3" fontId="0" fillId="0" borderId="16" xfId="0" applyNumberFormat="1" applyBorder="1"/>
    <xf numFmtId="3" fontId="2" fillId="0" borderId="16" xfId="0" applyNumberFormat="1" applyFont="1" applyFill="1" applyBorder="1"/>
    <xf numFmtId="3" fontId="2" fillId="0" borderId="16" xfId="0" applyNumberFormat="1" applyFont="1" applyFill="1" applyBorder="1" applyAlignment="1">
      <alignment horizontal="right"/>
    </xf>
    <xf numFmtId="3" fontId="0" fillId="0" borderId="16" xfId="0" applyNumberFormat="1" applyBorder="1" applyAlignment="1">
      <alignment horizontal="right"/>
    </xf>
    <xf numFmtId="3" fontId="2" fillId="0" borderId="16" xfId="0" applyNumberFormat="1" applyFont="1" applyBorder="1" applyAlignment="1">
      <alignment horizontal="right"/>
    </xf>
    <xf numFmtId="3" fontId="0" fillId="2" borderId="16" xfId="0" applyNumberFormat="1" applyFill="1" applyBorder="1"/>
    <xf numFmtId="10" fontId="0" fillId="15" borderId="16" xfId="0" applyNumberFormat="1" applyFill="1" applyBorder="1"/>
    <xf numFmtId="8" fontId="2" fillId="0" borderId="16" xfId="1" applyNumberFormat="1" applyFont="1" applyFill="1" applyBorder="1"/>
    <xf numFmtId="9" fontId="2" fillId="3" borderId="16" xfId="1" applyFont="1" applyFill="1" applyBorder="1"/>
    <xf numFmtId="0" fontId="2" fillId="0" borderId="16" xfId="0" applyFont="1" applyBorder="1"/>
    <xf numFmtId="9" fontId="0" fillId="0" borderId="16" xfId="1" applyFont="1" applyBorder="1" applyAlignment="1">
      <alignment horizontal="right"/>
    </xf>
    <xf numFmtId="9" fontId="0" fillId="0" borderId="16" xfId="1" applyFont="1" applyBorder="1"/>
    <xf numFmtId="10" fontId="2" fillId="0" borderId="16" xfId="1" applyNumberFormat="1" applyFont="1" applyBorder="1"/>
    <xf numFmtId="165" fontId="0" fillId="18" borderId="16" xfId="0" applyNumberFormat="1" applyFill="1" applyBorder="1"/>
    <xf numFmtId="9" fontId="0" fillId="0" borderId="16" xfId="1" applyNumberFormat="1" applyFont="1" applyBorder="1"/>
    <xf numFmtId="8" fontId="0" fillId="2" borderId="16" xfId="1" applyNumberFormat="1" applyFont="1" applyFill="1" applyBorder="1"/>
    <xf numFmtId="165" fontId="0" fillId="0" borderId="16" xfId="0" applyNumberFormat="1" applyBorder="1"/>
    <xf numFmtId="3" fontId="2" fillId="0" borderId="16" xfId="0" applyNumberFormat="1" applyFont="1" applyBorder="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19</xdr:col>
      <xdr:colOff>0</xdr:colOff>
      <xdr:row>0</xdr:row>
      <xdr:rowOff>47625</xdr:rowOff>
    </xdr:from>
    <xdr:to>
      <xdr:col>19</xdr:col>
      <xdr:colOff>9525</xdr:colOff>
      <xdr:row>69</xdr:row>
      <xdr:rowOff>95250</xdr:rowOff>
    </xdr:to>
    <xdr:cxnSp macro="">
      <xdr:nvCxnSpPr>
        <xdr:cNvPr id="2" name="Straight Connector 1">
          <a:extLst>
            <a:ext uri="{FF2B5EF4-FFF2-40B4-BE49-F238E27FC236}">
              <a16:creationId xmlns:a16="http://schemas.microsoft.com/office/drawing/2014/main" id="{9AE8DDD5-4624-431E-8474-1733A9F44ECC}"/>
            </a:ext>
          </a:extLst>
        </xdr:cNvPr>
        <xdr:cNvCxnSpPr/>
      </xdr:nvCxnSpPr>
      <xdr:spPr>
        <a:xfrm>
          <a:off x="12600432" y="47625"/>
          <a:ext cx="9525" cy="117519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18669</xdr:colOff>
      <xdr:row>0</xdr:row>
      <xdr:rowOff>18288</xdr:rowOff>
    </xdr:from>
    <xdr:to>
      <xdr:col>43</xdr:col>
      <xdr:colOff>18669</xdr:colOff>
      <xdr:row>68</xdr:row>
      <xdr:rowOff>94488</xdr:rowOff>
    </xdr:to>
    <xdr:cxnSp macro="">
      <xdr:nvCxnSpPr>
        <xdr:cNvPr id="3" name="Straight Connector 2">
          <a:extLst>
            <a:ext uri="{FF2B5EF4-FFF2-40B4-BE49-F238E27FC236}">
              <a16:creationId xmlns:a16="http://schemas.microsoft.com/office/drawing/2014/main" id="{C95AA0C2-32F0-4ACB-9A17-C30F0E74574F}"/>
            </a:ext>
          </a:extLst>
        </xdr:cNvPr>
        <xdr:cNvCxnSpPr/>
      </xdr:nvCxnSpPr>
      <xdr:spPr>
        <a:xfrm>
          <a:off x="26719149" y="18288"/>
          <a:ext cx="0" cy="115976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0</xdr:row>
      <xdr:rowOff>47625</xdr:rowOff>
    </xdr:from>
    <xdr:to>
      <xdr:col>19</xdr:col>
      <xdr:colOff>9525</xdr:colOff>
      <xdr:row>63</xdr:row>
      <xdr:rowOff>95250</xdr:rowOff>
    </xdr:to>
    <xdr:cxnSp macro="">
      <xdr:nvCxnSpPr>
        <xdr:cNvPr id="4" name="Straight Connector 3">
          <a:extLst>
            <a:ext uri="{FF2B5EF4-FFF2-40B4-BE49-F238E27FC236}">
              <a16:creationId xmlns:a16="http://schemas.microsoft.com/office/drawing/2014/main" id="{D950A855-D4EF-4C8E-8B47-AE926369BC3D}"/>
            </a:ext>
          </a:extLst>
        </xdr:cNvPr>
        <xdr:cNvCxnSpPr/>
      </xdr:nvCxnSpPr>
      <xdr:spPr>
        <a:xfrm>
          <a:off x="12600432" y="47625"/>
          <a:ext cx="9525" cy="108375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27813</xdr:colOff>
      <xdr:row>0</xdr:row>
      <xdr:rowOff>128016</xdr:rowOff>
    </xdr:from>
    <xdr:to>
      <xdr:col>39</xdr:col>
      <xdr:colOff>27813</xdr:colOff>
      <xdr:row>63</xdr:row>
      <xdr:rowOff>21336</xdr:rowOff>
    </xdr:to>
    <xdr:cxnSp macro="">
      <xdr:nvCxnSpPr>
        <xdr:cNvPr id="5" name="Straight Connector 4">
          <a:extLst>
            <a:ext uri="{FF2B5EF4-FFF2-40B4-BE49-F238E27FC236}">
              <a16:creationId xmlns:a16="http://schemas.microsoft.com/office/drawing/2014/main" id="{F5F0411C-0141-4F8C-AB1E-8345A8F71385}"/>
            </a:ext>
          </a:extLst>
        </xdr:cNvPr>
        <xdr:cNvCxnSpPr/>
      </xdr:nvCxnSpPr>
      <xdr:spPr>
        <a:xfrm>
          <a:off x="25397333" y="128016"/>
          <a:ext cx="0" cy="114147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0</xdr:row>
      <xdr:rowOff>47625</xdr:rowOff>
    </xdr:from>
    <xdr:to>
      <xdr:col>19</xdr:col>
      <xdr:colOff>9525</xdr:colOff>
      <xdr:row>73</xdr:row>
      <xdr:rowOff>95250</xdr:rowOff>
    </xdr:to>
    <xdr:cxnSp macro="">
      <xdr:nvCxnSpPr>
        <xdr:cNvPr id="2" name="Straight Connector 1">
          <a:extLst>
            <a:ext uri="{FF2B5EF4-FFF2-40B4-BE49-F238E27FC236}">
              <a16:creationId xmlns:a16="http://schemas.microsoft.com/office/drawing/2014/main" id="{4E791798-2CB9-4E65-8373-67BBE7E71AA5}"/>
            </a:ext>
          </a:extLst>
        </xdr:cNvPr>
        <xdr:cNvCxnSpPr/>
      </xdr:nvCxnSpPr>
      <xdr:spPr>
        <a:xfrm>
          <a:off x="12600432" y="47625"/>
          <a:ext cx="9525" cy="11934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381</xdr:colOff>
      <xdr:row>0</xdr:row>
      <xdr:rowOff>91440</xdr:rowOff>
    </xdr:from>
    <xdr:to>
      <xdr:col>39</xdr:col>
      <xdr:colOff>381</xdr:colOff>
      <xdr:row>72</xdr:row>
      <xdr:rowOff>167640</xdr:rowOff>
    </xdr:to>
    <xdr:cxnSp macro="">
      <xdr:nvCxnSpPr>
        <xdr:cNvPr id="3" name="Straight Connector 2">
          <a:extLst>
            <a:ext uri="{FF2B5EF4-FFF2-40B4-BE49-F238E27FC236}">
              <a16:creationId xmlns:a16="http://schemas.microsoft.com/office/drawing/2014/main" id="{FAEBCEC3-26F2-48D7-98DF-D54DA9E8690E}"/>
            </a:ext>
          </a:extLst>
        </xdr:cNvPr>
        <xdr:cNvCxnSpPr/>
      </xdr:nvCxnSpPr>
      <xdr:spPr>
        <a:xfrm>
          <a:off x="24451437" y="91440"/>
          <a:ext cx="0" cy="132435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18288</xdr:colOff>
      <xdr:row>1</xdr:row>
      <xdr:rowOff>27432</xdr:rowOff>
    </xdr:from>
    <xdr:to>
      <xdr:col>22</xdr:col>
      <xdr:colOff>27432</xdr:colOff>
      <xdr:row>41</xdr:row>
      <xdr:rowOff>54864</xdr:rowOff>
    </xdr:to>
    <xdr:sp macro="" textlink="">
      <xdr:nvSpPr>
        <xdr:cNvPr id="4" name="TextBox 3">
          <a:extLst>
            <a:ext uri="{FF2B5EF4-FFF2-40B4-BE49-F238E27FC236}">
              <a16:creationId xmlns:a16="http://schemas.microsoft.com/office/drawing/2014/main" id="{E62EC8ED-7847-4495-8CBC-FF5ABCE7E157}"/>
            </a:ext>
          </a:extLst>
        </xdr:cNvPr>
        <xdr:cNvSpPr txBox="1"/>
      </xdr:nvSpPr>
      <xdr:spPr>
        <a:xfrm>
          <a:off x="2560320" y="210312"/>
          <a:ext cx="11823192" cy="60624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hyperlink" Target="https://thewaltdisneycompany.com/disneys-q1-fy22-earnings-results-webcast" TargetMode="External"/><Relationship Id="rId1" Type="http://schemas.openxmlformats.org/officeDocument/2006/relationships/hyperlink" Target="https://www.disne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2224-79C1-40F3-A51D-ED5A92D10781}">
  <dimension ref="B2:MD65"/>
  <sheetViews>
    <sheetView tabSelected="1" zoomScale="80" zoomScaleNormal="80" workbookViewId="0">
      <pane xSplit="2" ySplit="2" topLeftCell="AE3" activePane="bottomRight" state="frozen"/>
      <selection pane="topRight" activeCell="C1" sqref="C1"/>
      <selection pane="bottomLeft" activeCell="A3" sqref="A3"/>
      <selection pane="bottomRight" activeCell="A19" sqref="A19:XFD19"/>
    </sheetView>
  </sheetViews>
  <sheetFormatPr defaultRowHeight="14.4" x14ac:dyDescent="0.25"/>
  <cols>
    <col min="2" max="2" width="30.5703125" bestFit="1" customWidth="1"/>
    <col min="3" max="3" width="10.42578125" customWidth="1"/>
    <col min="4" max="7" width="9.140625" style="1"/>
    <col min="8" max="8" width="9.5703125" style="1" customWidth="1"/>
    <col min="9" max="19" width="9.140625" style="1"/>
    <col min="29" max="29" width="10" bestFit="1" customWidth="1"/>
    <col min="35" max="35" width="11.85546875" style="263" bestFit="1" customWidth="1"/>
    <col min="36" max="37" width="11.85546875" bestFit="1" customWidth="1"/>
    <col min="38" max="38" width="12.5703125" bestFit="1" customWidth="1"/>
    <col min="39" max="53" width="11.85546875" bestFit="1" customWidth="1"/>
    <col min="55" max="55" width="18.85546875" customWidth="1"/>
    <col min="56" max="56" width="13" bestFit="1" customWidth="1"/>
  </cols>
  <sheetData>
    <row r="2" spans="2:342" x14ac:dyDescent="0.25">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36</v>
      </c>
      <c r="U2" s="1" t="s">
        <v>37</v>
      </c>
      <c r="V2" s="1" t="s">
        <v>38</v>
      </c>
      <c r="W2" s="1"/>
      <c r="X2" s="1">
        <v>2006</v>
      </c>
      <c r="Y2" s="1">
        <v>2007</v>
      </c>
      <c r="Z2" s="1">
        <v>2008</v>
      </c>
      <c r="AA2" s="1">
        <v>2009</v>
      </c>
      <c r="AB2" s="1">
        <v>2010</v>
      </c>
      <c r="AC2" s="1">
        <v>2011</v>
      </c>
      <c r="AD2" s="1">
        <v>2012</v>
      </c>
      <c r="AE2" s="1">
        <v>2013</v>
      </c>
      <c r="AF2">
        <v>2014</v>
      </c>
      <c r="AG2">
        <v>2015</v>
      </c>
      <c r="AH2">
        <v>2016</v>
      </c>
      <c r="AI2" s="263">
        <v>2017</v>
      </c>
      <c r="AJ2">
        <v>2018</v>
      </c>
      <c r="AK2">
        <v>2019</v>
      </c>
      <c r="AL2">
        <v>2020</v>
      </c>
      <c r="AM2">
        <v>2021</v>
      </c>
      <c r="AN2">
        <v>2022</v>
      </c>
      <c r="AO2">
        <v>2023</v>
      </c>
      <c r="AP2">
        <v>2024</v>
      </c>
      <c r="AQ2">
        <v>2025</v>
      </c>
      <c r="AR2">
        <v>2026</v>
      </c>
      <c r="AS2">
        <v>2027</v>
      </c>
      <c r="AT2">
        <v>2028</v>
      </c>
      <c r="AU2">
        <v>2029</v>
      </c>
      <c r="AV2">
        <v>2030</v>
      </c>
      <c r="AW2">
        <v>2031</v>
      </c>
      <c r="AX2">
        <v>2032</v>
      </c>
      <c r="AY2">
        <v>2033</v>
      </c>
      <c r="AZ2">
        <v>2034</v>
      </c>
      <c r="BA2">
        <v>2035</v>
      </c>
      <c r="BB2">
        <f>+BA2+1</f>
        <v>2036</v>
      </c>
      <c r="BC2">
        <f t="shared" ref="BC2:BE2" si="0">+BB2+1</f>
        <v>2037</v>
      </c>
      <c r="BD2">
        <f t="shared" si="0"/>
        <v>2038</v>
      </c>
      <c r="BE2">
        <f t="shared" si="0"/>
        <v>2039</v>
      </c>
    </row>
    <row r="3" spans="2:342" s="2" customFormat="1" x14ac:dyDescent="0.25">
      <c r="B3" s="2" t="s">
        <v>18</v>
      </c>
      <c r="C3" s="3">
        <v>12984</v>
      </c>
      <c r="D3" s="3">
        <v>12520</v>
      </c>
      <c r="E3" s="3">
        <v>13143</v>
      </c>
      <c r="F3" s="3">
        <f>50869-E3-D3-C3</f>
        <v>12222</v>
      </c>
      <c r="G3" s="3">
        <v>12866</v>
      </c>
      <c r="H3" s="3">
        <v>13011</v>
      </c>
      <c r="I3" s="3">
        <v>18022</v>
      </c>
      <c r="J3" s="3">
        <f>60579-I3-H3-G3</f>
        <v>16680</v>
      </c>
      <c r="K3" s="3">
        <v>18075</v>
      </c>
      <c r="L3" s="3">
        <v>16190</v>
      </c>
      <c r="M3" s="3">
        <v>11235</v>
      </c>
      <c r="N3" s="3">
        <f>59265-M3-L3-K3</f>
        <v>13765</v>
      </c>
      <c r="O3" s="3">
        <v>14871</v>
      </c>
      <c r="P3" s="3">
        <v>14522</v>
      </c>
      <c r="Q3" s="3">
        <v>15585</v>
      </c>
      <c r="R3" s="3">
        <f>61768-Q3-P3-O3</f>
        <v>16790</v>
      </c>
      <c r="S3" s="3">
        <v>19542</v>
      </c>
      <c r="AF3" s="2">
        <v>40246</v>
      </c>
      <c r="AG3" s="2">
        <v>43894</v>
      </c>
      <c r="AH3" s="2">
        <v>47130</v>
      </c>
      <c r="AI3" s="264">
        <v>46843</v>
      </c>
      <c r="AJ3" s="2">
        <f>SUM(C3:F3)</f>
        <v>50869</v>
      </c>
      <c r="AK3" s="2">
        <f>SUM(G3:J3)</f>
        <v>60579</v>
      </c>
      <c r="AL3" s="2">
        <f>SUM(K3:N3)</f>
        <v>59265</v>
      </c>
      <c r="AM3" s="2">
        <f>SUM(O3:R3)</f>
        <v>61768</v>
      </c>
    </row>
    <row r="4" spans="2:342" s="2" customFormat="1" x14ac:dyDescent="0.25">
      <c r="B4" s="2" t="s">
        <v>19</v>
      </c>
      <c r="C4" s="3">
        <v>2367</v>
      </c>
      <c r="D4" s="3">
        <v>2028</v>
      </c>
      <c r="E4" s="3">
        <v>2086</v>
      </c>
      <c r="F4" s="3">
        <f>8565-E4-D4-C4</f>
        <v>2084</v>
      </c>
      <c r="G4" s="3">
        <v>2437</v>
      </c>
      <c r="H4" s="3">
        <v>1911</v>
      </c>
      <c r="I4" s="3">
        <v>2223</v>
      </c>
      <c r="J4" s="3">
        <f>9028-I4-H4-G4</f>
        <v>2457</v>
      </c>
      <c r="K4" s="3">
        <v>2783</v>
      </c>
      <c r="L4" s="3">
        <v>1835</v>
      </c>
      <c r="M4" s="3">
        <v>544</v>
      </c>
      <c r="N4" s="3">
        <f>6123-M4-L4-K4</f>
        <v>961</v>
      </c>
      <c r="O4" s="3">
        <v>1378</v>
      </c>
      <c r="P4" s="3">
        <v>1091</v>
      </c>
      <c r="Q4" s="3">
        <v>1437</v>
      </c>
      <c r="R4" s="3">
        <f>5650-Q4-P4-O4</f>
        <v>1744</v>
      </c>
      <c r="S4" s="3">
        <v>2277</v>
      </c>
      <c r="AF4" s="2">
        <v>8567</v>
      </c>
      <c r="AG4" s="2">
        <v>8751</v>
      </c>
      <c r="AH4" s="2">
        <v>8502</v>
      </c>
      <c r="AI4" s="264">
        <v>8294</v>
      </c>
      <c r="AJ4" s="2">
        <f>SUM(C4:F4)</f>
        <v>8565</v>
      </c>
      <c r="AK4" s="2">
        <f>SUM(G4:J4)</f>
        <v>9028</v>
      </c>
      <c r="AL4" s="2">
        <f>SUM(K4:N4)</f>
        <v>6123</v>
      </c>
      <c r="AM4" s="2">
        <f>SUM(O4:R4)</f>
        <v>5650</v>
      </c>
    </row>
    <row r="5" spans="2:342" s="139" customFormat="1" x14ac:dyDescent="0.25">
      <c r="B5" s="139" t="s">
        <v>0</v>
      </c>
      <c r="C5" s="94">
        <f t="shared" ref="C5:S5" si="1">SUM(C3:C4)</f>
        <v>15351</v>
      </c>
      <c r="D5" s="94">
        <f t="shared" si="1"/>
        <v>14548</v>
      </c>
      <c r="E5" s="94">
        <f t="shared" si="1"/>
        <v>15229</v>
      </c>
      <c r="F5" s="94">
        <f t="shared" si="1"/>
        <v>14306</v>
      </c>
      <c r="G5" s="94">
        <f t="shared" si="1"/>
        <v>15303</v>
      </c>
      <c r="H5" s="94">
        <f t="shared" si="1"/>
        <v>14922</v>
      </c>
      <c r="I5" s="94">
        <f t="shared" si="1"/>
        <v>20245</v>
      </c>
      <c r="J5" s="94">
        <f t="shared" si="1"/>
        <v>19137</v>
      </c>
      <c r="K5" s="94">
        <f t="shared" si="1"/>
        <v>20858</v>
      </c>
      <c r="L5" s="94">
        <f t="shared" si="1"/>
        <v>18025</v>
      </c>
      <c r="M5" s="94">
        <f t="shared" si="1"/>
        <v>11779</v>
      </c>
      <c r="N5" s="94">
        <f t="shared" si="1"/>
        <v>14726</v>
      </c>
      <c r="O5" s="94">
        <f t="shared" si="1"/>
        <v>16249</v>
      </c>
      <c r="P5" s="94">
        <f t="shared" si="1"/>
        <v>15613</v>
      </c>
      <c r="Q5" s="94">
        <f t="shared" si="1"/>
        <v>17022</v>
      </c>
      <c r="R5" s="94">
        <f t="shared" si="1"/>
        <v>18534</v>
      </c>
      <c r="S5" s="94">
        <f t="shared" si="1"/>
        <v>21819</v>
      </c>
      <c r="X5" s="2"/>
      <c r="Y5" s="2"/>
      <c r="Z5" s="2"/>
      <c r="AA5" s="2">
        <v>36149</v>
      </c>
      <c r="AB5" s="2">
        <v>38063</v>
      </c>
      <c r="AC5" s="2">
        <v>40893</v>
      </c>
      <c r="AD5" s="2">
        <v>42278</v>
      </c>
      <c r="AE5" s="2">
        <v>45041</v>
      </c>
      <c r="AF5" s="95">
        <f t="shared" ref="AF5:AM5" si="2">SUM(AF3:AF4)</f>
        <v>48813</v>
      </c>
      <c r="AG5" s="95">
        <f t="shared" si="2"/>
        <v>52645</v>
      </c>
      <c r="AH5" s="95">
        <f t="shared" si="2"/>
        <v>55632</v>
      </c>
      <c r="AI5" s="265">
        <f t="shared" si="2"/>
        <v>55137</v>
      </c>
      <c r="AJ5" s="95">
        <f t="shared" si="2"/>
        <v>59434</v>
      </c>
      <c r="AK5" s="95">
        <f t="shared" si="2"/>
        <v>69607</v>
      </c>
      <c r="AL5" s="95">
        <f t="shared" si="2"/>
        <v>65388</v>
      </c>
      <c r="AM5" s="95">
        <f t="shared" si="2"/>
        <v>67418</v>
      </c>
      <c r="AN5" s="19">
        <f>+AM5*1.25</f>
        <v>84272.5</v>
      </c>
      <c r="AO5" s="19">
        <f>+AN5*1.1</f>
        <v>92699.750000000015</v>
      </c>
      <c r="AP5" s="19">
        <f>+AO5*1.1</f>
        <v>101969.72500000002</v>
      </c>
      <c r="AQ5" s="19">
        <f>+AP5*1.07</f>
        <v>109107.60575000003</v>
      </c>
      <c r="AR5" s="19">
        <f>+AQ5*1.05</f>
        <v>114562.98603750004</v>
      </c>
      <c r="AS5" s="19">
        <f t="shared" ref="AS5:BA5" si="3">+AR5*1.05</f>
        <v>120291.13533937505</v>
      </c>
      <c r="AT5" s="19">
        <f t="shared" si="3"/>
        <v>126305.69210634381</v>
      </c>
      <c r="AU5" s="19">
        <f t="shared" si="3"/>
        <v>132620.976711661</v>
      </c>
      <c r="AV5" s="19">
        <f t="shared" si="3"/>
        <v>139252.02554724406</v>
      </c>
      <c r="AW5" s="19">
        <f t="shared" si="3"/>
        <v>146214.62682460627</v>
      </c>
      <c r="AX5" s="19">
        <f t="shared" si="3"/>
        <v>153525.3581658366</v>
      </c>
      <c r="AY5" s="19">
        <f t="shared" si="3"/>
        <v>161201.62607412843</v>
      </c>
      <c r="AZ5" s="19">
        <f t="shared" si="3"/>
        <v>169261.70737783486</v>
      </c>
      <c r="BA5" s="19">
        <f t="shared" si="3"/>
        <v>177724.7927467266</v>
      </c>
      <c r="BC5" s="99" t="s">
        <v>44</v>
      </c>
      <c r="BD5" s="100">
        <v>0</v>
      </c>
      <c r="BE5" s="23"/>
      <c r="BF5" s="23" t="s">
        <v>35</v>
      </c>
      <c r="BG5" s="101">
        <v>285479</v>
      </c>
    </row>
    <row r="6" spans="2:342" s="142" customFormat="1" x14ac:dyDescent="0.25">
      <c r="B6" s="142" t="s">
        <v>20</v>
      </c>
      <c r="C6" s="94" t="e">
        <f>SUM(#REF!)</f>
        <v>#REF!</v>
      </c>
      <c r="D6" s="94" t="e">
        <f>SUM(#REF!)</f>
        <v>#REF!</v>
      </c>
      <c r="E6" s="94" t="e">
        <f>SUM(#REF!)</f>
        <v>#REF!</v>
      </c>
      <c r="F6" s="94" t="e">
        <f>SUM(#REF!)</f>
        <v>#REF!</v>
      </c>
      <c r="G6" s="94" t="e">
        <f>SUM(#REF!)</f>
        <v>#REF!</v>
      </c>
      <c r="H6" s="94" t="e">
        <f>SUM(#REF!)</f>
        <v>#REF!</v>
      </c>
      <c r="I6" s="94" t="e">
        <f>SUM(#REF!)</f>
        <v>#REF!</v>
      </c>
      <c r="J6" s="94" t="e">
        <f>SUM(#REF!)</f>
        <v>#REF!</v>
      </c>
      <c r="K6" s="94" t="e">
        <f>SUM(#REF!)</f>
        <v>#REF!</v>
      </c>
      <c r="L6" s="94" t="e">
        <f>SUM(#REF!)</f>
        <v>#REF!</v>
      </c>
      <c r="M6" s="94" t="e">
        <f>SUM(#REF!)</f>
        <v>#REF!</v>
      </c>
      <c r="N6" s="94" t="e">
        <f>SUM(#REF!)</f>
        <v>#REF!</v>
      </c>
      <c r="O6" s="94" t="e">
        <f>SUM(#REF!)</f>
        <v>#REF!</v>
      </c>
      <c r="P6" s="94" t="e">
        <f>SUM(#REF!)</f>
        <v>#REF!</v>
      </c>
      <c r="Q6" s="94" t="e">
        <f>SUM(#REF!)</f>
        <v>#REF!</v>
      </c>
      <c r="R6" s="94" t="e">
        <f>SUM(#REF!)</f>
        <v>#REF!</v>
      </c>
      <c r="S6" s="94" t="e">
        <f>SUM(#REF!)</f>
        <v>#REF!</v>
      </c>
      <c r="AA6" s="141">
        <v>30452</v>
      </c>
      <c r="AB6" s="141">
        <v>31337</v>
      </c>
      <c r="AC6" s="141">
        <v>33112</v>
      </c>
      <c r="AD6" s="141">
        <v>23468</v>
      </c>
      <c r="AE6" s="141">
        <v>25034</v>
      </c>
      <c r="AF6" s="148">
        <v>26420</v>
      </c>
      <c r="AG6" s="148">
        <v>28364</v>
      </c>
      <c r="AH6" s="148">
        <v>29993</v>
      </c>
      <c r="AI6" s="266">
        <v>30306</v>
      </c>
      <c r="AJ6" s="148">
        <v>32726</v>
      </c>
      <c r="AK6" s="148">
        <v>42061</v>
      </c>
      <c r="AL6" s="148">
        <v>43880</v>
      </c>
      <c r="AM6" s="148">
        <v>45131</v>
      </c>
      <c r="AN6" s="149">
        <f>+AM6*1.23</f>
        <v>55511.13</v>
      </c>
      <c r="AO6" s="149">
        <f>+AN6*1.08</f>
        <v>59952.020400000001</v>
      </c>
      <c r="AP6" s="149">
        <f>+AO6*1.07</f>
        <v>64148.661828000004</v>
      </c>
      <c r="AQ6" s="149">
        <f>+AP6*1.05</f>
        <v>67356.094919400013</v>
      </c>
      <c r="AR6" s="149">
        <f t="shared" ref="AR6:BA6" si="4">+AQ6*1.04</f>
        <v>70050.338716176018</v>
      </c>
      <c r="AS6" s="149">
        <f t="shared" si="4"/>
        <v>72852.352264823057</v>
      </c>
      <c r="AT6" s="149">
        <f t="shared" si="4"/>
        <v>75766.446355415988</v>
      </c>
      <c r="AU6" s="149">
        <f t="shared" si="4"/>
        <v>78797.104209632627</v>
      </c>
      <c r="AV6" s="149">
        <f t="shared" si="4"/>
        <v>81948.988378017937</v>
      </c>
      <c r="AW6" s="149">
        <f t="shared" si="4"/>
        <v>85226.947913138662</v>
      </c>
      <c r="AX6" s="149">
        <f t="shared" si="4"/>
        <v>88636.025829664213</v>
      </c>
      <c r="AY6" s="149">
        <f t="shared" si="4"/>
        <v>92181.466862850779</v>
      </c>
      <c r="AZ6" s="149">
        <f t="shared" si="4"/>
        <v>95868.725537364808</v>
      </c>
      <c r="BA6" s="149">
        <f t="shared" si="4"/>
        <v>99703.474558859409</v>
      </c>
      <c r="BC6" s="102" t="s">
        <v>45</v>
      </c>
      <c r="BD6" s="144">
        <v>0.08</v>
      </c>
      <c r="BE6" s="106"/>
      <c r="BF6" s="107" t="s">
        <v>163</v>
      </c>
      <c r="BG6" s="151">
        <v>9000</v>
      </c>
    </row>
    <row r="7" spans="2:342" x14ac:dyDescent="0.25">
      <c r="B7" s="2" t="s">
        <v>22</v>
      </c>
      <c r="C7" s="3" t="e">
        <f t="shared" ref="C7:S7" si="5">C5-C6</f>
        <v>#REF!</v>
      </c>
      <c r="D7" s="3" t="e">
        <f t="shared" si="5"/>
        <v>#REF!</v>
      </c>
      <c r="E7" s="3" t="e">
        <f t="shared" si="5"/>
        <v>#REF!</v>
      </c>
      <c r="F7" s="3" t="e">
        <f t="shared" si="5"/>
        <v>#REF!</v>
      </c>
      <c r="G7" s="3" t="e">
        <f t="shared" si="5"/>
        <v>#REF!</v>
      </c>
      <c r="H7" s="3" t="e">
        <f t="shared" si="5"/>
        <v>#REF!</v>
      </c>
      <c r="I7" s="3" t="e">
        <f t="shared" si="5"/>
        <v>#REF!</v>
      </c>
      <c r="J7" s="3" t="e">
        <f t="shared" si="5"/>
        <v>#REF!</v>
      </c>
      <c r="K7" s="3" t="e">
        <f t="shared" si="5"/>
        <v>#REF!</v>
      </c>
      <c r="L7" s="3" t="e">
        <f t="shared" si="5"/>
        <v>#REF!</v>
      </c>
      <c r="M7" s="3" t="e">
        <f t="shared" si="5"/>
        <v>#REF!</v>
      </c>
      <c r="N7" s="3" t="e">
        <f t="shared" si="5"/>
        <v>#REF!</v>
      </c>
      <c r="O7" s="3" t="e">
        <f t="shared" si="5"/>
        <v>#REF!</v>
      </c>
      <c r="P7" s="3" t="e">
        <f t="shared" si="5"/>
        <v>#REF!</v>
      </c>
      <c r="Q7" s="3" t="e">
        <f t="shared" si="5"/>
        <v>#REF!</v>
      </c>
      <c r="R7" s="3" t="e">
        <f t="shared" si="5"/>
        <v>#REF!</v>
      </c>
      <c r="S7" s="3" t="e">
        <f t="shared" si="5"/>
        <v>#REF!</v>
      </c>
      <c r="AF7" s="3">
        <f t="shared" ref="AF7:BA7" si="6">AF5-AF6</f>
        <v>22393</v>
      </c>
      <c r="AG7" s="3">
        <f t="shared" si="6"/>
        <v>24281</v>
      </c>
      <c r="AH7" s="3">
        <f t="shared" si="6"/>
        <v>25639</v>
      </c>
      <c r="AI7" s="267">
        <f t="shared" si="6"/>
        <v>24831</v>
      </c>
      <c r="AJ7" s="3">
        <f t="shared" si="6"/>
        <v>26708</v>
      </c>
      <c r="AK7" s="3">
        <f t="shared" si="6"/>
        <v>27546</v>
      </c>
      <c r="AL7" s="3">
        <f t="shared" si="6"/>
        <v>21508</v>
      </c>
      <c r="AM7" s="3">
        <f t="shared" si="6"/>
        <v>22287</v>
      </c>
      <c r="AN7" s="3">
        <f t="shared" si="6"/>
        <v>28761.370000000003</v>
      </c>
      <c r="AO7" s="3">
        <f t="shared" si="6"/>
        <v>32747.729600000013</v>
      </c>
      <c r="AP7" s="3">
        <f t="shared" si="6"/>
        <v>37821.063172000016</v>
      </c>
      <c r="AQ7" s="3">
        <f t="shared" si="6"/>
        <v>41751.510830600018</v>
      </c>
      <c r="AR7" s="3">
        <f t="shared" si="6"/>
        <v>44512.647321324024</v>
      </c>
      <c r="AS7" s="3">
        <f t="shared" si="6"/>
        <v>47438.78307455199</v>
      </c>
      <c r="AT7" s="3">
        <f t="shared" si="6"/>
        <v>50539.245750927817</v>
      </c>
      <c r="AU7" s="3">
        <f t="shared" si="6"/>
        <v>53823.872502028375</v>
      </c>
      <c r="AV7" s="3">
        <f t="shared" si="6"/>
        <v>57303.037169226125</v>
      </c>
      <c r="AW7" s="3">
        <f t="shared" si="6"/>
        <v>60987.678911467607</v>
      </c>
      <c r="AX7" s="3">
        <f t="shared" si="6"/>
        <v>64889.332336172389</v>
      </c>
      <c r="AY7" s="3">
        <f t="shared" si="6"/>
        <v>69020.159211277656</v>
      </c>
      <c r="AZ7" s="3">
        <f t="shared" si="6"/>
        <v>73392.981840470049</v>
      </c>
      <c r="BA7" s="3">
        <f t="shared" si="6"/>
        <v>78021.318187867189</v>
      </c>
      <c r="BC7" s="104" t="s">
        <v>46</v>
      </c>
      <c r="BD7" s="105">
        <f>NPV(BD6,AN15:MD15)</f>
        <v>340507.87791105476</v>
      </c>
      <c r="BE7" s="106"/>
      <c r="BF7" s="107" t="s">
        <v>162</v>
      </c>
      <c r="BG7" s="108">
        <f>BG5/BG6</f>
        <v>31.719888888888889</v>
      </c>
    </row>
    <row r="8" spans="2:342" s="2" customFormat="1" x14ac:dyDescent="0.25">
      <c r="B8" s="7" t="s">
        <v>25</v>
      </c>
      <c r="C8" s="8">
        <v>742</v>
      </c>
      <c r="D8" s="8">
        <v>731</v>
      </c>
      <c r="E8" s="8">
        <v>744</v>
      </c>
      <c r="F8" s="3">
        <f>3011-E8-D8-C8</f>
        <v>794</v>
      </c>
      <c r="G8" s="8">
        <v>732</v>
      </c>
      <c r="H8" s="8">
        <v>828</v>
      </c>
      <c r="I8" s="8">
        <v>1304</v>
      </c>
      <c r="J8" s="8">
        <f>4167-I8-H8-G8</f>
        <v>1303</v>
      </c>
      <c r="K8" s="8">
        <v>1298</v>
      </c>
      <c r="L8" s="8">
        <v>1334</v>
      </c>
      <c r="M8" s="8">
        <v>1377</v>
      </c>
      <c r="N8" s="3">
        <f>5345-M8-L8-K8</f>
        <v>1336</v>
      </c>
      <c r="O8" s="8">
        <v>1298</v>
      </c>
      <c r="P8" s="8">
        <v>1272</v>
      </c>
      <c r="Q8" s="8">
        <v>1266</v>
      </c>
      <c r="R8" s="3">
        <f>5111-Q8-P8-O8</f>
        <v>1275</v>
      </c>
      <c r="S8" s="8">
        <v>1269</v>
      </c>
      <c r="AF8" s="2">
        <v>2288</v>
      </c>
      <c r="AG8" s="2">
        <v>2354</v>
      </c>
      <c r="AH8" s="2">
        <v>2527</v>
      </c>
      <c r="AI8" s="264">
        <v>2782</v>
      </c>
      <c r="AJ8" s="2">
        <f>SUM(C8:F8)</f>
        <v>3011</v>
      </c>
      <c r="AK8" s="2">
        <f>SUM(G8:J8)</f>
        <v>4167</v>
      </c>
      <c r="AL8" s="2">
        <f>SUM(K8:N8)</f>
        <v>5345</v>
      </c>
      <c r="AM8" s="2">
        <f>SUM(O8:R8)</f>
        <v>5111</v>
      </c>
      <c r="AN8" s="20">
        <f>+AM8*1.05</f>
        <v>5366.55</v>
      </c>
      <c r="AO8" s="20">
        <f t="shared" ref="AO8:BA8" si="7">+AN8*1.1</f>
        <v>5903.2050000000008</v>
      </c>
      <c r="AP8" s="20">
        <f t="shared" si="7"/>
        <v>6493.5255000000016</v>
      </c>
      <c r="AQ8" s="20">
        <f t="shared" si="7"/>
        <v>7142.8780500000021</v>
      </c>
      <c r="AR8" s="20">
        <f t="shared" si="7"/>
        <v>7857.1658550000029</v>
      </c>
      <c r="AS8" s="20">
        <f t="shared" si="7"/>
        <v>8642.8824405000032</v>
      </c>
      <c r="AT8" s="20">
        <f t="shared" si="7"/>
        <v>9507.1706845500048</v>
      </c>
      <c r="AU8" s="20">
        <f t="shared" si="7"/>
        <v>10457.887753005007</v>
      </c>
      <c r="AV8" s="20">
        <f t="shared" si="7"/>
        <v>11503.676528305508</v>
      </c>
      <c r="AW8" s="20">
        <f t="shared" si="7"/>
        <v>12654.04418113606</v>
      </c>
      <c r="AX8" s="20">
        <f t="shared" si="7"/>
        <v>13919.448599249667</v>
      </c>
      <c r="AY8" s="20">
        <f t="shared" si="7"/>
        <v>15311.393459174635</v>
      </c>
      <c r="AZ8" s="20">
        <f t="shared" si="7"/>
        <v>16842.532805092098</v>
      </c>
      <c r="BA8" s="20">
        <f t="shared" si="7"/>
        <v>18526.78608560131</v>
      </c>
      <c r="BC8" s="104" t="s">
        <v>33</v>
      </c>
      <c r="BD8" s="105">
        <f>AM39</f>
        <v>-39688</v>
      </c>
      <c r="BE8" s="106"/>
      <c r="BF8" s="107" t="s">
        <v>161</v>
      </c>
      <c r="BG8" s="109">
        <f>BG6/BG5</f>
        <v>3.1525961629401814E-2</v>
      </c>
    </row>
    <row r="9" spans="2:342" s="139" customFormat="1" x14ac:dyDescent="0.25">
      <c r="B9" s="139" t="s">
        <v>23</v>
      </c>
      <c r="C9" s="94">
        <f t="shared" ref="C9:S9" ca="1" si="8">SUM(C9:C12)</f>
        <v>81</v>
      </c>
      <c r="D9" s="94">
        <f t="shared" ca="1" si="8"/>
        <v>34</v>
      </c>
      <c r="E9" s="94">
        <f t="shared" ca="1" si="8"/>
        <v>73</v>
      </c>
      <c r="F9" s="94">
        <f t="shared" ca="1" si="8"/>
        <v>278</v>
      </c>
      <c r="G9" s="94">
        <f t="shared" ca="1" si="8"/>
        <v>76</v>
      </c>
      <c r="H9" s="94">
        <f t="shared" ca="1" si="8"/>
        <v>3992</v>
      </c>
      <c r="I9" s="94">
        <f t="shared" ca="1" si="8"/>
        <v>-331</v>
      </c>
      <c r="J9" s="94">
        <f t="shared" ca="1" si="8"/>
        <v>-666</v>
      </c>
      <c r="K9" s="94">
        <f t="shared" ca="1" si="8"/>
        <v>74</v>
      </c>
      <c r="L9" s="94">
        <f t="shared" ca="1" si="8"/>
        <v>-10</v>
      </c>
      <c r="M9" s="94">
        <f t="shared" ca="1" si="8"/>
        <v>-4479</v>
      </c>
      <c r="N9" s="94">
        <f t="shared" ca="1" si="8"/>
        <v>369</v>
      </c>
      <c r="O9" s="94">
        <f t="shared" ca="1" si="8"/>
        <v>111</v>
      </c>
      <c r="P9" s="94">
        <f t="shared" ca="1" si="8"/>
        <v>104</v>
      </c>
      <c r="Q9" s="94">
        <f t="shared" ca="1" si="8"/>
        <v>85</v>
      </c>
      <c r="R9" s="94">
        <f t="shared" ca="1" si="8"/>
        <v>8</v>
      </c>
      <c r="S9" s="94">
        <f t="shared" ca="1" si="8"/>
        <v>-197</v>
      </c>
      <c r="AF9" s="94">
        <v>10847</v>
      </c>
      <c r="AG9" s="94">
        <v>10877</v>
      </c>
      <c r="AH9" s="94">
        <v>11281</v>
      </c>
      <c r="AI9" s="266">
        <v>10958</v>
      </c>
      <c r="AJ9" s="94">
        <v>11871</v>
      </c>
      <c r="AK9" s="94">
        <v>15716</v>
      </c>
      <c r="AL9" s="94">
        <v>17714</v>
      </c>
      <c r="AM9" s="94">
        <v>18628</v>
      </c>
      <c r="AN9" s="149">
        <f>AM9*1.0456</f>
        <v>19477.436800000003</v>
      </c>
      <c r="AO9" s="149">
        <f t="shared" ref="AO9:BA9" si="9">AN9*1.0456</f>
        <v>20365.607918080004</v>
      </c>
      <c r="AP9" s="149">
        <f t="shared" si="9"/>
        <v>21294.279639144454</v>
      </c>
      <c r="AQ9" s="149">
        <f t="shared" si="9"/>
        <v>22265.298790689441</v>
      </c>
      <c r="AR9" s="149">
        <f t="shared" si="9"/>
        <v>23280.596415544882</v>
      </c>
      <c r="AS9" s="149">
        <f t="shared" si="9"/>
        <v>24342.191612093731</v>
      </c>
      <c r="AT9" s="149">
        <f t="shared" si="9"/>
        <v>25452.195549605207</v>
      </c>
      <c r="AU9" s="149">
        <f t="shared" si="9"/>
        <v>26612.815666667208</v>
      </c>
      <c r="AV9" s="149">
        <f t="shared" si="9"/>
        <v>27826.360061067233</v>
      </c>
      <c r="AW9" s="149">
        <f t="shared" si="9"/>
        <v>29095.242079851902</v>
      </c>
      <c r="AX9" s="149">
        <f t="shared" si="9"/>
        <v>30421.985118693152</v>
      </c>
      <c r="AY9" s="149">
        <f t="shared" si="9"/>
        <v>31809.227640105561</v>
      </c>
      <c r="AZ9" s="149">
        <f t="shared" si="9"/>
        <v>33259.728420494379</v>
      </c>
      <c r="BA9" s="149">
        <f t="shared" si="9"/>
        <v>34776.372036468929</v>
      </c>
      <c r="BC9" s="104" t="s">
        <v>47</v>
      </c>
      <c r="BD9" s="105">
        <f>SUM(BD7:BD8)</f>
        <v>300819.87791105476</v>
      </c>
      <c r="BE9" s="106"/>
      <c r="BF9" s="106"/>
      <c r="BG9" s="110"/>
    </row>
    <row r="10" spans="2:342" s="2" customFormat="1" x14ac:dyDescent="0.25">
      <c r="B10" s="2" t="s">
        <v>26</v>
      </c>
      <c r="C10" s="3" t="e">
        <f t="shared" ref="C10:S10" ca="1" si="10">C7+C9</f>
        <v>#REF!</v>
      </c>
      <c r="D10" s="3" t="e">
        <f t="shared" ca="1" si="10"/>
        <v>#REF!</v>
      </c>
      <c r="E10" s="3" t="e">
        <f t="shared" ca="1" si="10"/>
        <v>#REF!</v>
      </c>
      <c r="F10" s="3" t="e">
        <f t="shared" ca="1" si="10"/>
        <v>#REF!</v>
      </c>
      <c r="G10" s="3" t="e">
        <f t="shared" ca="1" si="10"/>
        <v>#REF!</v>
      </c>
      <c r="H10" s="3" t="e">
        <f t="shared" ca="1" si="10"/>
        <v>#REF!</v>
      </c>
      <c r="I10" s="3" t="e">
        <f t="shared" ca="1" si="10"/>
        <v>#REF!</v>
      </c>
      <c r="J10" s="3" t="e">
        <f t="shared" ca="1" si="10"/>
        <v>#REF!</v>
      </c>
      <c r="K10" s="3" t="e">
        <f t="shared" ca="1" si="10"/>
        <v>#REF!</v>
      </c>
      <c r="L10" s="3" t="e">
        <f t="shared" ca="1" si="10"/>
        <v>#REF!</v>
      </c>
      <c r="M10" s="3" t="e">
        <f t="shared" ca="1" si="10"/>
        <v>#REF!</v>
      </c>
      <c r="N10" s="3" t="e">
        <f t="shared" ca="1" si="10"/>
        <v>#REF!</v>
      </c>
      <c r="O10" s="3" t="e">
        <f t="shared" ca="1" si="10"/>
        <v>#REF!</v>
      </c>
      <c r="P10" s="3" t="e">
        <f t="shared" ca="1" si="10"/>
        <v>#REF!</v>
      </c>
      <c r="Q10" s="3" t="e">
        <f t="shared" ca="1" si="10"/>
        <v>#REF!</v>
      </c>
      <c r="R10" s="3" t="e">
        <f t="shared" ca="1" si="10"/>
        <v>#REF!</v>
      </c>
      <c r="S10" s="3" t="e">
        <f t="shared" ca="1" si="10"/>
        <v>#REF!</v>
      </c>
      <c r="AF10" s="3">
        <f t="shared" ref="AF10:AN10" si="11">AF7-AF9</f>
        <v>11546</v>
      </c>
      <c r="AG10" s="3">
        <f t="shared" si="11"/>
        <v>13404</v>
      </c>
      <c r="AH10" s="3">
        <f t="shared" si="11"/>
        <v>14358</v>
      </c>
      <c r="AI10" s="267">
        <f t="shared" si="11"/>
        <v>13873</v>
      </c>
      <c r="AJ10" s="3">
        <f>AJ7-AJ9</f>
        <v>14837</v>
      </c>
      <c r="AK10" s="3">
        <f t="shared" si="11"/>
        <v>11830</v>
      </c>
      <c r="AL10" s="3">
        <f t="shared" si="11"/>
        <v>3794</v>
      </c>
      <c r="AM10" s="3">
        <f t="shared" si="11"/>
        <v>3659</v>
      </c>
      <c r="AN10" s="3">
        <f t="shared" si="11"/>
        <v>9283.9331999999995</v>
      </c>
      <c r="AO10" s="3">
        <f t="shared" ref="AO10:BA10" si="12">AO7-AO9</f>
        <v>12382.121681920009</v>
      </c>
      <c r="AP10" s="3">
        <f t="shared" si="12"/>
        <v>16526.783532855563</v>
      </c>
      <c r="AQ10" s="3">
        <f t="shared" si="12"/>
        <v>19486.212039910577</v>
      </c>
      <c r="AR10" s="3">
        <f t="shared" si="12"/>
        <v>21232.050905779142</v>
      </c>
      <c r="AS10" s="3">
        <f t="shared" si="12"/>
        <v>23096.591462458258</v>
      </c>
      <c r="AT10" s="3">
        <f t="shared" si="12"/>
        <v>25087.050201322611</v>
      </c>
      <c r="AU10" s="3">
        <f t="shared" si="12"/>
        <v>27211.056835361167</v>
      </c>
      <c r="AV10" s="3">
        <f t="shared" si="12"/>
        <v>29476.677108158892</v>
      </c>
      <c r="AW10" s="3">
        <f t="shared" si="12"/>
        <v>31892.436831615705</v>
      </c>
      <c r="AX10" s="3">
        <f t="shared" si="12"/>
        <v>34467.34721747924</v>
      </c>
      <c r="AY10" s="3">
        <f t="shared" si="12"/>
        <v>37210.931571172099</v>
      </c>
      <c r="AZ10" s="3">
        <f t="shared" si="12"/>
        <v>40133.25341997567</v>
      </c>
      <c r="BA10" s="3">
        <f t="shared" si="12"/>
        <v>43244.946151398261</v>
      </c>
      <c r="BC10" s="111" t="s">
        <v>48</v>
      </c>
      <c r="BD10" s="112">
        <f>BD9/Segments!J3</f>
        <v>168.90504093826769</v>
      </c>
      <c r="BE10" s="106"/>
      <c r="BF10" s="107" t="s">
        <v>164</v>
      </c>
      <c r="BG10" s="113">
        <v>0.03</v>
      </c>
    </row>
    <row r="11" spans="2:342" s="2" customFormat="1" x14ac:dyDescent="0.25">
      <c r="B11" s="2" t="s">
        <v>27</v>
      </c>
      <c r="C11" s="3">
        <v>129</v>
      </c>
      <c r="D11" s="3">
        <v>143</v>
      </c>
      <c r="E11" s="3">
        <v>143</v>
      </c>
      <c r="F11" s="3">
        <f>574-E11-D11-C11</f>
        <v>159</v>
      </c>
      <c r="G11" s="3">
        <v>63</v>
      </c>
      <c r="H11" s="3">
        <v>143</v>
      </c>
      <c r="I11" s="3">
        <v>411</v>
      </c>
      <c r="J11" s="3">
        <f>978-I11-H11-G11</f>
        <v>361</v>
      </c>
      <c r="K11" s="3">
        <v>283</v>
      </c>
      <c r="L11" s="3">
        <v>300</v>
      </c>
      <c r="M11" s="3">
        <v>412</v>
      </c>
      <c r="N11" s="3">
        <f>1491-M11-L11-K11</f>
        <v>496</v>
      </c>
      <c r="O11" s="3">
        <v>324</v>
      </c>
      <c r="P11" s="3">
        <v>320</v>
      </c>
      <c r="Q11" s="3">
        <v>445</v>
      </c>
      <c r="R11" s="3">
        <f>1406-Q11-P11-O11</f>
        <v>317</v>
      </c>
      <c r="S11" s="3">
        <v>311</v>
      </c>
      <c r="AF11" s="2">
        <v>-23</v>
      </c>
      <c r="AG11" s="2">
        <v>117</v>
      </c>
      <c r="AH11" s="2">
        <v>260</v>
      </c>
      <c r="AI11" s="264">
        <v>385</v>
      </c>
      <c r="AJ11" s="2">
        <f>SUM(C11:F11)</f>
        <v>574</v>
      </c>
      <c r="AK11" s="2">
        <f>SUM(G11:J11)</f>
        <v>978</v>
      </c>
      <c r="AL11" s="2">
        <f>SUM(K11:N11)</f>
        <v>1491</v>
      </c>
      <c r="AM11" s="2">
        <f>SUM(O11:R11)</f>
        <v>1406</v>
      </c>
      <c r="AN11" s="20">
        <f t="shared" ref="AN11:BA11" si="13">+AM11*1.05</f>
        <v>1476.3</v>
      </c>
      <c r="AO11" s="20">
        <f t="shared" si="13"/>
        <v>1550.115</v>
      </c>
      <c r="AP11" s="20">
        <f t="shared" si="13"/>
        <v>1627.62075</v>
      </c>
      <c r="AQ11" s="20">
        <f t="shared" si="13"/>
        <v>1709.0017875000001</v>
      </c>
      <c r="AR11" s="20">
        <f t="shared" si="13"/>
        <v>1794.4518768750002</v>
      </c>
      <c r="AS11" s="20">
        <f t="shared" si="13"/>
        <v>1884.1744707187502</v>
      </c>
      <c r="AT11" s="20">
        <f t="shared" si="13"/>
        <v>1978.3831942546879</v>
      </c>
      <c r="AU11" s="20">
        <f t="shared" si="13"/>
        <v>2077.3023539674223</v>
      </c>
      <c r="AV11" s="20">
        <f t="shared" si="13"/>
        <v>2181.1674716657935</v>
      </c>
      <c r="AW11" s="20">
        <f t="shared" si="13"/>
        <v>2290.2258452490832</v>
      </c>
      <c r="AX11" s="20">
        <f t="shared" si="13"/>
        <v>2404.7371375115376</v>
      </c>
      <c r="AY11" s="20">
        <f t="shared" si="13"/>
        <v>2524.9739943871145</v>
      </c>
      <c r="AZ11" s="20">
        <f t="shared" si="13"/>
        <v>2651.2226941064705</v>
      </c>
      <c r="BA11" s="20">
        <f t="shared" si="13"/>
        <v>2783.7838288117941</v>
      </c>
      <c r="BC11" s="111" t="s">
        <v>49</v>
      </c>
      <c r="BD11" s="112">
        <f>Segments!J2</f>
        <v>140</v>
      </c>
      <c r="BE11" s="25"/>
      <c r="BF11" s="25"/>
      <c r="BG11" s="103"/>
    </row>
    <row r="12" spans="2:342" s="2" customFormat="1" x14ac:dyDescent="0.25">
      <c r="B12" s="2" t="s">
        <v>231</v>
      </c>
      <c r="C12" s="3">
        <v>96</v>
      </c>
      <c r="D12" s="3">
        <v>47</v>
      </c>
      <c r="E12" s="3">
        <v>73</v>
      </c>
      <c r="F12" s="3">
        <v>283</v>
      </c>
      <c r="G12" s="3">
        <v>76</v>
      </c>
      <c r="H12" s="3">
        <f>4963-309</f>
        <v>4654</v>
      </c>
      <c r="I12" s="3">
        <v>-124</v>
      </c>
      <c r="J12" s="3">
        <v>-352</v>
      </c>
      <c r="K12" s="3">
        <v>224</v>
      </c>
      <c r="L12" s="3">
        <v>135</v>
      </c>
      <c r="M12" s="3">
        <f>382+186</f>
        <v>568</v>
      </c>
      <c r="N12" s="3">
        <f>762</f>
        <v>762</v>
      </c>
      <c r="O12" s="3">
        <v>224</v>
      </c>
      <c r="P12" s="3">
        <f>305+213</f>
        <v>518</v>
      </c>
      <c r="Q12" s="3">
        <f>120</f>
        <v>120</v>
      </c>
      <c r="R12" s="3">
        <v>100</v>
      </c>
      <c r="S12" s="3">
        <f>-436+239</f>
        <v>-197</v>
      </c>
      <c r="AF12" s="2">
        <v>317</v>
      </c>
      <c r="AG12" s="2">
        <v>148</v>
      </c>
      <c r="AH12" s="2">
        <v>94</v>
      </c>
      <c r="AI12" s="264">
        <v>122</v>
      </c>
      <c r="AJ12" s="3">
        <v>108</v>
      </c>
      <c r="AK12" s="3">
        <v>268</v>
      </c>
      <c r="AL12" s="3">
        <v>156</v>
      </c>
      <c r="AM12" s="3">
        <v>181</v>
      </c>
      <c r="AN12" s="20">
        <f>AM12*1.04</f>
        <v>188.24</v>
      </c>
      <c r="AO12" s="20">
        <f t="shared" ref="AO12:BA12" si="14">AN12*1.04</f>
        <v>195.76960000000003</v>
      </c>
      <c r="AP12" s="20">
        <f t="shared" si="14"/>
        <v>203.60038400000002</v>
      </c>
      <c r="AQ12" s="20">
        <f t="shared" si="14"/>
        <v>211.74439936000002</v>
      </c>
      <c r="AR12" s="20">
        <f t="shared" si="14"/>
        <v>220.21417533440004</v>
      </c>
      <c r="AS12" s="20">
        <f t="shared" si="14"/>
        <v>229.02274234777605</v>
      </c>
      <c r="AT12" s="20">
        <f t="shared" si="14"/>
        <v>238.18365204168708</v>
      </c>
      <c r="AU12" s="20">
        <f t="shared" si="14"/>
        <v>247.71099812335459</v>
      </c>
      <c r="AV12" s="20">
        <f t="shared" si="14"/>
        <v>257.61943804828877</v>
      </c>
      <c r="AW12" s="20">
        <f t="shared" si="14"/>
        <v>267.92421557022033</v>
      </c>
      <c r="AX12" s="20">
        <f t="shared" si="14"/>
        <v>278.64118419302918</v>
      </c>
      <c r="AY12" s="20">
        <f t="shared" si="14"/>
        <v>289.78683156075033</v>
      </c>
      <c r="AZ12" s="20">
        <f t="shared" si="14"/>
        <v>301.37830482318037</v>
      </c>
      <c r="BA12" s="20">
        <f t="shared" si="14"/>
        <v>313.43343701610758</v>
      </c>
      <c r="BC12" s="81"/>
      <c r="BD12" s="114">
        <f>BD10/BD11-1</f>
        <v>0.20646457813048347</v>
      </c>
      <c r="BE12" s="115"/>
      <c r="BF12" s="115"/>
      <c r="BG12" s="116"/>
    </row>
    <row r="13" spans="2:342" s="2" customFormat="1" x14ac:dyDescent="0.25">
      <c r="B13" s="2" t="s">
        <v>28</v>
      </c>
      <c r="C13" s="3" t="e">
        <f>#REF!-C11</f>
        <v>#REF!</v>
      </c>
      <c r="D13" s="3" t="e">
        <f>#REF!-D11</f>
        <v>#REF!</v>
      </c>
      <c r="E13" s="3" t="e">
        <f>#REF!-E11</f>
        <v>#REF!</v>
      </c>
      <c r="F13" s="3" t="e">
        <f>#REF!-F11</f>
        <v>#REF!</v>
      </c>
      <c r="G13" s="3" t="e">
        <f>#REF!-G11</f>
        <v>#REF!</v>
      </c>
      <c r="H13" s="3" t="e">
        <f>#REF!-H11</f>
        <v>#REF!</v>
      </c>
      <c r="I13" s="3" t="e">
        <f>#REF!-I11</f>
        <v>#REF!</v>
      </c>
      <c r="J13" s="3" t="e">
        <f>#REF!-J11</f>
        <v>#REF!</v>
      </c>
      <c r="K13" s="3" t="e">
        <f>#REF!-K11</f>
        <v>#REF!</v>
      </c>
      <c r="L13" s="3" t="e">
        <f>#REF!-L11</f>
        <v>#REF!</v>
      </c>
      <c r="M13" s="3" t="e">
        <f>#REF!-M11</f>
        <v>#REF!</v>
      </c>
      <c r="N13" s="3">
        <v>-496</v>
      </c>
      <c r="O13" s="3" t="e">
        <f>#REF!-O11</f>
        <v>#REF!</v>
      </c>
      <c r="P13" s="3" t="e">
        <f>#REF!-P11</f>
        <v>#REF!</v>
      </c>
      <c r="Q13" s="3" t="e">
        <f>#REF!-Q11</f>
        <v>#REF!</v>
      </c>
      <c r="R13" s="3" t="e">
        <f>#REF!-R11</f>
        <v>#REF!</v>
      </c>
      <c r="S13" s="3" t="e">
        <f>#REF!-S11</f>
        <v>#REF!</v>
      </c>
      <c r="AF13" s="3">
        <v>12246</v>
      </c>
      <c r="AG13" s="3">
        <v>13868</v>
      </c>
      <c r="AH13" s="3">
        <v>14868</v>
      </c>
      <c r="AI13" s="267">
        <v>13788</v>
      </c>
      <c r="AJ13" s="3">
        <v>14729</v>
      </c>
      <c r="AK13" s="3">
        <v>13923</v>
      </c>
      <c r="AL13" s="3">
        <v>-1743</v>
      </c>
      <c r="AM13" s="3">
        <v>2561</v>
      </c>
      <c r="AN13" s="3">
        <f>AN10-AN11</f>
        <v>7807.6331999999993</v>
      </c>
      <c r="AO13" s="3">
        <f>AO10-AO11</f>
        <v>10832.006681920009</v>
      </c>
      <c r="AP13" s="3">
        <f t="shared" ref="AP13:BA13" si="15">AP10-AP11</f>
        <v>14899.162782855563</v>
      </c>
      <c r="AQ13" s="3">
        <f t="shared" si="15"/>
        <v>17777.210252410576</v>
      </c>
      <c r="AR13" s="3">
        <f t="shared" si="15"/>
        <v>19437.599028904144</v>
      </c>
      <c r="AS13" s="3">
        <f t="shared" si="15"/>
        <v>21212.416991739508</v>
      </c>
      <c r="AT13" s="3">
        <f t="shared" si="15"/>
        <v>23108.667007067921</v>
      </c>
      <c r="AU13" s="3">
        <f t="shared" si="15"/>
        <v>25133.754481393746</v>
      </c>
      <c r="AV13" s="3">
        <f t="shared" si="15"/>
        <v>27295.509636493098</v>
      </c>
      <c r="AW13" s="3">
        <f t="shared" si="15"/>
        <v>29602.210986366623</v>
      </c>
      <c r="AX13" s="3">
        <f t="shared" si="15"/>
        <v>32062.610079967704</v>
      </c>
      <c r="AY13" s="3">
        <f t="shared" si="15"/>
        <v>34685.957576784982</v>
      </c>
      <c r="AZ13" s="3">
        <f t="shared" si="15"/>
        <v>37482.030725869197</v>
      </c>
      <c r="BA13" s="3">
        <f t="shared" si="15"/>
        <v>40461.162322586468</v>
      </c>
    </row>
    <row r="14" spans="2:342" s="2" customFormat="1" x14ac:dyDescent="0.25">
      <c r="B14" s="2" t="s">
        <v>29</v>
      </c>
      <c r="C14" s="3">
        <v>728</v>
      </c>
      <c r="D14" s="3">
        <v>-813</v>
      </c>
      <c r="E14" s="3">
        <v>-795</v>
      </c>
      <c r="F14" s="3">
        <f>-1663+E14+D14+C14</f>
        <v>-2543</v>
      </c>
      <c r="G14" s="3">
        <v>-645</v>
      </c>
      <c r="H14" s="3">
        <v>-1647</v>
      </c>
      <c r="I14" s="3">
        <v>-395</v>
      </c>
      <c r="J14" s="3">
        <f>-3026+I14+H14+G14</f>
        <v>-5713</v>
      </c>
      <c r="K14" s="3">
        <v>-459</v>
      </c>
      <c r="L14" s="3">
        <v>-523</v>
      </c>
      <c r="M14" s="3">
        <v>331</v>
      </c>
      <c r="N14" s="3">
        <v>-49</v>
      </c>
      <c r="O14" s="3">
        <v>-16</v>
      </c>
      <c r="P14" s="3">
        <v>-108</v>
      </c>
      <c r="Q14" s="3">
        <v>133</v>
      </c>
      <c r="R14" s="3">
        <f>25+Q14+P14+O14</f>
        <v>34</v>
      </c>
      <c r="S14" s="3">
        <v>-488</v>
      </c>
      <c r="AF14" s="2">
        <v>-4242</v>
      </c>
      <c r="AG14" s="2">
        <v>-5016</v>
      </c>
      <c r="AH14" s="2">
        <v>-5078</v>
      </c>
      <c r="AI14" s="264">
        <v>-4422</v>
      </c>
      <c r="AJ14" s="2">
        <v>-1663</v>
      </c>
      <c r="AK14" s="2">
        <v>-3026</v>
      </c>
      <c r="AL14" s="2">
        <v>-699</v>
      </c>
      <c r="AM14" s="2">
        <v>-25</v>
      </c>
      <c r="AN14" s="20">
        <f>+AM14*5</f>
        <v>-125</v>
      </c>
      <c r="AO14" s="20">
        <f>+AN14*1.2</f>
        <v>-150</v>
      </c>
      <c r="AP14" s="20">
        <f t="shared" ref="AP14:BA14" si="16">+AO14*1.2</f>
        <v>-180</v>
      </c>
      <c r="AQ14" s="20">
        <f t="shared" si="16"/>
        <v>-216</v>
      </c>
      <c r="AR14" s="20">
        <f t="shared" si="16"/>
        <v>-259.2</v>
      </c>
      <c r="AS14" s="20">
        <f t="shared" si="16"/>
        <v>-311.03999999999996</v>
      </c>
      <c r="AT14" s="20">
        <f t="shared" si="16"/>
        <v>-373.24799999999993</v>
      </c>
      <c r="AU14" s="20">
        <f t="shared" si="16"/>
        <v>-447.8975999999999</v>
      </c>
      <c r="AV14" s="20">
        <f t="shared" si="16"/>
        <v>-537.4771199999999</v>
      </c>
      <c r="AW14" s="20">
        <f t="shared" si="16"/>
        <v>-644.97254399999986</v>
      </c>
      <c r="AX14" s="20">
        <f t="shared" si="16"/>
        <v>-773.96705279999981</v>
      </c>
      <c r="AY14" s="20">
        <f t="shared" si="16"/>
        <v>-928.76046335999968</v>
      </c>
      <c r="AZ14" s="20">
        <f t="shared" si="16"/>
        <v>-1114.5125560319996</v>
      </c>
      <c r="BA14" s="20">
        <f t="shared" si="16"/>
        <v>-1337.4150672383994</v>
      </c>
    </row>
    <row r="15" spans="2:342" s="5" customFormat="1" x14ac:dyDescent="0.25">
      <c r="B15" s="5" t="s">
        <v>227</v>
      </c>
      <c r="C15" s="4" t="e">
        <f t="shared" ref="C15:Q15" si="17">C13+C14</f>
        <v>#REF!</v>
      </c>
      <c r="D15" s="4" t="e">
        <f t="shared" si="17"/>
        <v>#REF!</v>
      </c>
      <c r="E15" s="4" t="e">
        <f t="shared" si="17"/>
        <v>#REF!</v>
      </c>
      <c r="F15" s="4" t="e">
        <f t="shared" si="17"/>
        <v>#REF!</v>
      </c>
      <c r="G15" s="4" t="e">
        <f t="shared" si="17"/>
        <v>#REF!</v>
      </c>
      <c r="H15" s="4" t="e">
        <f t="shared" si="17"/>
        <v>#REF!</v>
      </c>
      <c r="I15" s="4" t="e">
        <f t="shared" si="17"/>
        <v>#REF!</v>
      </c>
      <c r="J15" s="4" t="e">
        <f t="shared" si="17"/>
        <v>#REF!</v>
      </c>
      <c r="K15" s="4" t="e">
        <f t="shared" si="17"/>
        <v>#REF!</v>
      </c>
      <c r="L15" s="4" t="e">
        <f t="shared" si="17"/>
        <v>#REF!</v>
      </c>
      <c r="M15" s="4" t="e">
        <f t="shared" si="17"/>
        <v>#REF!</v>
      </c>
      <c r="N15" s="4">
        <f t="shared" si="17"/>
        <v>-545</v>
      </c>
      <c r="O15" s="4" t="e">
        <f t="shared" si="17"/>
        <v>#REF!</v>
      </c>
      <c r="P15" s="4" t="e">
        <f t="shared" si="17"/>
        <v>#REF!</v>
      </c>
      <c r="Q15" s="4" t="e">
        <f t="shared" si="17"/>
        <v>#REF!</v>
      </c>
      <c r="R15" s="4" t="e">
        <f>R13-R14</f>
        <v>#REF!</v>
      </c>
      <c r="S15" s="4" t="e">
        <f>S13+S14</f>
        <v>#REF!</v>
      </c>
      <c r="X15" s="5">
        <v>3487</v>
      </c>
      <c r="Y15" s="5">
        <v>4851</v>
      </c>
      <c r="Z15" s="5">
        <v>4729</v>
      </c>
      <c r="AA15" s="5">
        <v>3609</v>
      </c>
      <c r="AB15" s="5">
        <v>4313</v>
      </c>
      <c r="AC15" s="5">
        <v>5258</v>
      </c>
      <c r="AD15" s="5">
        <v>6173</v>
      </c>
      <c r="AE15" s="5">
        <v>6636</v>
      </c>
      <c r="AF15" s="140">
        <f t="shared" ref="AF15:AL15" si="18">AF13+AF14</f>
        <v>8004</v>
      </c>
      <c r="AG15" s="140">
        <f t="shared" si="18"/>
        <v>8852</v>
      </c>
      <c r="AH15" s="140">
        <f t="shared" si="18"/>
        <v>9790</v>
      </c>
      <c r="AI15" s="268">
        <f>AI13+AI14</f>
        <v>9366</v>
      </c>
      <c r="AJ15" s="140">
        <f t="shared" si="18"/>
        <v>13066</v>
      </c>
      <c r="AK15" s="140">
        <f>AK13+AK14</f>
        <v>10897</v>
      </c>
      <c r="AL15" s="140">
        <f t="shared" si="18"/>
        <v>-2442</v>
      </c>
      <c r="AM15" s="140">
        <f>AM13+AM14</f>
        <v>2536</v>
      </c>
      <c r="AN15" s="22">
        <f>AN13+AN14</f>
        <v>7682.6331999999993</v>
      </c>
      <c r="AO15" s="22">
        <f>AO13+AO14</f>
        <v>10682.006681920009</v>
      </c>
      <c r="AP15" s="22">
        <f t="shared" ref="AP15:BA15" si="19">AP13+AP14</f>
        <v>14719.162782855563</v>
      </c>
      <c r="AQ15" s="22">
        <f t="shared" si="19"/>
        <v>17561.210252410576</v>
      </c>
      <c r="AR15" s="22">
        <f t="shared" si="19"/>
        <v>19178.399028904143</v>
      </c>
      <c r="AS15" s="22">
        <f t="shared" si="19"/>
        <v>20901.376991739508</v>
      </c>
      <c r="AT15" s="22">
        <f t="shared" si="19"/>
        <v>22735.419007067921</v>
      </c>
      <c r="AU15" s="22">
        <f t="shared" si="19"/>
        <v>24685.856881393745</v>
      </c>
      <c r="AV15" s="22">
        <f t="shared" si="19"/>
        <v>26758.032516493098</v>
      </c>
      <c r="AW15" s="22">
        <f t="shared" si="19"/>
        <v>28957.238442366623</v>
      </c>
      <c r="AX15" s="22">
        <f t="shared" si="19"/>
        <v>31288.643027167705</v>
      </c>
      <c r="AY15" s="22">
        <f t="shared" si="19"/>
        <v>33757.197113424983</v>
      </c>
      <c r="AZ15" s="22">
        <f t="shared" si="19"/>
        <v>36367.518169837196</v>
      </c>
      <c r="BA15" s="22">
        <f t="shared" si="19"/>
        <v>39123.747255348069</v>
      </c>
      <c r="BB15" s="21">
        <f t="shared" ref="BB15:DM15" si="20">BA15*(1+$BD$5)</f>
        <v>39123.747255348069</v>
      </c>
      <c r="BC15" s="21">
        <f t="shared" si="20"/>
        <v>39123.747255348069</v>
      </c>
      <c r="BD15" s="21">
        <f t="shared" si="20"/>
        <v>39123.747255348069</v>
      </c>
      <c r="BE15" s="21">
        <f t="shared" si="20"/>
        <v>39123.747255348069</v>
      </c>
      <c r="BF15" s="21">
        <f t="shared" si="20"/>
        <v>39123.747255348069</v>
      </c>
      <c r="BG15" s="21">
        <f t="shared" si="20"/>
        <v>39123.747255348069</v>
      </c>
      <c r="BH15" s="21">
        <f t="shared" si="20"/>
        <v>39123.747255348069</v>
      </c>
      <c r="BI15" s="21">
        <f t="shared" si="20"/>
        <v>39123.747255348069</v>
      </c>
      <c r="BJ15" s="21">
        <f t="shared" si="20"/>
        <v>39123.747255348069</v>
      </c>
      <c r="BK15" s="21">
        <f t="shared" si="20"/>
        <v>39123.747255348069</v>
      </c>
      <c r="BL15" s="21">
        <f t="shared" si="20"/>
        <v>39123.747255348069</v>
      </c>
      <c r="BM15" s="21">
        <f t="shared" si="20"/>
        <v>39123.747255348069</v>
      </c>
      <c r="BN15" s="21">
        <f t="shared" si="20"/>
        <v>39123.747255348069</v>
      </c>
      <c r="BO15" s="21">
        <f t="shared" si="20"/>
        <v>39123.747255348069</v>
      </c>
      <c r="BP15" s="21">
        <f t="shared" si="20"/>
        <v>39123.747255348069</v>
      </c>
      <c r="BQ15" s="21">
        <f t="shared" si="20"/>
        <v>39123.747255348069</v>
      </c>
      <c r="BR15" s="21">
        <f t="shared" si="20"/>
        <v>39123.747255348069</v>
      </c>
      <c r="BS15" s="21">
        <f t="shared" si="20"/>
        <v>39123.747255348069</v>
      </c>
      <c r="BT15" s="21">
        <f t="shared" si="20"/>
        <v>39123.747255348069</v>
      </c>
      <c r="BU15" s="21">
        <f t="shared" si="20"/>
        <v>39123.747255348069</v>
      </c>
      <c r="BV15" s="21">
        <f t="shared" si="20"/>
        <v>39123.747255348069</v>
      </c>
      <c r="BW15" s="21">
        <f t="shared" si="20"/>
        <v>39123.747255348069</v>
      </c>
      <c r="BX15" s="21">
        <f t="shared" si="20"/>
        <v>39123.747255348069</v>
      </c>
      <c r="BY15" s="21">
        <f t="shared" si="20"/>
        <v>39123.747255348069</v>
      </c>
      <c r="BZ15" s="21">
        <f t="shared" si="20"/>
        <v>39123.747255348069</v>
      </c>
      <c r="CA15" s="21">
        <f t="shared" si="20"/>
        <v>39123.747255348069</v>
      </c>
      <c r="CB15" s="21">
        <f t="shared" si="20"/>
        <v>39123.747255348069</v>
      </c>
      <c r="CC15" s="21">
        <f t="shared" si="20"/>
        <v>39123.747255348069</v>
      </c>
      <c r="CD15" s="21">
        <f t="shared" si="20"/>
        <v>39123.747255348069</v>
      </c>
      <c r="CE15" s="21">
        <f t="shared" si="20"/>
        <v>39123.747255348069</v>
      </c>
      <c r="CF15" s="21">
        <f t="shared" si="20"/>
        <v>39123.747255348069</v>
      </c>
      <c r="CG15" s="21">
        <f t="shared" si="20"/>
        <v>39123.747255348069</v>
      </c>
      <c r="CH15" s="21">
        <f t="shared" si="20"/>
        <v>39123.747255348069</v>
      </c>
      <c r="CI15" s="21">
        <f t="shared" si="20"/>
        <v>39123.747255348069</v>
      </c>
      <c r="CJ15" s="21">
        <f t="shared" si="20"/>
        <v>39123.747255348069</v>
      </c>
      <c r="CK15" s="21">
        <f t="shared" si="20"/>
        <v>39123.747255348069</v>
      </c>
      <c r="CL15" s="21">
        <f t="shared" si="20"/>
        <v>39123.747255348069</v>
      </c>
      <c r="CM15" s="21">
        <f t="shared" si="20"/>
        <v>39123.747255348069</v>
      </c>
      <c r="CN15" s="21">
        <f t="shared" si="20"/>
        <v>39123.747255348069</v>
      </c>
      <c r="CO15" s="21">
        <f t="shared" si="20"/>
        <v>39123.747255348069</v>
      </c>
      <c r="CP15" s="21">
        <f t="shared" si="20"/>
        <v>39123.747255348069</v>
      </c>
      <c r="CQ15" s="21">
        <f t="shared" si="20"/>
        <v>39123.747255348069</v>
      </c>
      <c r="CR15" s="21">
        <f t="shared" si="20"/>
        <v>39123.747255348069</v>
      </c>
      <c r="CS15" s="21">
        <f t="shared" si="20"/>
        <v>39123.747255348069</v>
      </c>
      <c r="CT15" s="21">
        <f t="shared" si="20"/>
        <v>39123.747255348069</v>
      </c>
      <c r="CU15" s="21">
        <f t="shared" si="20"/>
        <v>39123.747255348069</v>
      </c>
      <c r="CV15" s="21">
        <f t="shared" si="20"/>
        <v>39123.747255348069</v>
      </c>
      <c r="CW15" s="21">
        <f t="shared" si="20"/>
        <v>39123.747255348069</v>
      </c>
      <c r="CX15" s="21">
        <f t="shared" si="20"/>
        <v>39123.747255348069</v>
      </c>
      <c r="CY15" s="21">
        <f t="shared" si="20"/>
        <v>39123.747255348069</v>
      </c>
      <c r="CZ15" s="21">
        <f t="shared" si="20"/>
        <v>39123.747255348069</v>
      </c>
      <c r="DA15" s="21">
        <f t="shared" si="20"/>
        <v>39123.747255348069</v>
      </c>
      <c r="DB15" s="21">
        <f t="shared" si="20"/>
        <v>39123.747255348069</v>
      </c>
      <c r="DC15" s="21">
        <f t="shared" si="20"/>
        <v>39123.747255348069</v>
      </c>
      <c r="DD15" s="21">
        <f t="shared" si="20"/>
        <v>39123.747255348069</v>
      </c>
      <c r="DE15" s="21">
        <f t="shared" si="20"/>
        <v>39123.747255348069</v>
      </c>
      <c r="DF15" s="21">
        <f t="shared" si="20"/>
        <v>39123.747255348069</v>
      </c>
      <c r="DG15" s="21">
        <f t="shared" si="20"/>
        <v>39123.747255348069</v>
      </c>
      <c r="DH15" s="21">
        <f t="shared" si="20"/>
        <v>39123.747255348069</v>
      </c>
      <c r="DI15" s="21">
        <f t="shared" si="20"/>
        <v>39123.747255348069</v>
      </c>
      <c r="DJ15" s="21">
        <f t="shared" si="20"/>
        <v>39123.747255348069</v>
      </c>
      <c r="DK15" s="21">
        <f t="shared" si="20"/>
        <v>39123.747255348069</v>
      </c>
      <c r="DL15" s="21">
        <f t="shared" si="20"/>
        <v>39123.747255348069</v>
      </c>
      <c r="DM15" s="21">
        <f t="shared" si="20"/>
        <v>39123.747255348069</v>
      </c>
      <c r="DN15" s="21">
        <f t="shared" ref="DN15:FY15" si="21">DM15*(1+$BD$5)</f>
        <v>39123.747255348069</v>
      </c>
      <c r="DO15" s="21">
        <f t="shared" si="21"/>
        <v>39123.747255348069</v>
      </c>
      <c r="DP15" s="21">
        <f t="shared" si="21"/>
        <v>39123.747255348069</v>
      </c>
      <c r="DQ15" s="21">
        <f t="shared" si="21"/>
        <v>39123.747255348069</v>
      </c>
      <c r="DR15" s="21">
        <f t="shared" si="21"/>
        <v>39123.747255348069</v>
      </c>
      <c r="DS15" s="21">
        <f t="shared" si="21"/>
        <v>39123.747255348069</v>
      </c>
      <c r="DT15" s="21">
        <f t="shared" si="21"/>
        <v>39123.747255348069</v>
      </c>
      <c r="DU15" s="21">
        <f t="shared" si="21"/>
        <v>39123.747255348069</v>
      </c>
      <c r="DV15" s="21">
        <f t="shared" si="21"/>
        <v>39123.747255348069</v>
      </c>
      <c r="DW15" s="21">
        <f t="shared" si="21"/>
        <v>39123.747255348069</v>
      </c>
      <c r="DX15" s="21">
        <f t="shared" si="21"/>
        <v>39123.747255348069</v>
      </c>
      <c r="DY15" s="21">
        <f t="shared" si="21"/>
        <v>39123.747255348069</v>
      </c>
      <c r="DZ15" s="21">
        <f t="shared" si="21"/>
        <v>39123.747255348069</v>
      </c>
      <c r="EA15" s="21">
        <f t="shared" si="21"/>
        <v>39123.747255348069</v>
      </c>
      <c r="EB15" s="21">
        <f t="shared" si="21"/>
        <v>39123.747255348069</v>
      </c>
      <c r="EC15" s="21">
        <f t="shared" si="21"/>
        <v>39123.747255348069</v>
      </c>
      <c r="ED15" s="21">
        <f t="shared" si="21"/>
        <v>39123.747255348069</v>
      </c>
      <c r="EE15" s="21">
        <f t="shared" si="21"/>
        <v>39123.747255348069</v>
      </c>
      <c r="EF15" s="21">
        <f t="shared" si="21"/>
        <v>39123.747255348069</v>
      </c>
      <c r="EG15" s="21">
        <f t="shared" si="21"/>
        <v>39123.747255348069</v>
      </c>
      <c r="EH15" s="21">
        <f t="shared" si="21"/>
        <v>39123.747255348069</v>
      </c>
      <c r="EI15" s="21">
        <f t="shared" si="21"/>
        <v>39123.747255348069</v>
      </c>
      <c r="EJ15" s="21">
        <f t="shared" si="21"/>
        <v>39123.747255348069</v>
      </c>
      <c r="EK15" s="21">
        <f t="shared" si="21"/>
        <v>39123.747255348069</v>
      </c>
      <c r="EL15" s="21">
        <f t="shared" si="21"/>
        <v>39123.747255348069</v>
      </c>
      <c r="EM15" s="21">
        <f t="shared" si="21"/>
        <v>39123.747255348069</v>
      </c>
      <c r="EN15" s="21">
        <f t="shared" si="21"/>
        <v>39123.747255348069</v>
      </c>
      <c r="EO15" s="21">
        <f t="shared" si="21"/>
        <v>39123.747255348069</v>
      </c>
      <c r="EP15" s="21">
        <f t="shared" si="21"/>
        <v>39123.747255348069</v>
      </c>
      <c r="EQ15" s="21">
        <f t="shared" si="21"/>
        <v>39123.747255348069</v>
      </c>
      <c r="ER15" s="21">
        <f t="shared" si="21"/>
        <v>39123.747255348069</v>
      </c>
      <c r="ES15" s="21">
        <f t="shared" si="21"/>
        <v>39123.747255348069</v>
      </c>
      <c r="ET15" s="21">
        <f t="shared" si="21"/>
        <v>39123.747255348069</v>
      </c>
      <c r="EU15" s="21">
        <f t="shared" si="21"/>
        <v>39123.747255348069</v>
      </c>
      <c r="EV15" s="21">
        <f t="shared" si="21"/>
        <v>39123.747255348069</v>
      </c>
      <c r="EW15" s="21">
        <f t="shared" si="21"/>
        <v>39123.747255348069</v>
      </c>
      <c r="EX15" s="21">
        <f t="shared" si="21"/>
        <v>39123.747255348069</v>
      </c>
      <c r="EY15" s="21">
        <f t="shared" si="21"/>
        <v>39123.747255348069</v>
      </c>
      <c r="EZ15" s="21">
        <f t="shared" si="21"/>
        <v>39123.747255348069</v>
      </c>
      <c r="FA15" s="21">
        <f t="shared" si="21"/>
        <v>39123.747255348069</v>
      </c>
      <c r="FB15" s="21">
        <f t="shared" si="21"/>
        <v>39123.747255348069</v>
      </c>
      <c r="FC15" s="21">
        <f t="shared" si="21"/>
        <v>39123.747255348069</v>
      </c>
      <c r="FD15" s="21">
        <f t="shared" si="21"/>
        <v>39123.747255348069</v>
      </c>
      <c r="FE15" s="21">
        <f t="shared" si="21"/>
        <v>39123.747255348069</v>
      </c>
      <c r="FF15" s="21">
        <f t="shared" si="21"/>
        <v>39123.747255348069</v>
      </c>
      <c r="FG15" s="21">
        <f t="shared" si="21"/>
        <v>39123.747255348069</v>
      </c>
      <c r="FH15" s="21">
        <f t="shared" si="21"/>
        <v>39123.747255348069</v>
      </c>
      <c r="FI15" s="21">
        <f t="shared" si="21"/>
        <v>39123.747255348069</v>
      </c>
      <c r="FJ15" s="21">
        <f t="shared" si="21"/>
        <v>39123.747255348069</v>
      </c>
      <c r="FK15" s="21">
        <f t="shared" si="21"/>
        <v>39123.747255348069</v>
      </c>
      <c r="FL15" s="21">
        <f t="shared" si="21"/>
        <v>39123.747255348069</v>
      </c>
      <c r="FM15" s="21">
        <f t="shared" si="21"/>
        <v>39123.747255348069</v>
      </c>
      <c r="FN15" s="21">
        <f t="shared" si="21"/>
        <v>39123.747255348069</v>
      </c>
      <c r="FO15" s="21">
        <f t="shared" si="21"/>
        <v>39123.747255348069</v>
      </c>
      <c r="FP15" s="21">
        <f t="shared" si="21"/>
        <v>39123.747255348069</v>
      </c>
      <c r="FQ15" s="21">
        <f t="shared" si="21"/>
        <v>39123.747255348069</v>
      </c>
      <c r="FR15" s="21">
        <f t="shared" si="21"/>
        <v>39123.747255348069</v>
      </c>
      <c r="FS15" s="21">
        <f t="shared" si="21"/>
        <v>39123.747255348069</v>
      </c>
      <c r="FT15" s="21">
        <f t="shared" si="21"/>
        <v>39123.747255348069</v>
      </c>
      <c r="FU15" s="21">
        <f t="shared" si="21"/>
        <v>39123.747255348069</v>
      </c>
      <c r="FV15" s="21">
        <f t="shared" si="21"/>
        <v>39123.747255348069</v>
      </c>
      <c r="FW15" s="21">
        <f t="shared" si="21"/>
        <v>39123.747255348069</v>
      </c>
      <c r="FX15" s="21">
        <f t="shared" si="21"/>
        <v>39123.747255348069</v>
      </c>
      <c r="FY15" s="21">
        <f t="shared" si="21"/>
        <v>39123.747255348069</v>
      </c>
      <c r="FZ15" s="21">
        <f t="shared" ref="FZ15:IK15" si="22">FY15*(1+$BD$5)</f>
        <v>39123.747255348069</v>
      </c>
      <c r="GA15" s="21">
        <f t="shared" si="22"/>
        <v>39123.747255348069</v>
      </c>
      <c r="GB15" s="21">
        <f t="shared" si="22"/>
        <v>39123.747255348069</v>
      </c>
      <c r="GC15" s="21">
        <f t="shared" si="22"/>
        <v>39123.747255348069</v>
      </c>
      <c r="GD15" s="21">
        <f t="shared" si="22"/>
        <v>39123.747255348069</v>
      </c>
      <c r="GE15" s="21">
        <f t="shared" si="22"/>
        <v>39123.747255348069</v>
      </c>
      <c r="GF15" s="21">
        <f t="shared" si="22"/>
        <v>39123.747255348069</v>
      </c>
      <c r="GG15" s="21">
        <f t="shared" si="22"/>
        <v>39123.747255348069</v>
      </c>
      <c r="GH15" s="21">
        <f t="shared" si="22"/>
        <v>39123.747255348069</v>
      </c>
      <c r="GI15" s="21">
        <f t="shared" si="22"/>
        <v>39123.747255348069</v>
      </c>
      <c r="GJ15" s="21">
        <f t="shared" si="22"/>
        <v>39123.747255348069</v>
      </c>
      <c r="GK15" s="21">
        <f t="shared" si="22"/>
        <v>39123.747255348069</v>
      </c>
      <c r="GL15" s="21">
        <f t="shared" si="22"/>
        <v>39123.747255348069</v>
      </c>
      <c r="GM15" s="21">
        <f t="shared" si="22"/>
        <v>39123.747255348069</v>
      </c>
      <c r="GN15" s="21">
        <f t="shared" si="22"/>
        <v>39123.747255348069</v>
      </c>
      <c r="GO15" s="21">
        <f t="shared" si="22"/>
        <v>39123.747255348069</v>
      </c>
      <c r="GP15" s="21">
        <f t="shared" si="22"/>
        <v>39123.747255348069</v>
      </c>
      <c r="GQ15" s="21">
        <f t="shared" si="22"/>
        <v>39123.747255348069</v>
      </c>
      <c r="GR15" s="21">
        <f t="shared" si="22"/>
        <v>39123.747255348069</v>
      </c>
      <c r="GS15" s="21">
        <f t="shared" si="22"/>
        <v>39123.747255348069</v>
      </c>
      <c r="GT15" s="21">
        <f t="shared" si="22"/>
        <v>39123.747255348069</v>
      </c>
      <c r="GU15" s="21">
        <f t="shared" si="22"/>
        <v>39123.747255348069</v>
      </c>
      <c r="GV15" s="21">
        <f t="shared" si="22"/>
        <v>39123.747255348069</v>
      </c>
      <c r="GW15" s="21">
        <f t="shared" si="22"/>
        <v>39123.747255348069</v>
      </c>
      <c r="GX15" s="21">
        <f t="shared" si="22"/>
        <v>39123.747255348069</v>
      </c>
      <c r="GY15" s="21">
        <f t="shared" si="22"/>
        <v>39123.747255348069</v>
      </c>
      <c r="GZ15" s="21">
        <f t="shared" si="22"/>
        <v>39123.747255348069</v>
      </c>
      <c r="HA15" s="21">
        <f t="shared" si="22"/>
        <v>39123.747255348069</v>
      </c>
      <c r="HB15" s="21">
        <f t="shared" si="22"/>
        <v>39123.747255348069</v>
      </c>
      <c r="HC15" s="21">
        <f t="shared" si="22"/>
        <v>39123.747255348069</v>
      </c>
      <c r="HD15" s="21">
        <f t="shared" si="22"/>
        <v>39123.747255348069</v>
      </c>
      <c r="HE15" s="21">
        <f t="shared" si="22"/>
        <v>39123.747255348069</v>
      </c>
      <c r="HF15" s="21">
        <f t="shared" si="22"/>
        <v>39123.747255348069</v>
      </c>
      <c r="HG15" s="21">
        <f t="shared" si="22"/>
        <v>39123.747255348069</v>
      </c>
      <c r="HH15" s="21">
        <f t="shared" si="22"/>
        <v>39123.747255348069</v>
      </c>
      <c r="HI15" s="21">
        <f t="shared" si="22"/>
        <v>39123.747255348069</v>
      </c>
      <c r="HJ15" s="21">
        <f t="shared" si="22"/>
        <v>39123.747255348069</v>
      </c>
      <c r="HK15" s="21">
        <f t="shared" si="22"/>
        <v>39123.747255348069</v>
      </c>
      <c r="HL15" s="21">
        <f t="shared" si="22"/>
        <v>39123.747255348069</v>
      </c>
      <c r="HM15" s="21">
        <f t="shared" si="22"/>
        <v>39123.747255348069</v>
      </c>
      <c r="HN15" s="21">
        <f t="shared" si="22"/>
        <v>39123.747255348069</v>
      </c>
      <c r="HO15" s="21">
        <f t="shared" si="22"/>
        <v>39123.747255348069</v>
      </c>
      <c r="HP15" s="21">
        <f t="shared" si="22"/>
        <v>39123.747255348069</v>
      </c>
      <c r="HQ15" s="21">
        <f t="shared" si="22"/>
        <v>39123.747255348069</v>
      </c>
      <c r="HR15" s="21">
        <f t="shared" si="22"/>
        <v>39123.747255348069</v>
      </c>
      <c r="HS15" s="21">
        <f t="shared" si="22"/>
        <v>39123.747255348069</v>
      </c>
      <c r="HT15" s="21">
        <f t="shared" si="22"/>
        <v>39123.747255348069</v>
      </c>
      <c r="HU15" s="21">
        <f t="shared" si="22"/>
        <v>39123.747255348069</v>
      </c>
      <c r="HV15" s="21">
        <f t="shared" si="22"/>
        <v>39123.747255348069</v>
      </c>
      <c r="HW15" s="21">
        <f t="shared" si="22"/>
        <v>39123.747255348069</v>
      </c>
      <c r="HX15" s="21">
        <f t="shared" si="22"/>
        <v>39123.747255348069</v>
      </c>
      <c r="HY15" s="21">
        <f t="shared" si="22"/>
        <v>39123.747255348069</v>
      </c>
      <c r="HZ15" s="21">
        <f t="shared" si="22"/>
        <v>39123.747255348069</v>
      </c>
      <c r="IA15" s="21">
        <f t="shared" si="22"/>
        <v>39123.747255348069</v>
      </c>
      <c r="IB15" s="21">
        <f t="shared" si="22"/>
        <v>39123.747255348069</v>
      </c>
      <c r="IC15" s="21">
        <f t="shared" si="22"/>
        <v>39123.747255348069</v>
      </c>
      <c r="ID15" s="21">
        <f t="shared" si="22"/>
        <v>39123.747255348069</v>
      </c>
      <c r="IE15" s="21">
        <f t="shared" si="22"/>
        <v>39123.747255348069</v>
      </c>
      <c r="IF15" s="21">
        <f t="shared" si="22"/>
        <v>39123.747255348069</v>
      </c>
      <c r="IG15" s="21">
        <f t="shared" si="22"/>
        <v>39123.747255348069</v>
      </c>
      <c r="IH15" s="21">
        <f t="shared" si="22"/>
        <v>39123.747255348069</v>
      </c>
      <c r="II15" s="21">
        <f t="shared" si="22"/>
        <v>39123.747255348069</v>
      </c>
      <c r="IJ15" s="21">
        <f t="shared" si="22"/>
        <v>39123.747255348069</v>
      </c>
      <c r="IK15" s="21">
        <f t="shared" si="22"/>
        <v>39123.747255348069</v>
      </c>
      <c r="IL15" s="21">
        <f t="shared" ref="IL15:KW15" si="23">IK15*(1+$BD$5)</f>
        <v>39123.747255348069</v>
      </c>
      <c r="IM15" s="21">
        <f t="shared" si="23"/>
        <v>39123.747255348069</v>
      </c>
      <c r="IN15" s="21">
        <f t="shared" si="23"/>
        <v>39123.747255348069</v>
      </c>
      <c r="IO15" s="21">
        <f t="shared" si="23"/>
        <v>39123.747255348069</v>
      </c>
      <c r="IP15" s="21">
        <f t="shared" si="23"/>
        <v>39123.747255348069</v>
      </c>
      <c r="IQ15" s="21">
        <f t="shared" si="23"/>
        <v>39123.747255348069</v>
      </c>
      <c r="IR15" s="21">
        <f t="shared" si="23"/>
        <v>39123.747255348069</v>
      </c>
      <c r="IS15" s="21">
        <f t="shared" si="23"/>
        <v>39123.747255348069</v>
      </c>
      <c r="IT15" s="21">
        <f t="shared" si="23"/>
        <v>39123.747255348069</v>
      </c>
      <c r="IU15" s="21">
        <f t="shared" si="23"/>
        <v>39123.747255348069</v>
      </c>
      <c r="IV15" s="21">
        <f t="shared" si="23"/>
        <v>39123.747255348069</v>
      </c>
      <c r="IW15" s="21">
        <f t="shared" si="23"/>
        <v>39123.747255348069</v>
      </c>
      <c r="IX15" s="21">
        <f t="shared" si="23"/>
        <v>39123.747255348069</v>
      </c>
      <c r="IY15" s="21">
        <f t="shared" si="23"/>
        <v>39123.747255348069</v>
      </c>
      <c r="IZ15" s="21">
        <f t="shared" si="23"/>
        <v>39123.747255348069</v>
      </c>
      <c r="JA15" s="21">
        <f t="shared" si="23"/>
        <v>39123.747255348069</v>
      </c>
      <c r="JB15" s="21">
        <f t="shared" si="23"/>
        <v>39123.747255348069</v>
      </c>
      <c r="JC15" s="21">
        <f t="shared" si="23"/>
        <v>39123.747255348069</v>
      </c>
      <c r="JD15" s="21">
        <f t="shared" si="23"/>
        <v>39123.747255348069</v>
      </c>
      <c r="JE15" s="21">
        <f t="shared" si="23"/>
        <v>39123.747255348069</v>
      </c>
      <c r="JF15" s="21">
        <f t="shared" si="23"/>
        <v>39123.747255348069</v>
      </c>
      <c r="JG15" s="21">
        <f t="shared" si="23"/>
        <v>39123.747255348069</v>
      </c>
      <c r="JH15" s="21">
        <f t="shared" si="23"/>
        <v>39123.747255348069</v>
      </c>
      <c r="JI15" s="21">
        <f t="shared" si="23"/>
        <v>39123.747255348069</v>
      </c>
      <c r="JJ15" s="21">
        <f t="shared" si="23"/>
        <v>39123.747255348069</v>
      </c>
      <c r="JK15" s="21">
        <f t="shared" si="23"/>
        <v>39123.747255348069</v>
      </c>
      <c r="JL15" s="21">
        <f t="shared" si="23"/>
        <v>39123.747255348069</v>
      </c>
      <c r="JM15" s="21">
        <f t="shared" si="23"/>
        <v>39123.747255348069</v>
      </c>
      <c r="JN15" s="21">
        <f t="shared" si="23"/>
        <v>39123.747255348069</v>
      </c>
      <c r="JO15" s="21">
        <f t="shared" si="23"/>
        <v>39123.747255348069</v>
      </c>
      <c r="JP15" s="21">
        <f t="shared" si="23"/>
        <v>39123.747255348069</v>
      </c>
      <c r="JQ15" s="21">
        <f t="shared" si="23"/>
        <v>39123.747255348069</v>
      </c>
      <c r="JR15" s="21">
        <f t="shared" si="23"/>
        <v>39123.747255348069</v>
      </c>
      <c r="JS15" s="21">
        <f t="shared" si="23"/>
        <v>39123.747255348069</v>
      </c>
      <c r="JT15" s="21">
        <f t="shared" si="23"/>
        <v>39123.747255348069</v>
      </c>
      <c r="JU15" s="21">
        <f t="shared" si="23"/>
        <v>39123.747255348069</v>
      </c>
      <c r="JV15" s="21">
        <f t="shared" si="23"/>
        <v>39123.747255348069</v>
      </c>
      <c r="JW15" s="21">
        <f t="shared" si="23"/>
        <v>39123.747255348069</v>
      </c>
      <c r="JX15" s="21">
        <f t="shared" si="23"/>
        <v>39123.747255348069</v>
      </c>
      <c r="JY15" s="21">
        <f t="shared" si="23"/>
        <v>39123.747255348069</v>
      </c>
      <c r="JZ15" s="21">
        <f t="shared" si="23"/>
        <v>39123.747255348069</v>
      </c>
      <c r="KA15" s="21">
        <f t="shared" si="23"/>
        <v>39123.747255348069</v>
      </c>
      <c r="KB15" s="21">
        <f t="shared" si="23"/>
        <v>39123.747255348069</v>
      </c>
      <c r="KC15" s="21">
        <f t="shared" si="23"/>
        <v>39123.747255348069</v>
      </c>
      <c r="KD15" s="21">
        <f t="shared" si="23"/>
        <v>39123.747255348069</v>
      </c>
      <c r="KE15" s="21">
        <f t="shared" si="23"/>
        <v>39123.747255348069</v>
      </c>
      <c r="KF15" s="21">
        <f t="shared" si="23"/>
        <v>39123.747255348069</v>
      </c>
      <c r="KG15" s="21">
        <f t="shared" si="23"/>
        <v>39123.747255348069</v>
      </c>
      <c r="KH15" s="21">
        <f t="shared" si="23"/>
        <v>39123.747255348069</v>
      </c>
      <c r="KI15" s="21">
        <f t="shared" si="23"/>
        <v>39123.747255348069</v>
      </c>
      <c r="KJ15" s="21">
        <f t="shared" si="23"/>
        <v>39123.747255348069</v>
      </c>
      <c r="KK15" s="21">
        <f t="shared" si="23"/>
        <v>39123.747255348069</v>
      </c>
      <c r="KL15" s="21">
        <f t="shared" si="23"/>
        <v>39123.747255348069</v>
      </c>
      <c r="KM15" s="21">
        <f t="shared" si="23"/>
        <v>39123.747255348069</v>
      </c>
      <c r="KN15" s="21">
        <f t="shared" si="23"/>
        <v>39123.747255348069</v>
      </c>
      <c r="KO15" s="21">
        <f t="shared" si="23"/>
        <v>39123.747255348069</v>
      </c>
      <c r="KP15" s="21">
        <f t="shared" si="23"/>
        <v>39123.747255348069</v>
      </c>
      <c r="KQ15" s="21">
        <f t="shared" si="23"/>
        <v>39123.747255348069</v>
      </c>
      <c r="KR15" s="21">
        <f t="shared" si="23"/>
        <v>39123.747255348069</v>
      </c>
      <c r="KS15" s="21">
        <f t="shared" si="23"/>
        <v>39123.747255348069</v>
      </c>
      <c r="KT15" s="21">
        <f t="shared" si="23"/>
        <v>39123.747255348069</v>
      </c>
      <c r="KU15" s="21">
        <f t="shared" si="23"/>
        <v>39123.747255348069</v>
      </c>
      <c r="KV15" s="21">
        <f t="shared" si="23"/>
        <v>39123.747255348069</v>
      </c>
      <c r="KW15" s="21">
        <f t="shared" si="23"/>
        <v>39123.747255348069</v>
      </c>
      <c r="KX15" s="21">
        <f t="shared" ref="KX15:MD15" si="24">KW15*(1+$BD$5)</f>
        <v>39123.747255348069</v>
      </c>
      <c r="KY15" s="21">
        <f t="shared" si="24"/>
        <v>39123.747255348069</v>
      </c>
      <c r="KZ15" s="21">
        <f t="shared" si="24"/>
        <v>39123.747255348069</v>
      </c>
      <c r="LA15" s="21">
        <f t="shared" si="24"/>
        <v>39123.747255348069</v>
      </c>
      <c r="LB15" s="21">
        <f t="shared" si="24"/>
        <v>39123.747255348069</v>
      </c>
      <c r="LC15" s="21">
        <f t="shared" si="24"/>
        <v>39123.747255348069</v>
      </c>
      <c r="LD15" s="21">
        <f t="shared" si="24"/>
        <v>39123.747255348069</v>
      </c>
      <c r="LE15" s="21">
        <f t="shared" si="24"/>
        <v>39123.747255348069</v>
      </c>
      <c r="LF15" s="21">
        <f t="shared" si="24"/>
        <v>39123.747255348069</v>
      </c>
      <c r="LG15" s="21">
        <f t="shared" si="24"/>
        <v>39123.747255348069</v>
      </c>
      <c r="LH15" s="21">
        <f t="shared" si="24"/>
        <v>39123.747255348069</v>
      </c>
      <c r="LI15" s="21">
        <f t="shared" si="24"/>
        <v>39123.747255348069</v>
      </c>
      <c r="LJ15" s="21">
        <f t="shared" si="24"/>
        <v>39123.747255348069</v>
      </c>
      <c r="LK15" s="21">
        <f t="shared" si="24"/>
        <v>39123.747255348069</v>
      </c>
      <c r="LL15" s="21">
        <f t="shared" si="24"/>
        <v>39123.747255348069</v>
      </c>
      <c r="LM15" s="21">
        <f t="shared" si="24"/>
        <v>39123.747255348069</v>
      </c>
      <c r="LN15" s="21">
        <f t="shared" si="24"/>
        <v>39123.747255348069</v>
      </c>
      <c r="LO15" s="21">
        <f t="shared" si="24"/>
        <v>39123.747255348069</v>
      </c>
      <c r="LP15" s="21">
        <f t="shared" si="24"/>
        <v>39123.747255348069</v>
      </c>
      <c r="LQ15" s="21">
        <f t="shared" si="24"/>
        <v>39123.747255348069</v>
      </c>
      <c r="LR15" s="21">
        <f t="shared" si="24"/>
        <v>39123.747255348069</v>
      </c>
      <c r="LS15" s="21">
        <f t="shared" si="24"/>
        <v>39123.747255348069</v>
      </c>
      <c r="LT15" s="21">
        <f t="shared" si="24"/>
        <v>39123.747255348069</v>
      </c>
      <c r="LU15" s="21">
        <f t="shared" si="24"/>
        <v>39123.747255348069</v>
      </c>
      <c r="LV15" s="21">
        <f t="shared" si="24"/>
        <v>39123.747255348069</v>
      </c>
      <c r="LW15" s="21">
        <f t="shared" si="24"/>
        <v>39123.747255348069</v>
      </c>
      <c r="LX15" s="21">
        <f t="shared" si="24"/>
        <v>39123.747255348069</v>
      </c>
      <c r="LY15" s="21">
        <f t="shared" si="24"/>
        <v>39123.747255348069</v>
      </c>
      <c r="LZ15" s="21">
        <f t="shared" si="24"/>
        <v>39123.747255348069</v>
      </c>
      <c r="MA15" s="21">
        <f t="shared" si="24"/>
        <v>39123.747255348069</v>
      </c>
      <c r="MB15" s="21">
        <f t="shared" si="24"/>
        <v>39123.747255348069</v>
      </c>
      <c r="MC15" s="21">
        <f t="shared" si="24"/>
        <v>39123.747255348069</v>
      </c>
      <c r="MD15" s="21">
        <f t="shared" si="24"/>
        <v>39123.747255348069</v>
      </c>
    </row>
    <row r="16" spans="2:342" x14ac:dyDescent="0.25">
      <c r="B16" s="2" t="s">
        <v>269</v>
      </c>
      <c r="C16" s="9" t="e">
        <f t="shared" ref="C16:S16" si="25">C15/C17</f>
        <v>#REF!</v>
      </c>
      <c r="D16" s="9" t="e">
        <f t="shared" si="25"/>
        <v>#REF!</v>
      </c>
      <c r="E16" s="9" t="e">
        <f t="shared" si="25"/>
        <v>#REF!</v>
      </c>
      <c r="F16" s="9" t="e">
        <f t="shared" si="25"/>
        <v>#REF!</v>
      </c>
      <c r="G16" s="9" t="e">
        <f t="shared" si="25"/>
        <v>#REF!</v>
      </c>
      <c r="H16" s="9" t="e">
        <f t="shared" si="25"/>
        <v>#REF!</v>
      </c>
      <c r="I16" s="9" t="e">
        <f t="shared" si="25"/>
        <v>#REF!</v>
      </c>
      <c r="J16" s="9" t="e">
        <f t="shared" si="25"/>
        <v>#REF!</v>
      </c>
      <c r="K16" s="9" t="e">
        <f t="shared" si="25"/>
        <v>#REF!</v>
      </c>
      <c r="L16" s="9" t="e">
        <f t="shared" si="25"/>
        <v>#REF!</v>
      </c>
      <c r="M16" s="9" t="e">
        <f t="shared" si="25"/>
        <v>#REF!</v>
      </c>
      <c r="N16" s="9">
        <f t="shared" si="25"/>
        <v>-0.30143805309734512</v>
      </c>
      <c r="O16" s="9" t="e">
        <f t="shared" si="25"/>
        <v>#REF!</v>
      </c>
      <c r="P16" s="9" t="e">
        <f t="shared" si="25"/>
        <v>#REF!</v>
      </c>
      <c r="Q16" s="9" t="e">
        <f t="shared" si="25"/>
        <v>#REF!</v>
      </c>
      <c r="R16" s="9" t="e">
        <f t="shared" si="25"/>
        <v>#REF!</v>
      </c>
      <c r="S16" s="9" t="e">
        <f t="shared" si="25"/>
        <v>#REF!</v>
      </c>
      <c r="AF16" s="2">
        <f>AF15+AF8</f>
        <v>10292</v>
      </c>
      <c r="AG16" s="2">
        <f t="shared" ref="AG16:BA16" si="26">AG15+AG8</f>
        <v>11206</v>
      </c>
      <c r="AH16" s="2">
        <f t="shared" si="26"/>
        <v>12317</v>
      </c>
      <c r="AI16" s="269">
        <f>AI15+AI8</f>
        <v>12148</v>
      </c>
      <c r="AJ16" s="184">
        <f>AJ15+AJ8</f>
        <v>16077</v>
      </c>
      <c r="AK16" s="184">
        <f>AK15+AK8</f>
        <v>15064</v>
      </c>
      <c r="AL16" s="184">
        <f>AL15+AL8</f>
        <v>2903</v>
      </c>
      <c r="AM16" s="184">
        <f>AM15+AM8</f>
        <v>7647</v>
      </c>
      <c r="AN16" s="184">
        <f>AN15+AN8</f>
        <v>13049.183199999999</v>
      </c>
      <c r="AO16" s="184">
        <f t="shared" si="26"/>
        <v>16585.211681920009</v>
      </c>
      <c r="AP16" s="184">
        <f t="shared" si="26"/>
        <v>21212.688282855564</v>
      </c>
      <c r="AQ16" s="184">
        <f t="shared" si="26"/>
        <v>24704.088302410579</v>
      </c>
      <c r="AR16" s="184">
        <f t="shared" si="26"/>
        <v>27035.564883904146</v>
      </c>
      <c r="AS16" s="184">
        <f t="shared" si="26"/>
        <v>29544.259432239509</v>
      </c>
      <c r="AT16" s="184">
        <f t="shared" si="26"/>
        <v>32242.589691617926</v>
      </c>
      <c r="AU16" s="184">
        <f t="shared" si="26"/>
        <v>35143.744634398754</v>
      </c>
      <c r="AV16" s="184">
        <f t="shared" si="26"/>
        <v>38261.709044798605</v>
      </c>
      <c r="AW16" s="184">
        <f t="shared" si="26"/>
        <v>41611.282623502681</v>
      </c>
      <c r="AX16" s="184">
        <f t="shared" si="26"/>
        <v>45208.091626417372</v>
      </c>
      <c r="AY16" s="184">
        <f t="shared" si="26"/>
        <v>49068.59057259962</v>
      </c>
      <c r="AZ16" s="184">
        <f t="shared" si="26"/>
        <v>53210.050974929298</v>
      </c>
      <c r="BA16" s="184">
        <f t="shared" si="26"/>
        <v>57650.533340949376</v>
      </c>
      <c r="BB16">
        <f>BA19+(BA19*(1+BF19)/(BF20-BF19))</f>
        <v>839727.96113236493</v>
      </c>
      <c r="BD16" s="181">
        <f>NPV(BF20,AM19:AZ19,BB16)</f>
        <v>374939.11703522253</v>
      </c>
    </row>
    <row r="17" spans="2:58" x14ac:dyDescent="0.25">
      <c r="B17" s="2" t="s">
        <v>239</v>
      </c>
      <c r="C17" s="1">
        <v>1521</v>
      </c>
      <c r="D17" s="1">
        <v>1510</v>
      </c>
      <c r="E17" s="1">
        <v>1498</v>
      </c>
      <c r="F17" s="1">
        <v>1507</v>
      </c>
      <c r="G17" s="1">
        <v>1498</v>
      </c>
      <c r="H17" s="1">
        <v>1537</v>
      </c>
      <c r="I17" s="1">
        <v>1814</v>
      </c>
      <c r="J17" s="1">
        <v>1666</v>
      </c>
      <c r="K17" s="1">
        <v>1817</v>
      </c>
      <c r="L17" s="1">
        <v>1816</v>
      </c>
      <c r="M17" s="1">
        <v>1809</v>
      </c>
      <c r="N17" s="1">
        <v>1808</v>
      </c>
      <c r="O17" s="1">
        <v>1823</v>
      </c>
      <c r="P17" s="1">
        <v>1829</v>
      </c>
      <c r="Q17" s="1">
        <v>1830</v>
      </c>
      <c r="R17" s="1">
        <v>1820</v>
      </c>
      <c r="S17" s="1">
        <v>1820</v>
      </c>
      <c r="AI17" s="263">
        <v>3623</v>
      </c>
      <c r="AJ17">
        <v>4465</v>
      </c>
      <c r="AK17" s="117">
        <v>4876</v>
      </c>
      <c r="AL17" s="117">
        <v>4022</v>
      </c>
      <c r="AM17" s="117">
        <v>3578</v>
      </c>
      <c r="AN17" s="117">
        <f>AN18*AN5</f>
        <v>5485.5745198944687</v>
      </c>
      <c r="AO17" s="117">
        <f>AO18*AO5</f>
        <v>6022.715827674996</v>
      </c>
      <c r="AP17" s="117">
        <f t="shared" ref="AP17:BA17" si="27">AP18*AP5</f>
        <v>6417.8826543340028</v>
      </c>
      <c r="AQ17" s="117">
        <f t="shared" si="27"/>
        <v>6711.9544764487973</v>
      </c>
      <c r="AR17" s="117">
        <f t="shared" si="27"/>
        <v>7047.7143506000766</v>
      </c>
      <c r="AS17" s="117">
        <f t="shared" si="27"/>
        <v>7603.3047438810945</v>
      </c>
      <c r="AT17" s="117">
        <f t="shared" si="27"/>
        <v>7935.8332968518516</v>
      </c>
      <c r="AU17" s="117">
        <f t="shared" si="27"/>
        <v>8275.8692428705999</v>
      </c>
      <c r="AV17" s="117">
        <f t="shared" si="27"/>
        <v>8674.7158313857362</v>
      </c>
      <c r="AW17" s="117">
        <f t="shared" si="27"/>
        <v>9131.2097607535306</v>
      </c>
      <c r="AX17" s="117">
        <f t="shared" si="27"/>
        <v>9616.4020430275668</v>
      </c>
      <c r="AY17" s="117">
        <f t="shared" si="27"/>
        <v>10078.835465891045</v>
      </c>
      <c r="AZ17" s="117">
        <f t="shared" si="27"/>
        <v>10572.377565855139</v>
      </c>
      <c r="BA17" s="117">
        <f t="shared" si="27"/>
        <v>11103.104474026792</v>
      </c>
      <c r="BD17">
        <f>(BD16-BC26)/1817</f>
        <v>188.4194370034246</v>
      </c>
    </row>
    <row r="18" spans="2:58" x14ac:dyDescent="0.25">
      <c r="B18" s="2" t="s">
        <v>259</v>
      </c>
      <c r="C18" s="1"/>
      <c r="AF18" s="38"/>
      <c r="AG18" s="147"/>
      <c r="AH18" s="147"/>
      <c r="AI18" s="270">
        <f>AI17/AI5</f>
        <v>6.5709051997751053E-2</v>
      </c>
      <c r="AJ18" s="185">
        <f t="shared" ref="AJ18:AM18" si="28">AJ17/AJ5</f>
        <v>7.5125349126762456E-2</v>
      </c>
      <c r="AK18" s="185">
        <f t="shared" si="28"/>
        <v>7.0050425962906032E-2</v>
      </c>
      <c r="AL18" s="185">
        <f t="shared" si="28"/>
        <v>6.1509757141983236E-2</v>
      </c>
      <c r="AM18" s="185">
        <f t="shared" si="28"/>
        <v>5.3071879913376252E-2</v>
      </c>
      <c r="AN18" s="185">
        <f>AVERAGE(AI18:AM18)</f>
        <v>6.5093292828555804E-2</v>
      </c>
      <c r="AO18" s="185">
        <f t="shared" ref="AO18:BA18" si="29">AVERAGE(AJ18:AN18)</f>
        <v>6.4970140994716763E-2</v>
      </c>
      <c r="AP18" s="185">
        <f t="shared" si="29"/>
        <v>6.2939099368307619E-2</v>
      </c>
      <c r="AQ18" s="185">
        <f t="shared" si="29"/>
        <v>6.1516834049387938E-2</v>
      </c>
      <c r="AR18" s="185">
        <f t="shared" si="29"/>
        <v>6.1518249430868879E-2</v>
      </c>
      <c r="AS18" s="185">
        <f t="shared" si="29"/>
        <v>6.3207523334367396E-2</v>
      </c>
      <c r="AT18" s="185">
        <f t="shared" si="29"/>
        <v>6.283036943552972E-2</v>
      </c>
      <c r="AU18" s="185">
        <f t="shared" si="29"/>
        <v>6.2402415123692309E-2</v>
      </c>
      <c r="AV18" s="185">
        <f t="shared" si="29"/>
        <v>6.2295078274769253E-2</v>
      </c>
      <c r="AW18" s="185">
        <f t="shared" si="29"/>
        <v>6.245072711984552E-2</v>
      </c>
      <c r="AX18" s="185">
        <f t="shared" si="29"/>
        <v>6.2637222657640851E-2</v>
      </c>
      <c r="AY18" s="185">
        <f t="shared" si="29"/>
        <v>6.2523162522295533E-2</v>
      </c>
      <c r="AZ18" s="185">
        <f t="shared" si="29"/>
        <v>6.2461721139648693E-2</v>
      </c>
      <c r="BA18" s="185">
        <f t="shared" si="29"/>
        <v>6.2473582342839971E-2</v>
      </c>
      <c r="BC18" s="13" t="s">
        <v>233</v>
      </c>
    </row>
    <row r="19" spans="2:58" s="13" customFormat="1" x14ac:dyDescent="0.25">
      <c r="B19" s="5" t="s">
        <v>258</v>
      </c>
      <c r="C19" s="11"/>
      <c r="D19" s="11"/>
      <c r="E19" s="11"/>
      <c r="F19" s="11"/>
      <c r="G19" s="11"/>
      <c r="H19" s="11"/>
      <c r="I19" s="11"/>
      <c r="J19" s="11"/>
      <c r="K19" s="11"/>
      <c r="L19" s="11"/>
      <c r="M19" s="11"/>
      <c r="N19" s="11"/>
      <c r="O19" s="11"/>
      <c r="P19" s="11"/>
      <c r="Q19" s="11"/>
      <c r="R19" s="11"/>
      <c r="S19" s="11"/>
      <c r="AF19" s="143"/>
      <c r="AG19" s="143"/>
      <c r="AH19" s="143"/>
      <c r="AI19" s="271">
        <f>AI16-AI17-AI33</f>
        <v>12231</v>
      </c>
      <c r="AJ19" s="186">
        <f>AJ16-AJ17-AJ34</f>
        <v>8941</v>
      </c>
      <c r="AK19" s="186">
        <f>AK16-AK17+AK34</f>
        <v>8006</v>
      </c>
      <c r="AL19" s="186">
        <f>AL16-AL17-AL34</f>
        <v>-12959</v>
      </c>
      <c r="AM19" s="186">
        <f>AM16-AM17+AM34</f>
        <v>-1974</v>
      </c>
      <c r="AN19" s="186">
        <f>AN16-AN17-AN34</f>
        <v>6918.6086801055308</v>
      </c>
      <c r="AO19" s="186">
        <f t="shared" ref="AK19:BA19" si="30">AO16-AO17-AO34</f>
        <v>10239.995854245013</v>
      </c>
      <c r="AP19" s="186">
        <f t="shared" si="30"/>
        <v>14440.055628521561</v>
      </c>
      <c r="AQ19" s="186">
        <f t="shared" si="30"/>
        <v>17718.976325961779</v>
      </c>
      <c r="AR19" s="186">
        <f t="shared" si="30"/>
        <v>19779.08015830407</v>
      </c>
      <c r="AS19" s="186">
        <f t="shared" si="30"/>
        <v>21721.745794608414</v>
      </c>
      <c r="AT19" s="186">
        <f t="shared" si="30"/>
        <v>24076.587056328572</v>
      </c>
      <c r="AU19" s="186">
        <f t="shared" si="30"/>
        <v>26626.197586168782</v>
      </c>
      <c r="AV19" s="186">
        <f t="shared" si="30"/>
        <v>29333.23151778552</v>
      </c>
      <c r="AW19" s="186">
        <f t="shared" si="30"/>
        <v>32213.623082340433</v>
      </c>
      <c r="AX19" s="186">
        <f t="shared" si="30"/>
        <v>35311.917313960657</v>
      </c>
      <c r="AY19" s="186">
        <f t="shared" si="30"/>
        <v>38695.994223807968</v>
      </c>
      <c r="AZ19" s="186">
        <f t="shared" si="30"/>
        <v>42329.22448202852</v>
      </c>
      <c r="BA19" s="186">
        <f t="shared" si="30"/>
        <v>46223.557493524677</v>
      </c>
      <c r="BF19" s="152">
        <v>0.03</v>
      </c>
    </row>
    <row r="20" spans="2:58" s="13" customFormat="1" x14ac:dyDescent="0.25">
      <c r="B20" s="5" t="s">
        <v>39</v>
      </c>
      <c r="C20" s="11"/>
      <c r="D20" s="11"/>
      <c r="E20" s="11"/>
      <c r="F20" s="11"/>
      <c r="G20" s="12">
        <f t="shared" ref="G20:Q21" si="31">G5/C5-1</f>
        <v>-3.1268321282000855E-3</v>
      </c>
      <c r="H20" s="12">
        <f t="shared" si="31"/>
        <v>2.5708001099807642E-2</v>
      </c>
      <c r="I20" s="12">
        <f t="shared" si="31"/>
        <v>0.32937159366997171</v>
      </c>
      <c r="J20" s="12">
        <f t="shared" si="31"/>
        <v>0.33769047951908293</v>
      </c>
      <c r="K20" s="12">
        <f t="shared" si="31"/>
        <v>0.36300071881330465</v>
      </c>
      <c r="L20" s="12">
        <f t="shared" si="31"/>
        <v>0.20794799624715177</v>
      </c>
      <c r="M20" s="12">
        <f t="shared" si="31"/>
        <v>-0.4181773277352433</v>
      </c>
      <c r="N20" s="12">
        <f t="shared" si="31"/>
        <v>-0.23049589799864134</v>
      </c>
      <c r="O20" s="12">
        <f t="shared" si="31"/>
        <v>-0.22097037108064055</v>
      </c>
      <c r="P20" s="12">
        <f t="shared" si="31"/>
        <v>-0.13381414701803052</v>
      </c>
      <c r="Q20" s="12">
        <f t="shared" si="31"/>
        <v>0.44511418626368959</v>
      </c>
      <c r="R20" s="12">
        <f>R5/N5 -1</f>
        <v>0.25859024853999735</v>
      </c>
      <c r="S20" s="12">
        <f>S5/O5 -1</f>
        <v>0.34279032555849587</v>
      </c>
      <c r="AB20" s="18">
        <f>AB5/AA5-1</f>
        <v>5.2947522753049814E-2</v>
      </c>
      <c r="AC20" s="18">
        <f t="shared" ref="AC20:AF21" si="32">AC5/AB5-1</f>
        <v>7.4350419042114479E-2</v>
      </c>
      <c r="AD20" s="18">
        <f t="shared" si="32"/>
        <v>3.3868877313965706E-2</v>
      </c>
      <c r="AE20" s="18">
        <f t="shared" si="32"/>
        <v>6.5353138748285078E-2</v>
      </c>
      <c r="AF20" s="18">
        <f t="shared" si="32"/>
        <v>8.3745920383650363E-2</v>
      </c>
      <c r="AG20" s="145">
        <f t="shared" ref="AG20:AL21" si="33">AG5/AF5-1</f>
        <v>7.8503677299080143E-2</v>
      </c>
      <c r="AH20" s="145">
        <f t="shared" si="33"/>
        <v>5.6738531674423109E-2</v>
      </c>
      <c r="AI20" s="272">
        <f t="shared" si="33"/>
        <v>-8.8977566867989299E-3</v>
      </c>
      <c r="AJ20" s="145">
        <f t="shared" si="33"/>
        <v>7.7933148339590419E-2</v>
      </c>
      <c r="AK20" s="145">
        <f t="shared" si="33"/>
        <v>0.1711646532287916</v>
      </c>
      <c r="AL20" s="145">
        <f t="shared" si="33"/>
        <v>-6.0611720085623544E-2</v>
      </c>
      <c r="AM20" s="146">
        <f t="shared" ref="AM20:BA20" si="34">AM5/AL5 -1</f>
        <v>3.1045451764849741E-2</v>
      </c>
      <c r="AN20" s="17">
        <f t="shared" si="34"/>
        <v>0.25</v>
      </c>
      <c r="AO20" s="17">
        <f t="shared" si="34"/>
        <v>0.10000000000000009</v>
      </c>
      <c r="AP20" s="17">
        <f t="shared" si="34"/>
        <v>0.10000000000000009</v>
      </c>
      <c r="AQ20" s="17">
        <f t="shared" si="34"/>
        <v>7.0000000000000062E-2</v>
      </c>
      <c r="AR20" s="17">
        <f t="shared" si="34"/>
        <v>5.0000000000000044E-2</v>
      </c>
      <c r="AS20" s="17">
        <f t="shared" si="34"/>
        <v>5.0000000000000044E-2</v>
      </c>
      <c r="AT20" s="17">
        <f t="shared" si="34"/>
        <v>5.0000000000000044E-2</v>
      </c>
      <c r="AU20" s="17">
        <f t="shared" si="34"/>
        <v>5.0000000000000044E-2</v>
      </c>
      <c r="AV20" s="17">
        <f t="shared" si="34"/>
        <v>5.0000000000000044E-2</v>
      </c>
      <c r="AW20" s="17">
        <f t="shared" si="34"/>
        <v>5.0000000000000044E-2</v>
      </c>
      <c r="AX20" s="17">
        <f t="shared" si="34"/>
        <v>5.0000000000000044E-2</v>
      </c>
      <c r="AY20" s="17">
        <f t="shared" si="34"/>
        <v>5.0000000000000044E-2</v>
      </c>
      <c r="AZ20" s="17">
        <f t="shared" si="34"/>
        <v>5.0000000000000044E-2</v>
      </c>
      <c r="BA20" s="17">
        <f t="shared" si="34"/>
        <v>5.0000000000000044E-2</v>
      </c>
      <c r="BC20" s="13" t="s">
        <v>234</v>
      </c>
      <c r="BD20" s="152">
        <f>AVERAGE(AG20:AM20)</f>
        <v>4.9410855076330362E-2</v>
      </c>
      <c r="BF20" s="152">
        <v>0.09</v>
      </c>
    </row>
    <row r="21" spans="2:58" s="13" customFormat="1" x14ac:dyDescent="0.25">
      <c r="B21" s="5" t="s">
        <v>40</v>
      </c>
      <c r="C21" s="11"/>
      <c r="D21" s="11"/>
      <c r="E21" s="11"/>
      <c r="F21" s="11"/>
      <c r="G21" s="12" t="e">
        <f t="shared" si="31"/>
        <v>#REF!</v>
      </c>
      <c r="H21" s="12" t="e">
        <f t="shared" si="31"/>
        <v>#REF!</v>
      </c>
      <c r="I21" s="12" t="e">
        <f t="shared" si="31"/>
        <v>#REF!</v>
      </c>
      <c r="J21" s="12" t="e">
        <f t="shared" si="31"/>
        <v>#REF!</v>
      </c>
      <c r="K21" s="12" t="e">
        <f t="shared" si="31"/>
        <v>#REF!</v>
      </c>
      <c r="L21" s="12" t="e">
        <f t="shared" si="31"/>
        <v>#REF!</v>
      </c>
      <c r="M21" s="12" t="e">
        <f t="shared" si="31"/>
        <v>#REF!</v>
      </c>
      <c r="N21" s="12" t="e">
        <f t="shared" si="31"/>
        <v>#REF!</v>
      </c>
      <c r="O21" s="12" t="e">
        <f t="shared" si="31"/>
        <v>#REF!</v>
      </c>
      <c r="P21" s="12" t="e">
        <f t="shared" si="31"/>
        <v>#REF!</v>
      </c>
      <c r="Q21" s="12" t="e">
        <f t="shared" si="31"/>
        <v>#REF!</v>
      </c>
      <c r="R21" s="12" t="e">
        <f>R6/N6-1</f>
        <v>#REF!</v>
      </c>
      <c r="S21" s="12" t="e">
        <f>S6/O6-1</f>
        <v>#REF!</v>
      </c>
      <c r="AB21" s="18">
        <f>AB6/AA6-1</f>
        <v>2.9062130566136934E-2</v>
      </c>
      <c r="AC21" s="18">
        <f t="shared" si="32"/>
        <v>5.6642307815042869E-2</v>
      </c>
      <c r="AD21" s="155">
        <f t="shared" si="32"/>
        <v>-0.29125392606909883</v>
      </c>
      <c r="AE21" s="18">
        <f t="shared" si="32"/>
        <v>6.6729163115732071E-2</v>
      </c>
      <c r="AF21" s="18">
        <f t="shared" si="32"/>
        <v>5.5364704002556442E-2</v>
      </c>
      <c r="AG21" s="145">
        <f t="shared" si="33"/>
        <v>7.3580620741862335E-2</v>
      </c>
      <c r="AH21" s="145">
        <f t="shared" si="33"/>
        <v>5.7431956000564055E-2</v>
      </c>
      <c r="AI21" s="272">
        <f t="shared" si="33"/>
        <v>1.0435768345947283E-2</v>
      </c>
      <c r="AJ21" s="145">
        <f t="shared" si="33"/>
        <v>7.9852174486900296E-2</v>
      </c>
      <c r="AK21" s="145">
        <f t="shared" si="33"/>
        <v>0.28524720405793569</v>
      </c>
      <c r="AL21" s="145">
        <f t="shared" si="33"/>
        <v>4.3246713107153889E-2</v>
      </c>
      <c r="AM21" s="145">
        <f t="shared" ref="AM21:BA21" si="35">AM6/AL6-1</f>
        <v>2.8509571558796631E-2</v>
      </c>
      <c r="AN21" s="18">
        <f t="shared" si="35"/>
        <v>0.22999999999999998</v>
      </c>
      <c r="AO21" s="18">
        <f t="shared" si="35"/>
        <v>8.0000000000000071E-2</v>
      </c>
      <c r="AP21" s="18">
        <f t="shared" si="35"/>
        <v>7.0000000000000062E-2</v>
      </c>
      <c r="AQ21" s="18">
        <f t="shared" si="35"/>
        <v>5.0000000000000044E-2</v>
      </c>
      <c r="AR21" s="18">
        <f t="shared" si="35"/>
        <v>4.0000000000000036E-2</v>
      </c>
      <c r="AS21" s="18">
        <f t="shared" si="35"/>
        <v>4.0000000000000036E-2</v>
      </c>
      <c r="AT21" s="18">
        <f t="shared" si="35"/>
        <v>4.0000000000000036E-2</v>
      </c>
      <c r="AU21" s="18">
        <f t="shared" si="35"/>
        <v>4.0000000000000036E-2</v>
      </c>
      <c r="AV21" s="18">
        <f t="shared" si="35"/>
        <v>4.0000000000000036E-2</v>
      </c>
      <c r="AW21" s="18">
        <f t="shared" si="35"/>
        <v>4.0000000000000036E-2</v>
      </c>
      <c r="AX21" s="18">
        <f t="shared" si="35"/>
        <v>4.0000000000000036E-2</v>
      </c>
      <c r="AY21" s="18">
        <f t="shared" si="35"/>
        <v>4.0000000000000036E-2</v>
      </c>
      <c r="AZ21" s="18">
        <f t="shared" si="35"/>
        <v>4.0000000000000036E-2</v>
      </c>
      <c r="BA21" s="18">
        <f t="shared" si="35"/>
        <v>4.0000000000000036E-2</v>
      </c>
      <c r="BC21" s="13" t="s">
        <v>236</v>
      </c>
      <c r="BD21" s="152">
        <v>0.03</v>
      </c>
    </row>
    <row r="22" spans="2:58" s="13" customFormat="1" x14ac:dyDescent="0.25">
      <c r="B22" s="5" t="s">
        <v>42</v>
      </c>
      <c r="C22" s="11"/>
      <c r="D22" s="11"/>
      <c r="E22" s="11"/>
      <c r="F22" s="11"/>
      <c r="G22" s="12" t="e">
        <f>G15/C15-1</f>
        <v>#REF!</v>
      </c>
      <c r="H22" s="12" t="e">
        <f>H15/D15-1</f>
        <v>#REF!</v>
      </c>
      <c r="I22" s="12" t="e">
        <f>I15/E15-1</f>
        <v>#REF!</v>
      </c>
      <c r="J22" s="12" t="e">
        <f t="shared" ref="J22:R22" si="36">J15/F15-1</f>
        <v>#REF!</v>
      </c>
      <c r="K22" s="12" t="e">
        <f t="shared" si="36"/>
        <v>#REF!</v>
      </c>
      <c r="L22" s="12" t="e">
        <f t="shared" si="36"/>
        <v>#REF!</v>
      </c>
      <c r="M22" s="12" t="e">
        <f>M15/I15-1</f>
        <v>#REF!</v>
      </c>
      <c r="N22" s="12" t="e">
        <f t="shared" si="36"/>
        <v>#REF!</v>
      </c>
      <c r="O22" s="12" t="e">
        <f t="shared" si="36"/>
        <v>#REF!</v>
      </c>
      <c r="P22" s="12" t="e">
        <f t="shared" si="36"/>
        <v>#REF!</v>
      </c>
      <c r="Q22" s="12" t="e">
        <f t="shared" si="36"/>
        <v>#REF!</v>
      </c>
      <c r="R22" s="12" t="e">
        <f t="shared" si="36"/>
        <v>#REF!</v>
      </c>
      <c r="S22" s="12" t="e">
        <f>S15/O15-1</f>
        <v>#REF!</v>
      </c>
      <c r="Y22" s="18">
        <f>Y15/X15-1</f>
        <v>0.39116719242902209</v>
      </c>
      <c r="Z22" s="18">
        <f t="shared" ref="Z22:AC22" si="37">Z15/Y15-1</f>
        <v>-2.5149453720882287E-2</v>
      </c>
      <c r="AA22" s="18">
        <f t="shared" si="37"/>
        <v>-0.23683654049481917</v>
      </c>
      <c r="AB22" s="18">
        <f t="shared" si="37"/>
        <v>0.19506788584095314</v>
      </c>
      <c r="AC22" s="18">
        <f t="shared" si="37"/>
        <v>0.21910503130071879</v>
      </c>
      <c r="AD22" s="18">
        <f>AD15/AC15-1</f>
        <v>0.17402054012932666</v>
      </c>
      <c r="AE22" s="18">
        <f t="shared" ref="AE22:AF22" si="38">AE15/AD15-1</f>
        <v>7.5004049894702662E-2</v>
      </c>
      <c r="AF22" s="18">
        <f t="shared" si="38"/>
        <v>0.20614828209764924</v>
      </c>
      <c r="AG22" s="145">
        <f>AG15/AF15-1</f>
        <v>0.10594702648675658</v>
      </c>
      <c r="AH22" s="145">
        <f t="shared" ref="AH22:AL22" si="39">AH15/AG15-1</f>
        <v>0.10596475372797109</v>
      </c>
      <c r="AI22" s="272">
        <f t="shared" si="39"/>
        <v>-4.3309499489274761E-2</v>
      </c>
      <c r="AJ22" s="145">
        <f t="shared" si="39"/>
        <v>0.39504591074097806</v>
      </c>
      <c r="AK22" s="145">
        <f t="shared" si="39"/>
        <v>-0.166003367518751</v>
      </c>
      <c r="AL22" s="145">
        <f t="shared" si="39"/>
        <v>-1.2240983756997339</v>
      </c>
      <c r="AM22" s="145">
        <f>(AM15/AL15-1)/-1</f>
        <v>2.0384930384930384</v>
      </c>
      <c r="AN22" s="18">
        <f>AN15/AM15-1</f>
        <v>2.0294294952681384</v>
      </c>
      <c r="AO22" s="18">
        <f t="shared" ref="AO22:BA22" si="40">AO15/AN15-1</f>
        <v>0.39040956451233555</v>
      </c>
      <c r="AP22" s="18">
        <f t="shared" si="40"/>
        <v>0.377939859162296</v>
      </c>
      <c r="AQ22" s="18">
        <f t="shared" si="40"/>
        <v>0.19308485893405192</v>
      </c>
      <c r="AR22" s="18">
        <f t="shared" si="40"/>
        <v>9.2088685987435248E-2</v>
      </c>
      <c r="AS22" s="18">
        <f t="shared" si="40"/>
        <v>8.9839509556487451E-2</v>
      </c>
      <c r="AT22" s="18">
        <f t="shared" si="40"/>
        <v>8.7747425255917388E-2</v>
      </c>
      <c r="AU22" s="18">
        <f t="shared" si="40"/>
        <v>8.5788516750866961E-2</v>
      </c>
      <c r="AV22" s="18">
        <f t="shared" si="40"/>
        <v>8.394181514765231E-2</v>
      </c>
      <c r="AW22" s="18">
        <f t="shared" si="40"/>
        <v>8.2188625958129702E-2</v>
      </c>
      <c r="AX22" s="18">
        <f t="shared" si="40"/>
        <v>8.0511979394763733E-2</v>
      </c>
      <c r="AY22" s="18">
        <f t="shared" si="40"/>
        <v>7.889616958184642E-2</v>
      </c>
      <c r="AZ22" s="18">
        <f t="shared" si="40"/>
        <v>7.7326356440123645E-2</v>
      </c>
      <c r="BA22" s="18">
        <f t="shared" si="40"/>
        <v>7.5788209485156965E-2</v>
      </c>
      <c r="BC22" s="13" t="s">
        <v>232</v>
      </c>
      <c r="BD22" s="150">
        <v>4.5600000000000002E-2</v>
      </c>
    </row>
    <row r="23" spans="2:58" s="13" customFormat="1" x14ac:dyDescent="0.25">
      <c r="B23" s="5"/>
      <c r="C23" s="11"/>
      <c r="D23" s="11"/>
      <c r="E23" s="11"/>
      <c r="F23" s="11"/>
      <c r="G23" s="11"/>
      <c r="H23" s="11"/>
      <c r="I23" s="11"/>
      <c r="J23" s="11"/>
      <c r="K23" s="11"/>
      <c r="L23" s="11"/>
      <c r="M23" s="11"/>
      <c r="N23" s="11"/>
      <c r="O23" s="11"/>
      <c r="P23" s="11"/>
      <c r="Q23" s="11"/>
      <c r="R23" s="11"/>
      <c r="S23" s="11"/>
      <c r="AI23" s="273"/>
      <c r="AK23" s="14"/>
      <c r="AL23" s="14"/>
      <c r="AM23" s="14"/>
      <c r="AN23" s="143"/>
      <c r="AO23" s="143"/>
      <c r="AP23" s="143"/>
      <c r="AQ23" s="143"/>
      <c r="AR23" s="143"/>
      <c r="AS23" s="143"/>
      <c r="AT23" s="143"/>
      <c r="AU23" s="143"/>
      <c r="AV23" s="143"/>
      <c r="AW23" s="143"/>
      <c r="AX23" s="143"/>
      <c r="AY23" s="143"/>
      <c r="AZ23" s="143"/>
      <c r="BA23" s="143"/>
    </row>
    <row r="24" spans="2:58" x14ac:dyDescent="0.25">
      <c r="B24" s="16" t="s">
        <v>21</v>
      </c>
      <c r="C24" s="6" t="e">
        <f t="shared" ref="C24:S24" si="41">C7/C5</f>
        <v>#REF!</v>
      </c>
      <c r="D24" s="6" t="e">
        <f t="shared" si="41"/>
        <v>#REF!</v>
      </c>
      <c r="E24" s="6" t="e">
        <f t="shared" si="41"/>
        <v>#REF!</v>
      </c>
      <c r="F24" s="6" t="e">
        <f t="shared" si="41"/>
        <v>#REF!</v>
      </c>
      <c r="G24" s="6" t="e">
        <f t="shared" si="41"/>
        <v>#REF!</v>
      </c>
      <c r="H24" s="6" t="e">
        <f t="shared" si="41"/>
        <v>#REF!</v>
      </c>
      <c r="I24" s="6" t="e">
        <f t="shared" si="41"/>
        <v>#REF!</v>
      </c>
      <c r="J24" s="6" t="e">
        <f t="shared" si="41"/>
        <v>#REF!</v>
      </c>
      <c r="K24" s="6" t="e">
        <f t="shared" si="41"/>
        <v>#REF!</v>
      </c>
      <c r="L24" s="6" t="e">
        <f t="shared" si="41"/>
        <v>#REF!</v>
      </c>
      <c r="M24" s="6" t="e">
        <f t="shared" si="41"/>
        <v>#REF!</v>
      </c>
      <c r="N24" s="6" t="e">
        <f t="shared" si="41"/>
        <v>#REF!</v>
      </c>
      <c r="O24" s="6" t="e">
        <f t="shared" si="41"/>
        <v>#REF!</v>
      </c>
      <c r="P24" s="6" t="e">
        <f t="shared" si="41"/>
        <v>#REF!</v>
      </c>
      <c r="Q24" s="6" t="e">
        <f t="shared" si="41"/>
        <v>#REF!</v>
      </c>
      <c r="R24" s="6" t="e">
        <f t="shared" si="41"/>
        <v>#REF!</v>
      </c>
      <c r="S24" s="6" t="e">
        <f t="shared" si="41"/>
        <v>#REF!</v>
      </c>
      <c r="AF24" s="6">
        <f t="shared" ref="AF24:BA24" si="42">AF7/AF5</f>
        <v>0.45875074263003707</v>
      </c>
      <c r="AG24" s="6">
        <f t="shared" si="42"/>
        <v>0.46122138854592076</v>
      </c>
      <c r="AH24" s="6">
        <f t="shared" si="42"/>
        <v>0.4608678458441185</v>
      </c>
      <c r="AI24" s="274">
        <f t="shared" si="42"/>
        <v>0.45035094401218784</v>
      </c>
      <c r="AJ24" s="6">
        <f t="shared" si="42"/>
        <v>0.44937241309688059</v>
      </c>
      <c r="AK24" s="6">
        <f t="shared" si="42"/>
        <v>0.39573606102834485</v>
      </c>
      <c r="AL24" s="6">
        <f t="shared" si="42"/>
        <v>0.32892885544748274</v>
      </c>
      <c r="AM24" s="6">
        <f t="shared" si="42"/>
        <v>0.33057937049452668</v>
      </c>
      <c r="AN24" s="6">
        <f t="shared" si="42"/>
        <v>0.3412901005666143</v>
      </c>
      <c r="AO24" s="6">
        <f t="shared" si="42"/>
        <v>0.35326664419267589</v>
      </c>
      <c r="AP24" s="6">
        <f t="shared" si="42"/>
        <v>0.37090482662378477</v>
      </c>
      <c r="AQ24" s="6">
        <f t="shared" si="42"/>
        <v>0.38266361491119061</v>
      </c>
      <c r="AR24" s="6">
        <f t="shared" si="42"/>
        <v>0.38854300905489358</v>
      </c>
      <c r="AS24" s="6">
        <f t="shared" si="42"/>
        <v>0.39436640896865649</v>
      </c>
      <c r="AT24" s="6">
        <f t="shared" si="42"/>
        <v>0.40013434793085972</v>
      </c>
      <c r="AU24" s="6">
        <f t="shared" si="42"/>
        <v>0.40584735414104206</v>
      </c>
      <c r="AV24" s="6">
        <f t="shared" si="42"/>
        <v>0.41150595076827023</v>
      </c>
      <c r="AW24" s="6">
        <f t="shared" si="42"/>
        <v>0.41711065599904856</v>
      </c>
      <c r="AX24" s="6">
        <f t="shared" si="42"/>
        <v>0.42266198308477199</v>
      </c>
      <c r="AY24" s="6">
        <f t="shared" si="42"/>
        <v>0.42816044038872658</v>
      </c>
      <c r="AZ24" s="6">
        <f t="shared" si="42"/>
        <v>0.43360653143264344</v>
      </c>
      <c r="BA24" s="6">
        <f t="shared" si="42"/>
        <v>0.43900075494280871</v>
      </c>
      <c r="BF24">
        <f>BD17-138</f>
        <v>50.419437003424605</v>
      </c>
    </row>
    <row r="25" spans="2:58" x14ac:dyDescent="0.25">
      <c r="B25" s="15" t="s">
        <v>41</v>
      </c>
      <c r="C25" s="10" t="e">
        <f>-C14/C13</f>
        <v>#REF!</v>
      </c>
      <c r="D25" s="10" t="e">
        <f t="shared" ref="D25:R25" si="43">-D14/D13</f>
        <v>#REF!</v>
      </c>
      <c r="E25" s="10" t="e">
        <f t="shared" si="43"/>
        <v>#REF!</v>
      </c>
      <c r="F25" s="10" t="e">
        <f t="shared" si="43"/>
        <v>#REF!</v>
      </c>
      <c r="G25" s="10" t="e">
        <f t="shared" si="43"/>
        <v>#REF!</v>
      </c>
      <c r="H25" s="10" t="e">
        <f t="shared" si="43"/>
        <v>#REF!</v>
      </c>
      <c r="I25" s="10" t="e">
        <f t="shared" si="43"/>
        <v>#REF!</v>
      </c>
      <c r="J25" s="10" t="e">
        <f>-J14/J13</f>
        <v>#REF!</v>
      </c>
      <c r="K25" s="10" t="e">
        <f>-K14/K13</f>
        <v>#REF!</v>
      </c>
      <c r="L25" s="10" t="e">
        <f t="shared" si="43"/>
        <v>#REF!</v>
      </c>
      <c r="M25" s="10" t="e">
        <f>M14/M13</f>
        <v>#REF!</v>
      </c>
      <c r="N25" s="10">
        <f>-N14/N13</f>
        <v>-9.8790322580645157E-2</v>
      </c>
      <c r="O25" s="10" t="e">
        <f>-O14/O13</f>
        <v>#REF!</v>
      </c>
      <c r="P25" s="10" t="e">
        <f t="shared" si="43"/>
        <v>#REF!</v>
      </c>
      <c r="Q25" s="10" t="e">
        <f>-Q14/Q13</f>
        <v>#REF!</v>
      </c>
      <c r="R25" s="10" t="e">
        <f t="shared" si="43"/>
        <v>#REF!</v>
      </c>
      <c r="S25" s="10" t="e">
        <f>-S14/S13</f>
        <v>#REF!</v>
      </c>
      <c r="AF25" s="10">
        <f t="shared" ref="AF25:AM25" si="44">-(AF14/AF13)</f>
        <v>0.34639882410583045</v>
      </c>
      <c r="AG25" s="10">
        <f t="shared" si="44"/>
        <v>0.36169599077011827</v>
      </c>
      <c r="AH25" s="10">
        <f t="shared" si="44"/>
        <v>0.34153887543718053</v>
      </c>
      <c r="AI25" s="275">
        <f t="shared" si="44"/>
        <v>0.32071366405570062</v>
      </c>
      <c r="AJ25" s="10">
        <f t="shared" si="44"/>
        <v>0.1129065109647634</v>
      </c>
      <c r="AK25" s="10">
        <f t="shared" si="44"/>
        <v>0.21733821733821734</v>
      </c>
      <c r="AL25" s="10">
        <f>(AL14/AL13)</f>
        <v>0.40103270223752152</v>
      </c>
      <c r="AM25" s="10">
        <f t="shared" si="44"/>
        <v>9.7618117922686452E-3</v>
      </c>
      <c r="BF25" s="187">
        <f>BF24/138.96</f>
        <v>0.36283417532688977</v>
      </c>
    </row>
    <row r="26" spans="2:58" x14ac:dyDescent="0.25">
      <c r="B26" s="15" t="s">
        <v>232</v>
      </c>
      <c r="C26" s="13"/>
      <c r="D26" s="11"/>
      <c r="E26" s="11"/>
      <c r="F26" s="11"/>
      <c r="G26" s="11"/>
      <c r="H26" s="11"/>
      <c r="I26" s="11"/>
      <c r="J26" s="11"/>
      <c r="K26" s="11"/>
      <c r="L26" s="11"/>
      <c r="M26" s="11"/>
      <c r="N26" s="11"/>
      <c r="O26" s="11"/>
      <c r="P26" s="11"/>
      <c r="Q26" s="11"/>
      <c r="R26" s="11"/>
      <c r="S26" s="11"/>
      <c r="T26" s="13"/>
      <c r="U26" s="13"/>
      <c r="V26" s="13"/>
      <c r="W26" s="13"/>
      <c r="X26" s="13"/>
      <c r="Y26" s="13"/>
      <c r="Z26" s="13"/>
      <c r="AA26" s="13"/>
      <c r="AB26" s="13"/>
      <c r="AC26" s="13"/>
      <c r="AD26" s="13"/>
      <c r="AE26" s="13"/>
      <c r="AF26" s="98"/>
      <c r="AG26" s="98">
        <f>AG9/AF9-1</f>
        <v>2.7657416797270962E-3</v>
      </c>
      <c r="AH26" s="98">
        <f t="shared" ref="AH26:AM26" si="45">AH9/AG9-1</f>
        <v>3.7142594465385592E-2</v>
      </c>
      <c r="AI26" s="276">
        <f t="shared" si="45"/>
        <v>-2.8632213456253885E-2</v>
      </c>
      <c r="AJ26" s="98">
        <f t="shared" si="45"/>
        <v>8.3318123745208972E-2</v>
      </c>
      <c r="AK26" s="98"/>
      <c r="AL26" s="98">
        <f t="shared" si="45"/>
        <v>0.12713158564520244</v>
      </c>
      <c r="AM26" s="98">
        <f t="shared" si="45"/>
        <v>5.1597606413006591E-2</v>
      </c>
      <c r="AN26" s="98"/>
      <c r="AO26" s="98"/>
      <c r="AP26" s="98"/>
      <c r="AQ26" s="98"/>
      <c r="AR26" s="98"/>
      <c r="AS26" s="98"/>
      <c r="AT26" s="98"/>
      <c r="AU26" s="98"/>
      <c r="AV26" s="98"/>
      <c r="AW26" s="98"/>
      <c r="AX26" s="98"/>
      <c r="AY26" s="98"/>
      <c r="AZ26" s="98"/>
      <c r="BA26" s="98"/>
      <c r="BC26">
        <f>48540-15959</f>
        <v>32581</v>
      </c>
    </row>
    <row r="27" spans="2:58" x14ac:dyDescent="0.25">
      <c r="AG27" s="13" t="s">
        <v>237</v>
      </c>
      <c r="AH27" s="150">
        <f>AVERAGE(AG26:AM26)</f>
        <v>4.5553906415379465E-2</v>
      </c>
      <c r="BC27" s="181"/>
    </row>
    <row r="28" spans="2:58" x14ac:dyDescent="0.25">
      <c r="B28" t="s">
        <v>255</v>
      </c>
      <c r="AG28" s="13"/>
      <c r="AH28" s="150" t="s">
        <v>257</v>
      </c>
      <c r="AI28" s="277">
        <f t="shared" ref="AI28:AM29" si="46">AI31/AI$5</f>
        <v>0.28817309610606306</v>
      </c>
      <c r="AJ28" s="188">
        <f t="shared" si="46"/>
        <v>0.28308712184944645</v>
      </c>
      <c r="AK28" s="188">
        <f t="shared" si="46"/>
        <v>0.40403982358096169</v>
      </c>
      <c r="AL28" s="188">
        <f t="shared" si="46"/>
        <v>0.5391050345629167</v>
      </c>
      <c r="AM28" s="188">
        <f t="shared" si="46"/>
        <v>0.49922869263401465</v>
      </c>
      <c r="AN28" s="188">
        <f>AM28</f>
        <v>0.49922869263401465</v>
      </c>
      <c r="AO28" s="188">
        <f>AVERAGE(AI28:AM28)</f>
        <v>0.40272675374668054</v>
      </c>
      <c r="AP28" s="188">
        <f>MEDIAN(AI28:AM28)</f>
        <v>0.40403982358096169</v>
      </c>
      <c r="BC28" s="181"/>
    </row>
    <row r="29" spans="2:58" x14ac:dyDescent="0.25">
      <c r="B29" t="s">
        <v>256</v>
      </c>
      <c r="AF29" s="97"/>
      <c r="AG29" s="97"/>
      <c r="AH29" s="97"/>
      <c r="AI29" s="277">
        <f t="shared" si="46"/>
        <v>0.35538748934472314</v>
      </c>
      <c r="AJ29" s="188">
        <f t="shared" si="46"/>
        <v>0.30050139650704982</v>
      </c>
      <c r="AK29" s="188">
        <f t="shared" si="46"/>
        <v>0.45025643972588963</v>
      </c>
      <c r="AL29" s="188">
        <f t="shared" si="46"/>
        <v>0.40723068452927141</v>
      </c>
      <c r="AM29" s="188">
        <f t="shared" si="46"/>
        <v>0.46095998101397251</v>
      </c>
      <c r="AN29" s="188">
        <f>AM29</f>
        <v>0.46095998101397251</v>
      </c>
      <c r="AO29" s="188">
        <f>AVERAGE(AI29:AM29)</f>
        <v>0.39486719822418131</v>
      </c>
      <c r="AP29" s="188">
        <f>MEDIAN(AI29:AM29)</f>
        <v>0.40723068452927141</v>
      </c>
      <c r="AQ29" s="2"/>
    </row>
    <row r="30" spans="2:58" x14ac:dyDescent="0.25">
      <c r="AF30" s="97"/>
      <c r="AG30" s="97"/>
      <c r="AH30" s="97"/>
      <c r="AI30" s="278"/>
      <c r="AJ30" s="97"/>
      <c r="AK30" s="97"/>
      <c r="AL30" s="97"/>
      <c r="AM30" s="97"/>
      <c r="AQ30" s="2"/>
    </row>
    <row r="31" spans="2:58" x14ac:dyDescent="0.25">
      <c r="B31" t="s">
        <v>251</v>
      </c>
      <c r="AE31" t="s">
        <v>249</v>
      </c>
      <c r="AF31" s="97"/>
      <c r="AG31" s="97"/>
      <c r="AH31" s="97"/>
      <c r="AI31" s="279">
        <v>15889</v>
      </c>
      <c r="AJ31" s="183">
        <v>16825</v>
      </c>
      <c r="AK31" s="183">
        <v>28124</v>
      </c>
      <c r="AL31" s="183">
        <v>35251</v>
      </c>
      <c r="AM31" s="183">
        <v>33657</v>
      </c>
      <c r="AN31" s="45">
        <f>$AN28*AN$5</f>
        <v>42071.25</v>
      </c>
      <c r="AO31" s="45">
        <f t="shared" ref="AO31:BA31" si="47">$AN28*AO$5</f>
        <v>46278.375000000007</v>
      </c>
      <c r="AP31" s="45">
        <f t="shared" si="47"/>
        <v>50906.212500000009</v>
      </c>
      <c r="AQ31" s="45">
        <f t="shared" si="47"/>
        <v>54469.647375000015</v>
      </c>
      <c r="AR31" s="45">
        <f t="shared" si="47"/>
        <v>57193.129743750018</v>
      </c>
      <c r="AS31" s="45">
        <f t="shared" si="47"/>
        <v>60052.78623093752</v>
      </c>
      <c r="AT31" s="45">
        <f t="shared" si="47"/>
        <v>63055.425542484401</v>
      </c>
      <c r="AU31" s="45">
        <f t="shared" si="47"/>
        <v>66208.196819608624</v>
      </c>
      <c r="AV31" s="45">
        <f t="shared" si="47"/>
        <v>69518.606660589066</v>
      </c>
      <c r="AW31" s="45">
        <f t="shared" si="47"/>
        <v>72994.536993618516</v>
      </c>
      <c r="AX31" s="45">
        <f t="shared" si="47"/>
        <v>76644.263843299457</v>
      </c>
      <c r="AY31" s="45">
        <f t="shared" si="47"/>
        <v>80476.477035464428</v>
      </c>
      <c r="AZ31" s="45">
        <f t="shared" si="47"/>
        <v>84500.300887237652</v>
      </c>
      <c r="BA31" s="45">
        <f t="shared" si="47"/>
        <v>88725.315931599529</v>
      </c>
    </row>
    <row r="32" spans="2:58" x14ac:dyDescent="0.25">
      <c r="B32" t="s">
        <v>252</v>
      </c>
      <c r="AE32" t="s">
        <v>250</v>
      </c>
      <c r="AF32" s="97"/>
      <c r="AG32" s="97"/>
      <c r="AH32" s="97"/>
      <c r="AI32" s="279">
        <v>19595</v>
      </c>
      <c r="AJ32" s="183">
        <v>17860</v>
      </c>
      <c r="AK32" s="183">
        <v>31341</v>
      </c>
      <c r="AL32" s="183">
        <v>26628</v>
      </c>
      <c r="AM32" s="183">
        <v>31077</v>
      </c>
      <c r="AN32" s="45">
        <f>$AN29*AN$5</f>
        <v>38846.25</v>
      </c>
      <c r="AO32" s="45">
        <f t="shared" ref="AO32:BA32" si="48">$AN29*AO$5</f>
        <v>42730.875000000007</v>
      </c>
      <c r="AP32" s="45">
        <f t="shared" si="48"/>
        <v>47003.962500000009</v>
      </c>
      <c r="AQ32" s="45">
        <f t="shared" si="48"/>
        <v>50294.239875000014</v>
      </c>
      <c r="AR32" s="45">
        <f t="shared" si="48"/>
        <v>52808.951868750017</v>
      </c>
      <c r="AS32" s="45">
        <f t="shared" si="48"/>
        <v>55449.399462187517</v>
      </c>
      <c r="AT32" s="45">
        <f t="shared" si="48"/>
        <v>58221.869435296896</v>
      </c>
      <c r="AU32" s="45">
        <f t="shared" si="48"/>
        <v>61132.962907061745</v>
      </c>
      <c r="AV32" s="45">
        <f t="shared" si="48"/>
        <v>64189.611052414839</v>
      </c>
      <c r="AW32" s="45">
        <f t="shared" si="48"/>
        <v>67399.091605035574</v>
      </c>
      <c r="AX32" s="45">
        <f t="shared" si="48"/>
        <v>70769.04618528737</v>
      </c>
      <c r="AY32" s="45">
        <f t="shared" si="48"/>
        <v>74307.498494551735</v>
      </c>
      <c r="AZ32" s="45">
        <f t="shared" si="48"/>
        <v>78022.87341927932</v>
      </c>
      <c r="BA32" s="45">
        <f t="shared" si="48"/>
        <v>81924.017090243287</v>
      </c>
    </row>
    <row r="33" spans="2:59" x14ac:dyDescent="0.25">
      <c r="B33" t="s">
        <v>253</v>
      </c>
      <c r="AF33" s="97"/>
      <c r="AG33" s="97"/>
      <c r="AH33" s="97"/>
      <c r="AI33" s="279">
        <f>AI31-AI32</f>
        <v>-3706</v>
      </c>
      <c r="AJ33" s="183">
        <f>AJ31-AJ32</f>
        <v>-1035</v>
      </c>
      <c r="AK33" s="183">
        <f t="shared" ref="AK33:AM33" si="49">AK31-AK32</f>
        <v>-3217</v>
      </c>
      <c r="AL33" s="183">
        <f t="shared" si="49"/>
        <v>8623</v>
      </c>
      <c r="AM33" s="183">
        <f t="shared" si="49"/>
        <v>2580</v>
      </c>
      <c r="AN33" s="183">
        <f>AN31-AN32</f>
        <v>3225</v>
      </c>
      <c r="AO33" s="183">
        <f t="shared" ref="AO33" si="50">AO31-AO32</f>
        <v>3547.5</v>
      </c>
      <c r="AP33" s="183">
        <f t="shared" ref="AP33" si="51">AP31-AP32</f>
        <v>3902.25</v>
      </c>
      <c r="AQ33" s="183">
        <f t="shared" ref="AQ33" si="52">AQ31-AQ32</f>
        <v>4175.4075000000012</v>
      </c>
      <c r="AR33" s="183">
        <f t="shared" ref="AR33" si="53">AR31-AR32</f>
        <v>4384.1778750000012</v>
      </c>
      <c r="AS33" s="183">
        <f t="shared" ref="AS33" si="54">AS31-AS32</f>
        <v>4603.3867687500024</v>
      </c>
      <c r="AT33" s="183">
        <f t="shared" ref="AT33" si="55">AT31-AT32</f>
        <v>4833.5561071875054</v>
      </c>
      <c r="AU33" s="183">
        <f t="shared" ref="AU33" si="56">AU31-AU32</f>
        <v>5075.2339125468789</v>
      </c>
      <c r="AV33" s="183">
        <f t="shared" ref="AV33" si="57">AV31-AV32</f>
        <v>5328.9956081742275</v>
      </c>
      <c r="AW33" s="183">
        <f t="shared" ref="AW33" si="58">AW31-AW32</f>
        <v>5595.4453885829425</v>
      </c>
      <c r="AX33" s="183">
        <f t="shared" ref="AX33" si="59">AX31-AX32</f>
        <v>5875.2176580120868</v>
      </c>
      <c r="AY33" s="183">
        <f t="shared" ref="AY33" si="60">AY31-AY32</f>
        <v>6168.9785409126926</v>
      </c>
      <c r="AZ33" s="183">
        <f t="shared" ref="AZ33" si="61">AZ31-AZ32</f>
        <v>6477.4274679583323</v>
      </c>
      <c r="BA33" s="183">
        <f t="shared" ref="BA33" si="62">BA31-BA32</f>
        <v>6801.2988413562416</v>
      </c>
    </row>
    <row r="34" spans="2:59" x14ac:dyDescent="0.25">
      <c r="AJ34" s="181">
        <f>-(AI33-AJ33)</f>
        <v>2671</v>
      </c>
      <c r="AK34" s="181">
        <f>-(AJ33-AK33)</f>
        <v>-2182</v>
      </c>
      <c r="AL34" s="181">
        <f>-(AK33-AL33)</f>
        <v>11840</v>
      </c>
      <c r="AM34" s="181">
        <f>-(AL33-AM33)</f>
        <v>-6043</v>
      </c>
      <c r="AN34" s="181">
        <f>-(AM33-AN33)</f>
        <v>645</v>
      </c>
      <c r="AO34" s="181">
        <f t="shared" ref="AO34:BA34" si="63">-(AN33-AO33)</f>
        <v>322.5</v>
      </c>
      <c r="AP34" s="181">
        <f t="shared" si="63"/>
        <v>354.75</v>
      </c>
      <c r="AQ34" s="181">
        <f t="shared" si="63"/>
        <v>273.15750000000116</v>
      </c>
      <c r="AR34" s="181">
        <f t="shared" si="63"/>
        <v>208.77037500000006</v>
      </c>
      <c r="AS34" s="181">
        <f t="shared" si="63"/>
        <v>219.20889375000115</v>
      </c>
      <c r="AT34" s="181">
        <f t="shared" si="63"/>
        <v>230.16933843750303</v>
      </c>
      <c r="AU34" s="181">
        <f t="shared" si="63"/>
        <v>241.67780535937345</v>
      </c>
      <c r="AV34" s="181">
        <f t="shared" si="63"/>
        <v>253.76169562734867</v>
      </c>
      <c r="AW34" s="181">
        <f t="shared" si="63"/>
        <v>266.44978040871501</v>
      </c>
      <c r="AX34" s="181">
        <f t="shared" si="63"/>
        <v>279.77226942914422</v>
      </c>
      <c r="AY34" s="181">
        <f t="shared" si="63"/>
        <v>293.76088290060579</v>
      </c>
      <c r="AZ34" s="181">
        <f t="shared" si="63"/>
        <v>308.44892704563972</v>
      </c>
      <c r="BA34" s="181">
        <f t="shared" si="63"/>
        <v>323.87137339790934</v>
      </c>
    </row>
    <row r="35" spans="2:59" x14ac:dyDescent="0.25">
      <c r="B35" t="s">
        <v>254</v>
      </c>
      <c r="AI35" s="280">
        <f>AI33/AI5</f>
        <v>-6.7214393238660061E-2</v>
      </c>
      <c r="AJ35" s="182">
        <f>AJ33/AJ5</f>
        <v>-1.7414274657603392E-2</v>
      </c>
      <c r="AK35" s="182">
        <f>AK33/AK5</f>
        <v>-4.6216616144927954E-2</v>
      </c>
      <c r="AL35" s="182">
        <f>AL33/AL5</f>
        <v>0.13187435003364531</v>
      </c>
      <c r="AM35" s="182">
        <f>AM33/AM5</f>
        <v>3.8268711620042126E-2</v>
      </c>
      <c r="AN35" s="182">
        <f>MEDIAN(AI35:AM35)</f>
        <v>-1.7414274657603392E-2</v>
      </c>
    </row>
    <row r="36" spans="2:59" x14ac:dyDescent="0.25">
      <c r="B36" t="s">
        <v>235</v>
      </c>
      <c r="AF36" s="2">
        <f>AF6+AF9</f>
        <v>37267</v>
      </c>
      <c r="AG36" s="2">
        <f t="shared" ref="AG36:AM36" si="64">AG6+AG9</f>
        <v>39241</v>
      </c>
      <c r="AH36" s="2">
        <f t="shared" si="64"/>
        <v>41274</v>
      </c>
      <c r="AI36" s="264">
        <f t="shared" si="64"/>
        <v>41264</v>
      </c>
      <c r="AJ36" s="2">
        <f t="shared" si="64"/>
        <v>44597</v>
      </c>
      <c r="AK36" s="2">
        <f t="shared" si="64"/>
        <v>57777</v>
      </c>
      <c r="AL36" s="2">
        <f t="shared" si="64"/>
        <v>61594</v>
      </c>
      <c r="AM36" s="2">
        <f t="shared" si="64"/>
        <v>63759</v>
      </c>
    </row>
    <row r="37" spans="2:59" x14ac:dyDescent="0.25">
      <c r="AG37" s="10">
        <f>AG36/AF36-1</f>
        <v>5.2969114766415304E-2</v>
      </c>
      <c r="AH37" s="10">
        <f t="shared" ref="AH37:AM37" si="65">AH36/AG36-1</f>
        <v>5.1808057898626414E-2</v>
      </c>
      <c r="AI37" s="275">
        <f t="shared" si="65"/>
        <v>-2.4228327760822399E-4</v>
      </c>
      <c r="AJ37" s="10">
        <f t="shared" si="65"/>
        <v>8.0772586273749614E-2</v>
      </c>
      <c r="AK37" s="10">
        <f t="shared" si="65"/>
        <v>0.29553557414175846</v>
      </c>
      <c r="AL37" s="10">
        <f t="shared" si="65"/>
        <v>6.6064350866261723E-2</v>
      </c>
      <c r="AM37" s="10">
        <f>AM36/AL36-1</f>
        <v>3.5149527551384896E-2</v>
      </c>
    </row>
    <row r="38" spans="2:59" x14ac:dyDescent="0.25">
      <c r="B38" t="s">
        <v>161</v>
      </c>
      <c r="AN38" s="96">
        <f t="shared" ref="AN38:BA38" si="66">AN12/AN39</f>
        <v>-5.8815135966509219E-3</v>
      </c>
      <c r="AO38" s="96">
        <f t="shared" si="66"/>
        <v>-9.1809920629726555E-3</v>
      </c>
      <c r="AP38" s="96">
        <f t="shared" si="66"/>
        <v>-3.0828937063111125E-2</v>
      </c>
      <c r="AQ38" s="96">
        <f t="shared" si="66"/>
        <v>1.9325011384067777E-2</v>
      </c>
      <c r="AR38" s="96">
        <f t="shared" si="66"/>
        <v>7.3074884699882185E-3</v>
      </c>
      <c r="AS38" s="96">
        <f t="shared" si="66"/>
        <v>4.4874050094875469E-3</v>
      </c>
      <c r="AT38" s="96">
        <f t="shared" si="66"/>
        <v>3.2286366190855008E-3</v>
      </c>
      <c r="AU38" s="96">
        <f t="shared" si="66"/>
        <v>2.5159035835245038E-3</v>
      </c>
      <c r="AV38" s="96">
        <f t="shared" si="66"/>
        <v>2.0573987172195938E-3</v>
      </c>
      <c r="AW38" s="96">
        <f t="shared" si="66"/>
        <v>1.7378116274502039E-3</v>
      </c>
      <c r="AX38" s="96">
        <f t="shared" si="66"/>
        <v>1.5024167539752417E-3</v>
      </c>
      <c r="AY38" s="96">
        <f t="shared" si="66"/>
        <v>1.3219045748940771E-3</v>
      </c>
      <c r="AZ38" s="96">
        <f t="shared" si="66"/>
        <v>1.1791627333716942E-3</v>
      </c>
      <c r="BA38" s="96">
        <f t="shared" si="66"/>
        <v>1.0635301402262972E-3</v>
      </c>
      <c r="BC38" s="5"/>
      <c r="BD38" s="5"/>
      <c r="BE38" s="5"/>
      <c r="BF38" s="5"/>
      <c r="BG38" s="5"/>
    </row>
    <row r="39" spans="2:59" s="5" customFormat="1" x14ac:dyDescent="0.25">
      <c r="B39" s="5" t="s">
        <v>146</v>
      </c>
      <c r="D39" s="4"/>
      <c r="E39" s="4"/>
      <c r="F39" s="4"/>
      <c r="G39" s="4"/>
      <c r="H39" s="4"/>
      <c r="I39" s="4"/>
      <c r="J39" s="4"/>
      <c r="K39" s="4"/>
      <c r="L39" s="4"/>
      <c r="M39" s="4"/>
      <c r="N39" s="4"/>
      <c r="O39" s="4"/>
      <c r="P39" s="4"/>
      <c r="Q39" s="4"/>
      <c r="R39" s="4"/>
      <c r="S39" s="4"/>
      <c r="AI39" s="281"/>
      <c r="AM39" s="5">
        <f>AM40-AM53</f>
        <v>-39688</v>
      </c>
      <c r="AN39" s="5">
        <f>AM39+AN15</f>
        <v>-32005.3668</v>
      </c>
      <c r="AO39" s="5">
        <f>AN39+AO15</f>
        <v>-21323.360118079989</v>
      </c>
      <c r="AP39" s="5">
        <f t="shared" ref="AP39:AZ39" si="67">AO39+AP15</f>
        <v>-6604.1973352244258</v>
      </c>
      <c r="AQ39" s="5">
        <f t="shared" si="67"/>
        <v>10957.01291718615</v>
      </c>
      <c r="AR39" s="5">
        <f t="shared" si="67"/>
        <v>30135.411946090295</v>
      </c>
      <c r="AS39" s="5">
        <f t="shared" si="67"/>
        <v>51036.788937829799</v>
      </c>
      <c r="AT39" s="5">
        <f t="shared" si="67"/>
        <v>73772.207944897717</v>
      </c>
      <c r="AU39" s="5">
        <f t="shared" si="67"/>
        <v>98458.064826291462</v>
      </c>
      <c r="AV39" s="5">
        <f t="shared" si="67"/>
        <v>125216.09734278456</v>
      </c>
      <c r="AW39" s="5">
        <f t="shared" si="67"/>
        <v>154173.33578515117</v>
      </c>
      <c r="AX39" s="5">
        <f t="shared" si="67"/>
        <v>185461.97881231888</v>
      </c>
      <c r="AY39" s="5">
        <f t="shared" si="67"/>
        <v>219219.17592574385</v>
      </c>
      <c r="AZ39" s="5">
        <f t="shared" si="67"/>
        <v>255586.69409558104</v>
      </c>
      <c r="BA39" s="5">
        <f>AZ39+BA15</f>
        <v>294710.44135092909</v>
      </c>
      <c r="BC39" s="5" t="s">
        <v>32</v>
      </c>
      <c r="BD39" s="5">
        <v>240000</v>
      </c>
      <c r="BE39" s="2"/>
      <c r="BF39" s="2"/>
      <c r="BG39" s="2"/>
    </row>
    <row r="40" spans="2:59" s="2" customFormat="1" x14ac:dyDescent="0.25">
      <c r="B40" s="2" t="s">
        <v>33</v>
      </c>
      <c r="D40" s="3"/>
      <c r="E40" s="3"/>
      <c r="F40" s="3"/>
      <c r="G40" s="3"/>
      <c r="H40" s="3"/>
      <c r="I40" s="3"/>
      <c r="J40" s="3"/>
      <c r="K40" s="3"/>
      <c r="L40" s="3"/>
      <c r="M40" s="3"/>
      <c r="N40" s="3"/>
      <c r="O40" s="3"/>
      <c r="P40" s="3"/>
      <c r="Q40" s="3"/>
      <c r="R40" s="3"/>
      <c r="S40" s="3"/>
      <c r="AI40" s="264"/>
      <c r="AM40" s="2">
        <v>14444</v>
      </c>
    </row>
    <row r="41" spans="2:59" s="2" customFormat="1" x14ac:dyDescent="0.25">
      <c r="B41" s="2" t="s">
        <v>147</v>
      </c>
      <c r="D41" s="3"/>
      <c r="E41" s="3"/>
      <c r="F41" s="3"/>
      <c r="G41" s="3"/>
      <c r="H41" s="3"/>
      <c r="I41" s="3"/>
      <c r="J41" s="3"/>
      <c r="K41" s="3"/>
      <c r="L41" s="3"/>
      <c r="M41" s="3"/>
      <c r="N41" s="3"/>
      <c r="O41" s="3"/>
      <c r="P41" s="3"/>
      <c r="Q41" s="3"/>
      <c r="R41" s="3"/>
      <c r="S41" s="3"/>
      <c r="AI41" s="264"/>
      <c r="AM41" s="2">
        <f>13367+2183</f>
        <v>15550</v>
      </c>
    </row>
    <row r="42" spans="2:59" s="2" customFormat="1" x14ac:dyDescent="0.25">
      <c r="B42" s="2" t="s">
        <v>148</v>
      </c>
      <c r="D42" s="3"/>
      <c r="E42" s="3"/>
      <c r="F42" s="3"/>
      <c r="G42" s="3"/>
      <c r="H42" s="3"/>
      <c r="I42" s="3"/>
      <c r="J42" s="3"/>
      <c r="K42" s="3"/>
      <c r="L42" s="3"/>
      <c r="M42" s="3"/>
      <c r="N42" s="3"/>
      <c r="O42" s="3"/>
      <c r="P42" s="3"/>
      <c r="Q42" s="3"/>
      <c r="R42" s="3"/>
      <c r="S42" s="3"/>
      <c r="AI42" s="264"/>
      <c r="AM42" s="2">
        <v>1331</v>
      </c>
    </row>
    <row r="43" spans="2:59" s="2" customFormat="1" x14ac:dyDescent="0.25">
      <c r="B43" s="2" t="s">
        <v>150</v>
      </c>
      <c r="D43" s="3"/>
      <c r="E43" s="3"/>
      <c r="F43" s="3"/>
      <c r="G43" s="3"/>
      <c r="H43" s="3"/>
      <c r="I43" s="3"/>
      <c r="J43" s="3"/>
      <c r="K43" s="3"/>
      <c r="L43" s="3"/>
      <c r="M43" s="3"/>
      <c r="N43" s="3"/>
      <c r="O43" s="3"/>
      <c r="P43" s="3"/>
      <c r="Q43" s="3"/>
      <c r="R43" s="3"/>
      <c r="S43" s="3"/>
      <c r="AI43" s="264"/>
      <c r="AM43" s="2">
        <v>29549</v>
      </c>
    </row>
    <row r="44" spans="2:59" s="2" customFormat="1" x14ac:dyDescent="0.25">
      <c r="B44" s="2" t="s">
        <v>151</v>
      </c>
      <c r="D44" s="3"/>
      <c r="E44" s="3"/>
      <c r="F44" s="3"/>
      <c r="G44" s="3"/>
      <c r="H44" s="3"/>
      <c r="I44" s="3"/>
      <c r="J44" s="3"/>
      <c r="K44" s="3"/>
      <c r="L44" s="3"/>
      <c r="M44" s="3"/>
      <c r="N44" s="3"/>
      <c r="O44" s="3"/>
      <c r="P44" s="3"/>
      <c r="Q44" s="3"/>
      <c r="R44" s="3"/>
      <c r="S44" s="3"/>
      <c r="AI44" s="264"/>
      <c r="AM44" s="2">
        <f>64892-37920</f>
        <v>26972</v>
      </c>
    </row>
    <row r="45" spans="2:59" s="2" customFormat="1" x14ac:dyDescent="0.25">
      <c r="B45" s="2" t="s">
        <v>152</v>
      </c>
      <c r="D45" s="3"/>
      <c r="E45" s="3"/>
      <c r="F45" s="3"/>
      <c r="G45" s="3"/>
      <c r="H45" s="3"/>
      <c r="I45" s="3"/>
      <c r="J45" s="3"/>
      <c r="K45" s="3"/>
      <c r="L45" s="3"/>
      <c r="M45" s="3"/>
      <c r="N45" s="3"/>
      <c r="O45" s="3"/>
      <c r="P45" s="3"/>
      <c r="Q45" s="3"/>
      <c r="R45" s="3"/>
      <c r="S45" s="3"/>
      <c r="AI45" s="264"/>
      <c r="AM45" s="2">
        <v>4521</v>
      </c>
    </row>
    <row r="46" spans="2:59" s="2" customFormat="1" x14ac:dyDescent="0.25">
      <c r="B46" s="2" t="s">
        <v>153</v>
      </c>
      <c r="D46" s="3"/>
      <c r="E46" s="3"/>
      <c r="F46" s="3"/>
      <c r="G46" s="3"/>
      <c r="H46" s="3"/>
      <c r="I46" s="3"/>
      <c r="J46" s="3"/>
      <c r="K46" s="3"/>
      <c r="L46" s="3"/>
      <c r="M46" s="3"/>
      <c r="N46" s="3"/>
      <c r="O46" s="3"/>
      <c r="P46" s="3"/>
      <c r="Q46" s="3"/>
      <c r="R46" s="3"/>
      <c r="S46" s="3"/>
      <c r="AI46" s="264"/>
      <c r="AM46" s="2">
        <v>1131</v>
      </c>
      <c r="AZ46" s="153"/>
      <c r="BA46" s="154"/>
    </row>
    <row r="47" spans="2:59" s="2" customFormat="1" x14ac:dyDescent="0.25">
      <c r="B47" s="2" t="s">
        <v>149</v>
      </c>
      <c r="D47" s="3"/>
      <c r="E47" s="3"/>
      <c r="F47" s="3"/>
      <c r="G47" s="3"/>
      <c r="H47" s="3"/>
      <c r="I47" s="3"/>
      <c r="J47" s="3"/>
      <c r="K47" s="3"/>
      <c r="L47" s="3"/>
      <c r="M47" s="3"/>
      <c r="N47" s="3"/>
      <c r="O47" s="3"/>
      <c r="P47" s="3"/>
      <c r="Q47" s="3"/>
      <c r="R47" s="3"/>
      <c r="S47" s="3"/>
      <c r="AI47" s="264"/>
      <c r="AM47" s="2">
        <f>17115+78071</f>
        <v>95186</v>
      </c>
      <c r="AZ47" s="153"/>
    </row>
    <row r="48" spans="2:59" s="2" customFormat="1" x14ac:dyDescent="0.25">
      <c r="B48" s="2" t="s">
        <v>93</v>
      </c>
      <c r="D48" s="3"/>
      <c r="E48" s="3"/>
      <c r="F48" s="3"/>
      <c r="G48" s="3"/>
      <c r="H48" s="3"/>
      <c r="I48" s="3"/>
      <c r="J48" s="3"/>
      <c r="K48" s="3"/>
      <c r="L48" s="3"/>
      <c r="M48" s="3"/>
      <c r="N48" s="3"/>
      <c r="O48" s="3"/>
      <c r="P48" s="3"/>
      <c r="Q48" s="3"/>
      <c r="R48" s="3"/>
      <c r="S48" s="3"/>
      <c r="AI48" s="264"/>
      <c r="AM48" s="2">
        <f>8658+817</f>
        <v>9475</v>
      </c>
      <c r="AZ48" s="153"/>
    </row>
    <row r="49" spans="2:59" s="2" customFormat="1" x14ac:dyDescent="0.25">
      <c r="B49" s="2" t="s">
        <v>154</v>
      </c>
      <c r="D49" s="3"/>
      <c r="E49" s="3"/>
      <c r="F49" s="3"/>
      <c r="G49" s="3"/>
      <c r="H49" s="3"/>
      <c r="I49" s="3"/>
      <c r="J49" s="3"/>
      <c r="K49" s="3"/>
      <c r="L49" s="3"/>
      <c r="M49" s="3"/>
      <c r="N49" s="3"/>
      <c r="O49" s="3"/>
      <c r="P49" s="3"/>
      <c r="Q49" s="3"/>
      <c r="R49" s="3"/>
      <c r="S49" s="3"/>
      <c r="AI49" s="264"/>
      <c r="AM49" s="2">
        <f>SUM(AM40:AM48)</f>
        <v>198159</v>
      </c>
      <c r="AZ49" s="153"/>
      <c r="BC49"/>
      <c r="BD49"/>
      <c r="BE49"/>
      <c r="BF49"/>
      <c r="BG49"/>
    </row>
    <row r="50" spans="2:59" x14ac:dyDescent="0.25">
      <c r="AM50" s="2"/>
      <c r="AZ50" s="153"/>
    </row>
    <row r="51" spans="2:59" x14ac:dyDescent="0.25">
      <c r="B51" s="2" t="s">
        <v>155</v>
      </c>
      <c r="AM51" s="2">
        <v>20894</v>
      </c>
      <c r="AZ51" s="153"/>
    </row>
    <row r="52" spans="2:59" x14ac:dyDescent="0.25">
      <c r="B52" s="2" t="s">
        <v>156</v>
      </c>
      <c r="AM52" s="2">
        <v>4317</v>
      </c>
      <c r="AZ52" s="153"/>
    </row>
    <row r="53" spans="2:59" x14ac:dyDescent="0.25">
      <c r="B53" s="2" t="s">
        <v>34</v>
      </c>
      <c r="AM53" s="2">
        <v>54132</v>
      </c>
      <c r="AZ53" s="153"/>
    </row>
    <row r="54" spans="2:59" x14ac:dyDescent="0.25">
      <c r="B54" s="2" t="s">
        <v>157</v>
      </c>
      <c r="AM54" s="2">
        <v>7246</v>
      </c>
      <c r="AZ54" s="153"/>
    </row>
    <row r="55" spans="2:59" x14ac:dyDescent="0.25">
      <c r="B55" s="2" t="s">
        <v>93</v>
      </c>
      <c r="AM55" s="2">
        <v>14552</v>
      </c>
      <c r="AZ55" s="153"/>
    </row>
    <row r="56" spans="2:59" x14ac:dyDescent="0.25">
      <c r="B56" s="2" t="s">
        <v>159</v>
      </c>
      <c r="AM56" s="2">
        <v>9213</v>
      </c>
      <c r="AZ56" s="153"/>
    </row>
    <row r="57" spans="2:59" x14ac:dyDescent="0.25">
      <c r="B57" s="2" t="s">
        <v>158</v>
      </c>
      <c r="AM57" s="2">
        <v>93011</v>
      </c>
      <c r="AZ57" s="153"/>
    </row>
    <row r="58" spans="2:59" x14ac:dyDescent="0.25">
      <c r="B58" s="2" t="s">
        <v>160</v>
      </c>
      <c r="AM58" s="2">
        <f>SUM(AM51:AM57)</f>
        <v>203365</v>
      </c>
      <c r="AZ58" s="153"/>
    </row>
    <row r="59" spans="2:59" x14ac:dyDescent="0.25">
      <c r="AZ59" s="153"/>
    </row>
    <row r="60" spans="2:59" x14ac:dyDescent="0.25">
      <c r="AZ60" s="153"/>
    </row>
    <row r="61" spans="2:59" x14ac:dyDescent="0.25">
      <c r="AZ61" s="153"/>
    </row>
    <row r="62" spans="2:59" x14ac:dyDescent="0.25">
      <c r="AZ62" s="153"/>
    </row>
    <row r="63" spans="2:59" x14ac:dyDescent="0.25">
      <c r="AZ63" s="153"/>
    </row>
    <row r="64" spans="2:59" x14ac:dyDescent="0.25">
      <c r="AZ64" s="153"/>
    </row>
    <row r="65" spans="52:52" x14ac:dyDescent="0.25">
      <c r="AZ65" s="15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1F9A5-EF14-43FA-A189-68514D220B31}">
  <dimension ref="A1:N2"/>
  <sheetViews>
    <sheetView workbookViewId="0">
      <selection activeCell="A2" sqref="A2:N2"/>
    </sheetView>
  </sheetViews>
  <sheetFormatPr defaultRowHeight="14.4" x14ac:dyDescent="0.25"/>
  <sheetData>
    <row r="1" spans="1:14" x14ac:dyDescent="0.25">
      <c r="A1" t="s">
        <v>275</v>
      </c>
    </row>
    <row r="2" spans="1:14" x14ac:dyDescent="0.25">
      <c r="A2" s="10">
        <f>DiscountedNetIncome!AN10/DiscountedNetIncome!AN5</f>
        <v>0.11016563173039841</v>
      </c>
      <c r="B2" s="10">
        <f>DiscountedNetIncome!AO10/DiscountedNetIncome!AO5</f>
        <v>0.13357233090617834</v>
      </c>
      <c r="C2" s="10">
        <f>DiscountedNetIncome!AP10/DiscountedNetIncome!AP5</f>
        <v>0.16207539573981944</v>
      </c>
      <c r="D2" s="10">
        <f>DiscountedNetIncome!AQ10/DiscountedNetIncome!AQ5</f>
        <v>0.17859627572214939</v>
      </c>
      <c r="E2" s="10">
        <f>DiscountedNetIncome!AR10/DiscountedNetIncome!AR5</f>
        <v>0.18533080919197784</v>
      </c>
      <c r="F2" s="10">
        <f>DiscountedNetIncome!AS10/DiscountedNetIncome!AS5</f>
        <v>0.1920057649908806</v>
      </c>
      <c r="G2" s="10">
        <f>DiscountedNetIncome!AT10/DiscountedNetIncome!AT5</f>
        <v>0.19862169141356215</v>
      </c>
      <c r="H2" s="10">
        <f>DiscountedNetIncome!AU10/DiscountedNetIncome!AU5</f>
        <v>0.20517913161295978</v>
      </c>
      <c r="I2" s="10">
        <f>DiscountedNetIncome!AV10/DiscountedNetIncome!AV5</f>
        <v>0.21167862364887707</v>
      </c>
      <c r="J2" s="10">
        <f>DiscountedNetIncome!AW10/DiscountedNetIncome!AW5</f>
        <v>0.21812070053615573</v>
      </c>
      <c r="K2" s="10">
        <f>DiscountedNetIncome!AX10/DiscountedNetIncome!AX5</f>
        <v>0.22450589029239032</v>
      </c>
      <c r="L2" s="10">
        <f>DiscountedNetIncome!AY10/DiscountedNetIncome!AY5</f>
        <v>0.23083471598518915</v>
      </c>
      <c r="M2" s="10">
        <f>DiscountedNetIncome!AZ10/DiscountedNetIncome!AZ5</f>
        <v>0.23710769577898749</v>
      </c>
      <c r="N2" s="10">
        <f>DiscountedNetIncome!BA10/DiscountedNetIncome!BA5</f>
        <v>0.24332534298141564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8A282-AA06-4359-B40C-CC64047147B7}">
  <dimension ref="B5:M16"/>
  <sheetViews>
    <sheetView workbookViewId="0">
      <selection activeCell="B15" sqref="B15:N18"/>
    </sheetView>
  </sheetViews>
  <sheetFormatPr defaultRowHeight="14.4" x14ac:dyDescent="0.25"/>
  <cols>
    <col min="2" max="2" width="28" bestFit="1" customWidth="1"/>
  </cols>
  <sheetData>
    <row r="5" spans="2:13" x14ac:dyDescent="0.25">
      <c r="B5" t="s">
        <v>272</v>
      </c>
      <c r="C5">
        <v>2013</v>
      </c>
      <c r="D5">
        <f>+C5+1</f>
        <v>2014</v>
      </c>
      <c r="E5">
        <f t="shared" ref="E5:N5" si="0">+D5+1</f>
        <v>2015</v>
      </c>
      <c r="F5">
        <f t="shared" si="0"/>
        <v>2016</v>
      </c>
      <c r="G5">
        <f t="shared" si="0"/>
        <v>2017</v>
      </c>
      <c r="H5">
        <f t="shared" si="0"/>
        <v>2018</v>
      </c>
      <c r="I5">
        <f t="shared" si="0"/>
        <v>2019</v>
      </c>
      <c r="J5">
        <f t="shared" si="0"/>
        <v>2020</v>
      </c>
      <c r="K5">
        <f t="shared" si="0"/>
        <v>2021</v>
      </c>
    </row>
    <row r="6" spans="2:13" x14ac:dyDescent="0.25">
      <c r="B6" t="s">
        <v>270</v>
      </c>
      <c r="C6">
        <v>-4214</v>
      </c>
      <c r="D6">
        <v>-6710</v>
      </c>
      <c r="E6">
        <v>-5514</v>
      </c>
      <c r="F6">
        <v>-7220</v>
      </c>
      <c r="G6">
        <v>-8959</v>
      </c>
      <c r="H6">
        <v>-8843</v>
      </c>
      <c r="I6">
        <v>-1090</v>
      </c>
      <c r="J6">
        <v>8480</v>
      </c>
      <c r="K6">
        <v>-4385</v>
      </c>
    </row>
    <row r="10" spans="2:13" x14ac:dyDescent="0.25">
      <c r="B10" t="s">
        <v>249</v>
      </c>
      <c r="G10">
        <v>15889</v>
      </c>
      <c r="H10">
        <v>16825</v>
      </c>
      <c r="I10">
        <v>28124</v>
      </c>
      <c r="J10">
        <v>35251</v>
      </c>
      <c r="K10">
        <v>33657</v>
      </c>
      <c r="M10" t="s">
        <v>273</v>
      </c>
    </row>
    <row r="11" spans="2:13" x14ac:dyDescent="0.25">
      <c r="B11" t="s">
        <v>250</v>
      </c>
      <c r="G11">
        <v>19595</v>
      </c>
      <c r="H11">
        <v>17860</v>
      </c>
      <c r="I11">
        <v>31341</v>
      </c>
      <c r="J11">
        <v>26628</v>
      </c>
      <c r="K11">
        <v>31077</v>
      </c>
      <c r="M11" t="s">
        <v>274</v>
      </c>
    </row>
    <row r="12" spans="2:13" x14ac:dyDescent="0.25">
      <c r="B12" t="s">
        <v>253</v>
      </c>
      <c r="G12">
        <f>G10-G11</f>
        <v>-3706</v>
      </c>
      <c r="H12">
        <f t="shared" ref="H12" si="1">H10-H11</f>
        <v>-1035</v>
      </c>
      <c r="I12">
        <f t="shared" ref="I12" si="2">I10-I11</f>
        <v>-3217</v>
      </c>
      <c r="J12">
        <f t="shared" ref="J12" si="3">J10-J11</f>
        <v>8623</v>
      </c>
      <c r="K12">
        <f t="shared" ref="K12" si="4">K10-K11</f>
        <v>2580</v>
      </c>
    </row>
    <row r="16" spans="2:13" x14ac:dyDescent="0.25">
      <c r="B16" t="s">
        <v>271</v>
      </c>
      <c r="C16">
        <v>13050</v>
      </c>
      <c r="D16">
        <v>12860</v>
      </c>
      <c r="E16">
        <v>12968</v>
      </c>
      <c r="F16">
        <v>16657</v>
      </c>
      <c r="G16">
        <v>19248</v>
      </c>
      <c r="H16">
        <v>17226</v>
      </c>
      <c r="I16">
        <v>38275</v>
      </c>
      <c r="J16">
        <v>55828</v>
      </c>
      <c r="K16">
        <v>51769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B4E9E-20B9-43A6-AC26-872BC5D94C92}">
  <dimension ref="A1:E17"/>
  <sheetViews>
    <sheetView workbookViewId="0">
      <selection activeCell="E6" sqref="E6"/>
    </sheetView>
  </sheetViews>
  <sheetFormatPr defaultRowHeight="14.4" x14ac:dyDescent="0.25"/>
  <cols>
    <col min="4" max="4" width="9.140625" customWidth="1"/>
    <col min="5" max="5" width="14.7109375" bestFit="1" customWidth="1"/>
  </cols>
  <sheetData>
    <row r="1" spans="1:5" x14ac:dyDescent="0.25">
      <c r="A1" s="38"/>
      <c r="B1" s="38"/>
      <c r="C1" s="38"/>
    </row>
    <row r="2" spans="1:5" x14ac:dyDescent="0.25">
      <c r="A2" s="38"/>
      <c r="B2" s="191"/>
      <c r="C2" s="191"/>
      <c r="D2" s="191"/>
      <c r="E2" s="191"/>
    </row>
    <row r="3" spans="1:5" x14ac:dyDescent="0.25">
      <c r="B3" s="38"/>
      <c r="C3" s="38"/>
      <c r="D3" s="38"/>
      <c r="E3" s="38"/>
    </row>
    <row r="4" spans="1:5" x14ac:dyDescent="0.25">
      <c r="B4" s="210" t="s">
        <v>261</v>
      </c>
      <c r="C4" s="210"/>
      <c r="D4" s="210"/>
      <c r="E4" s="210"/>
    </row>
    <row r="5" spans="1:5" ht="15.15" thickBot="1" x14ac:dyDescent="0.3">
      <c r="B5" s="211"/>
      <c r="C5" s="211"/>
      <c r="D5" s="211"/>
      <c r="E5" s="211"/>
    </row>
    <row r="6" spans="1:5" x14ac:dyDescent="0.25">
      <c r="B6" s="195" t="s">
        <v>260</v>
      </c>
      <c r="C6" s="196"/>
      <c r="D6" s="197"/>
      <c r="E6" s="196">
        <v>0.09</v>
      </c>
    </row>
    <row r="7" spans="1:5" ht="15.15" thickBot="1" x14ac:dyDescent="0.3">
      <c r="B7" s="198" t="s">
        <v>262</v>
      </c>
      <c r="C7" s="199"/>
      <c r="D7" s="190"/>
      <c r="E7" s="199">
        <v>0.03</v>
      </c>
    </row>
    <row r="8" spans="1:5" x14ac:dyDescent="0.25">
      <c r="B8" s="189"/>
      <c r="C8" s="189"/>
      <c r="D8" s="189"/>
      <c r="E8" s="189"/>
    </row>
    <row r="9" spans="1:5" x14ac:dyDescent="0.25">
      <c r="B9" s="189" t="s">
        <v>267</v>
      </c>
      <c r="C9" s="189"/>
      <c r="D9" s="189"/>
      <c r="E9" s="194">
        <v>368293.55430009193</v>
      </c>
    </row>
    <row r="10" spans="1:5" ht="15.15" thickBot="1" x14ac:dyDescent="0.3">
      <c r="B10" s="204" t="s">
        <v>263</v>
      </c>
      <c r="C10" s="190"/>
      <c r="D10" s="190"/>
      <c r="E10" s="202">
        <f>48540-15959</f>
        <v>32581</v>
      </c>
    </row>
    <row r="11" spans="1:5" x14ac:dyDescent="0.25">
      <c r="B11" s="206"/>
      <c r="C11" s="205"/>
      <c r="D11" s="205"/>
      <c r="E11" s="207"/>
    </row>
    <row r="12" spans="1:5" x14ac:dyDescent="0.25">
      <c r="B12" s="189"/>
      <c r="C12" s="189"/>
      <c r="D12" s="189"/>
      <c r="E12" s="189"/>
    </row>
    <row r="13" spans="1:5" x14ac:dyDescent="0.25">
      <c r="B13" s="189" t="s">
        <v>266</v>
      </c>
      <c r="C13" s="189"/>
      <c r="D13" s="189"/>
      <c r="E13" s="194">
        <v>335713</v>
      </c>
    </row>
    <row r="14" spans="1:5" x14ac:dyDescent="0.25">
      <c r="B14" s="203" t="s">
        <v>264</v>
      </c>
      <c r="C14" s="189"/>
      <c r="D14" s="189"/>
      <c r="E14" s="192">
        <v>1817</v>
      </c>
    </row>
    <row r="15" spans="1:5" x14ac:dyDescent="0.25">
      <c r="B15" s="193"/>
      <c r="C15" s="189"/>
      <c r="D15" s="189"/>
      <c r="E15" s="192"/>
    </row>
    <row r="16" spans="1:5" ht="15.15" thickBot="1" x14ac:dyDescent="0.3">
      <c r="B16" s="201" t="s">
        <v>265</v>
      </c>
      <c r="C16" s="190"/>
      <c r="D16" s="190"/>
      <c r="E16" s="200">
        <v>184.7620001651579</v>
      </c>
    </row>
    <row r="17" spans="2:5" x14ac:dyDescent="0.25">
      <c r="B17" s="208" t="s">
        <v>268</v>
      </c>
      <c r="C17" s="205"/>
      <c r="D17" s="205"/>
      <c r="E17" s="209">
        <v>0.36</v>
      </c>
    </row>
  </sheetData>
  <mergeCells count="1">
    <mergeCell ref="B4:E5"/>
  </mergeCells>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95CC-5E22-41B7-81FC-62EF94388845}">
  <dimension ref="A2:LU68"/>
  <sheetViews>
    <sheetView zoomScaleNormal="100" workbookViewId="0">
      <pane xSplit="2" ySplit="2" topLeftCell="AI3" activePane="bottomRight" state="frozen"/>
      <selection pane="topRight" activeCell="C1" sqref="C1"/>
      <selection pane="bottomLeft" activeCell="A3" sqref="A3"/>
      <selection pane="bottomRight" activeCell="AP22" sqref="AP22"/>
    </sheetView>
  </sheetViews>
  <sheetFormatPr defaultRowHeight="14.4" x14ac:dyDescent="0.25"/>
  <cols>
    <col min="2" max="2" width="32" bestFit="1" customWidth="1"/>
    <col min="3" max="3" width="10.42578125" customWidth="1"/>
    <col min="4" max="7" width="9.140625" style="1"/>
    <col min="8" max="8" width="9.5703125" style="1" customWidth="1"/>
    <col min="9" max="19" width="9.140625" style="1"/>
    <col min="29" max="29" width="10" bestFit="1" customWidth="1"/>
    <col min="44" max="44" width="10.140625" bestFit="1" customWidth="1"/>
    <col min="45" max="45" width="9.140625" customWidth="1"/>
    <col min="46" max="46" width="9.7109375" customWidth="1"/>
    <col min="47" max="47" width="11.85546875" bestFit="1" customWidth="1"/>
  </cols>
  <sheetData>
    <row r="2" spans="1:333" x14ac:dyDescent="0.25">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36</v>
      </c>
      <c r="U2" s="1" t="s">
        <v>37</v>
      </c>
      <c r="V2" s="1" t="s">
        <v>38</v>
      </c>
      <c r="W2" s="1"/>
      <c r="X2" s="1">
        <v>2006</v>
      </c>
      <c r="Y2" s="1">
        <v>2007</v>
      </c>
      <c r="Z2" s="1">
        <v>2008</v>
      </c>
      <c r="AA2" s="1">
        <v>2009</v>
      </c>
      <c r="AB2" s="1">
        <v>2010</v>
      </c>
      <c r="AC2" s="1">
        <v>2011</v>
      </c>
      <c r="AD2" s="1">
        <v>2012</v>
      </c>
      <c r="AE2" s="1">
        <v>2013</v>
      </c>
      <c r="AF2">
        <v>2014</v>
      </c>
      <c r="AG2">
        <v>2015</v>
      </c>
      <c r="AH2">
        <v>2016</v>
      </c>
      <c r="AI2">
        <v>2017</v>
      </c>
      <c r="AJ2">
        <v>2018</v>
      </c>
      <c r="AK2">
        <v>2019</v>
      </c>
      <c r="AL2">
        <v>2020</v>
      </c>
      <c r="AM2">
        <v>2021</v>
      </c>
      <c r="AN2">
        <v>2022</v>
      </c>
      <c r="AO2">
        <v>2023</v>
      </c>
      <c r="AP2">
        <v>2024</v>
      </c>
      <c r="AQ2">
        <v>2025</v>
      </c>
      <c r="AR2">
        <v>2026</v>
      </c>
      <c r="AS2" t="e">
        <f>+#REF!+1</f>
        <v>#REF!</v>
      </c>
      <c r="AT2" t="e">
        <f t="shared" ref="AT2:AV2" si="0">+AS2+1</f>
        <v>#REF!</v>
      </c>
      <c r="AU2" t="e">
        <f t="shared" si="0"/>
        <v>#REF!</v>
      </c>
      <c r="AV2" t="e">
        <f t="shared" si="0"/>
        <v>#REF!</v>
      </c>
    </row>
    <row r="3" spans="1:333" s="2" customFormat="1" x14ac:dyDescent="0.25">
      <c r="B3" s="2" t="s">
        <v>18</v>
      </c>
      <c r="C3" s="3">
        <v>12984</v>
      </c>
      <c r="D3" s="3">
        <v>12520</v>
      </c>
      <c r="E3" s="3">
        <v>13143</v>
      </c>
      <c r="F3" s="3">
        <f>50869-E3-D3-C3</f>
        <v>12222</v>
      </c>
      <c r="G3" s="3">
        <v>12866</v>
      </c>
      <c r="H3" s="3">
        <v>13011</v>
      </c>
      <c r="I3" s="3">
        <v>18022</v>
      </c>
      <c r="J3" s="3">
        <f>60579-I3-H3-G3</f>
        <v>16680</v>
      </c>
      <c r="K3" s="3">
        <v>18075</v>
      </c>
      <c r="L3" s="3">
        <v>16190</v>
      </c>
      <c r="M3" s="3">
        <v>11235</v>
      </c>
      <c r="N3" s="3">
        <f>59265-M3-L3-K3</f>
        <v>13765</v>
      </c>
      <c r="O3" s="3">
        <v>14871</v>
      </c>
      <c r="P3" s="3">
        <v>14522</v>
      </c>
      <c r="Q3" s="3">
        <v>15585</v>
      </c>
      <c r="R3" s="3">
        <f>61768-Q3-P3-O3</f>
        <v>16790</v>
      </c>
      <c r="S3" s="3">
        <v>19542</v>
      </c>
      <c r="AF3" s="2">
        <v>40246</v>
      </c>
      <c r="AG3" s="2">
        <v>43894</v>
      </c>
      <c r="AH3" s="2">
        <v>47130</v>
      </c>
      <c r="AI3" s="2">
        <v>46843</v>
      </c>
      <c r="AJ3" s="2">
        <f>SUM(C3:F3)</f>
        <v>50869</v>
      </c>
      <c r="AK3" s="2">
        <f>SUM(G3:J3)</f>
        <v>60579</v>
      </c>
      <c r="AL3" s="2">
        <f>SUM(K3:N3)</f>
        <v>59265</v>
      </c>
      <c r="AM3" s="2">
        <f>SUM(O3:R3)</f>
        <v>61768</v>
      </c>
    </row>
    <row r="4" spans="1:333" s="2" customFormat="1" x14ac:dyDescent="0.25">
      <c r="B4" s="2" t="s">
        <v>19</v>
      </c>
      <c r="C4" s="3">
        <v>2367</v>
      </c>
      <c r="D4" s="3">
        <v>2028</v>
      </c>
      <c r="E4" s="3">
        <v>2086</v>
      </c>
      <c r="F4" s="3">
        <f>8565-E4-D4-C4</f>
        <v>2084</v>
      </c>
      <c r="G4" s="3">
        <v>2437</v>
      </c>
      <c r="H4" s="3">
        <v>1911</v>
      </c>
      <c r="I4" s="3">
        <v>2223</v>
      </c>
      <c r="J4" s="3">
        <f>9028-I4-H4-G4</f>
        <v>2457</v>
      </c>
      <c r="K4" s="3">
        <v>2783</v>
      </c>
      <c r="L4" s="3">
        <v>1835</v>
      </c>
      <c r="M4" s="3">
        <v>544</v>
      </c>
      <c r="N4" s="3">
        <f>6123-M4-L4-K4</f>
        <v>961</v>
      </c>
      <c r="O4" s="3">
        <v>1378</v>
      </c>
      <c r="P4" s="3">
        <v>1091</v>
      </c>
      <c r="Q4" s="3">
        <v>1437</v>
      </c>
      <c r="R4" s="3">
        <f>5650-Q4-P4-O4</f>
        <v>1744</v>
      </c>
      <c r="S4" s="3">
        <v>2277</v>
      </c>
      <c r="AF4" s="2">
        <v>8567</v>
      </c>
      <c r="AG4" s="2">
        <v>8751</v>
      </c>
      <c r="AH4" s="2">
        <v>8502</v>
      </c>
      <c r="AI4" s="2">
        <v>8294</v>
      </c>
      <c r="AJ4" s="2">
        <f>SUM(C4:F4)</f>
        <v>8565</v>
      </c>
      <c r="AK4" s="2">
        <f>SUM(G4:J4)</f>
        <v>9028</v>
      </c>
      <c r="AL4" s="2">
        <f>SUM(K4:N4)</f>
        <v>6123</v>
      </c>
      <c r="AM4" s="2">
        <f>SUM(O4:R4)</f>
        <v>5650</v>
      </c>
    </row>
    <row r="5" spans="1:333" s="139" customFormat="1" x14ac:dyDescent="0.25">
      <c r="B5" s="139" t="s">
        <v>0</v>
      </c>
      <c r="C5" s="94">
        <f t="shared" ref="C5:S5" si="1">SUM(C3:C4)</f>
        <v>15351</v>
      </c>
      <c r="D5" s="94">
        <f t="shared" si="1"/>
        <v>14548</v>
      </c>
      <c r="E5" s="94">
        <f t="shared" si="1"/>
        <v>15229</v>
      </c>
      <c r="F5" s="94">
        <f t="shared" si="1"/>
        <v>14306</v>
      </c>
      <c r="G5" s="94">
        <f t="shared" si="1"/>
        <v>15303</v>
      </c>
      <c r="H5" s="94">
        <f t="shared" si="1"/>
        <v>14922</v>
      </c>
      <c r="I5" s="94">
        <f t="shared" si="1"/>
        <v>20245</v>
      </c>
      <c r="J5" s="94">
        <f t="shared" si="1"/>
        <v>19137</v>
      </c>
      <c r="K5" s="94">
        <f t="shared" si="1"/>
        <v>20858</v>
      </c>
      <c r="L5" s="94">
        <f t="shared" si="1"/>
        <v>18025</v>
      </c>
      <c r="M5" s="94">
        <f t="shared" si="1"/>
        <v>11779</v>
      </c>
      <c r="N5" s="94">
        <f t="shared" si="1"/>
        <v>14726</v>
      </c>
      <c r="O5" s="94">
        <f t="shared" si="1"/>
        <v>16249</v>
      </c>
      <c r="P5" s="94">
        <f t="shared" si="1"/>
        <v>15613</v>
      </c>
      <c r="Q5" s="94">
        <f t="shared" si="1"/>
        <v>17022</v>
      </c>
      <c r="R5" s="94">
        <f t="shared" si="1"/>
        <v>18534</v>
      </c>
      <c r="S5" s="94">
        <f t="shared" si="1"/>
        <v>21819</v>
      </c>
      <c r="X5" s="2"/>
      <c r="Y5" s="2"/>
      <c r="Z5" s="2"/>
      <c r="AA5" s="2">
        <v>36149</v>
      </c>
      <c r="AB5" s="2">
        <v>38063</v>
      </c>
      <c r="AC5" s="2">
        <v>40893</v>
      </c>
      <c r="AD5" s="2">
        <v>42278</v>
      </c>
      <c r="AE5" s="2">
        <v>45041</v>
      </c>
      <c r="AF5" s="95">
        <f t="shared" ref="AF5:AM5" si="2">SUM(AF3:AF4)</f>
        <v>48813</v>
      </c>
      <c r="AG5" s="95">
        <f t="shared" si="2"/>
        <v>52645</v>
      </c>
      <c r="AH5" s="95">
        <f t="shared" si="2"/>
        <v>55632</v>
      </c>
      <c r="AI5" s="95">
        <f t="shared" si="2"/>
        <v>55137</v>
      </c>
      <c r="AJ5" s="95">
        <f t="shared" si="2"/>
        <v>59434</v>
      </c>
      <c r="AK5" s="95">
        <f t="shared" si="2"/>
        <v>69607</v>
      </c>
      <c r="AL5" s="95">
        <f t="shared" si="2"/>
        <v>65388</v>
      </c>
      <c r="AM5" s="95">
        <f t="shared" si="2"/>
        <v>67418</v>
      </c>
      <c r="AN5" s="19">
        <f>+AM5*1.25</f>
        <v>84272.5</v>
      </c>
      <c r="AO5" s="19">
        <f>+AN5*1.15</f>
        <v>96913.374999999985</v>
      </c>
      <c r="AP5" s="19">
        <f>+AO5*1.1</f>
        <v>106604.71249999999</v>
      </c>
      <c r="AQ5" s="19">
        <f>+AP5*1.07</f>
        <v>114067.042375</v>
      </c>
      <c r="AR5" s="19">
        <f>+AQ5*1.05</f>
        <v>119770.39449375001</v>
      </c>
      <c r="AT5" s="99" t="s">
        <v>229</v>
      </c>
      <c r="AU5" s="100">
        <v>0.03</v>
      </c>
      <c r="AV5" s="23"/>
      <c r="AW5" s="23" t="s">
        <v>35</v>
      </c>
      <c r="AX5" s="101">
        <v>285479</v>
      </c>
    </row>
    <row r="6" spans="1:333" s="142" customFormat="1" x14ac:dyDescent="0.25">
      <c r="B6" s="142" t="s">
        <v>20</v>
      </c>
      <c r="C6" s="94" t="e">
        <f>SUM(#REF!)</f>
        <v>#REF!</v>
      </c>
      <c r="D6" s="94" t="e">
        <f>SUM(#REF!)</f>
        <v>#REF!</v>
      </c>
      <c r="E6" s="94" t="e">
        <f>SUM(#REF!)</f>
        <v>#REF!</v>
      </c>
      <c r="F6" s="94" t="e">
        <f>SUM(#REF!)</f>
        <v>#REF!</v>
      </c>
      <c r="G6" s="94" t="e">
        <f>SUM(#REF!)</f>
        <v>#REF!</v>
      </c>
      <c r="H6" s="94" t="e">
        <f>SUM(#REF!)</f>
        <v>#REF!</v>
      </c>
      <c r="I6" s="94" t="e">
        <f>SUM(#REF!)</f>
        <v>#REF!</v>
      </c>
      <c r="J6" s="94" t="e">
        <f>SUM(#REF!)</f>
        <v>#REF!</v>
      </c>
      <c r="K6" s="94" t="e">
        <f>SUM(#REF!)</f>
        <v>#REF!</v>
      </c>
      <c r="L6" s="94" t="e">
        <f>SUM(#REF!)</f>
        <v>#REF!</v>
      </c>
      <c r="M6" s="94" t="e">
        <f>SUM(#REF!)</f>
        <v>#REF!</v>
      </c>
      <c r="N6" s="94" t="e">
        <f>SUM(#REF!)</f>
        <v>#REF!</v>
      </c>
      <c r="O6" s="94" t="e">
        <f>SUM(#REF!)</f>
        <v>#REF!</v>
      </c>
      <c r="P6" s="94" t="e">
        <f>SUM(#REF!)</f>
        <v>#REF!</v>
      </c>
      <c r="Q6" s="94" t="e">
        <f>SUM(#REF!)</f>
        <v>#REF!</v>
      </c>
      <c r="R6" s="94" t="e">
        <f>SUM(#REF!)</f>
        <v>#REF!</v>
      </c>
      <c r="S6" s="94" t="e">
        <f>SUM(#REF!)</f>
        <v>#REF!</v>
      </c>
      <c r="AA6" s="141">
        <v>30452</v>
      </c>
      <c r="AB6" s="141">
        <v>31337</v>
      </c>
      <c r="AC6" s="141">
        <v>33112</v>
      </c>
      <c r="AD6" s="141">
        <v>23468</v>
      </c>
      <c r="AE6" s="141">
        <v>25034</v>
      </c>
      <c r="AF6" s="148">
        <v>26420</v>
      </c>
      <c r="AG6" s="148">
        <v>28364</v>
      </c>
      <c r="AH6" s="148">
        <v>29993</v>
      </c>
      <c r="AI6" s="148">
        <v>30306</v>
      </c>
      <c r="AJ6" s="148">
        <v>32726</v>
      </c>
      <c r="AK6" s="148">
        <v>42061</v>
      </c>
      <c r="AL6" s="148">
        <v>43880</v>
      </c>
      <c r="AM6" s="148">
        <v>45131</v>
      </c>
      <c r="AN6" s="149">
        <f>+AM6*1.23</f>
        <v>55511.13</v>
      </c>
      <c r="AO6" s="149">
        <f>+AN6*1.13</f>
        <v>62727.576899999993</v>
      </c>
      <c r="AP6" s="149">
        <f>+AO6*1.07</f>
        <v>67118.507282999999</v>
      </c>
      <c r="AQ6" s="149">
        <f>+AP6*1.06</f>
        <v>71145.61771998</v>
      </c>
      <c r="AR6" s="149">
        <f t="shared" ref="AR6" si="3">+AQ6*1.04</f>
        <v>73991.442428779206</v>
      </c>
      <c r="AT6" s="102" t="s">
        <v>45</v>
      </c>
      <c r="AU6" s="144">
        <v>0.09</v>
      </c>
      <c r="AV6" s="106"/>
      <c r="AW6" s="107" t="s">
        <v>163</v>
      </c>
      <c r="AX6" s="151">
        <v>9000</v>
      </c>
    </row>
    <row r="7" spans="1:333" x14ac:dyDescent="0.25">
      <c r="B7" s="2" t="s">
        <v>22</v>
      </c>
      <c r="C7" s="3" t="e">
        <f t="shared" ref="C7:S7" si="4">C5-C6</f>
        <v>#REF!</v>
      </c>
      <c r="D7" s="3" t="e">
        <f t="shared" si="4"/>
        <v>#REF!</v>
      </c>
      <c r="E7" s="3" t="e">
        <f t="shared" si="4"/>
        <v>#REF!</v>
      </c>
      <c r="F7" s="3" t="e">
        <f t="shared" si="4"/>
        <v>#REF!</v>
      </c>
      <c r="G7" s="3" t="e">
        <f t="shared" si="4"/>
        <v>#REF!</v>
      </c>
      <c r="H7" s="3" t="e">
        <f t="shared" si="4"/>
        <v>#REF!</v>
      </c>
      <c r="I7" s="3" t="e">
        <f t="shared" si="4"/>
        <v>#REF!</v>
      </c>
      <c r="J7" s="3" t="e">
        <f t="shared" si="4"/>
        <v>#REF!</v>
      </c>
      <c r="K7" s="3" t="e">
        <f t="shared" si="4"/>
        <v>#REF!</v>
      </c>
      <c r="L7" s="3" t="e">
        <f t="shared" si="4"/>
        <v>#REF!</v>
      </c>
      <c r="M7" s="3" t="e">
        <f t="shared" si="4"/>
        <v>#REF!</v>
      </c>
      <c r="N7" s="3" t="e">
        <f t="shared" si="4"/>
        <v>#REF!</v>
      </c>
      <c r="O7" s="3" t="e">
        <f t="shared" si="4"/>
        <v>#REF!</v>
      </c>
      <c r="P7" s="3" t="e">
        <f t="shared" si="4"/>
        <v>#REF!</v>
      </c>
      <c r="Q7" s="3" t="e">
        <f t="shared" si="4"/>
        <v>#REF!</v>
      </c>
      <c r="R7" s="3" t="e">
        <f t="shared" si="4"/>
        <v>#REF!</v>
      </c>
      <c r="S7" s="3" t="e">
        <f t="shared" si="4"/>
        <v>#REF!</v>
      </c>
      <c r="AF7" s="3">
        <f t="shared" ref="AF7:AR7" si="5">AF5-AF6</f>
        <v>22393</v>
      </c>
      <c r="AG7" s="3">
        <f t="shared" si="5"/>
        <v>24281</v>
      </c>
      <c r="AH7" s="3">
        <f t="shared" si="5"/>
        <v>25639</v>
      </c>
      <c r="AI7" s="3">
        <f t="shared" si="5"/>
        <v>24831</v>
      </c>
      <c r="AJ7" s="3">
        <f t="shared" si="5"/>
        <v>26708</v>
      </c>
      <c r="AK7" s="3">
        <f t="shared" si="5"/>
        <v>27546</v>
      </c>
      <c r="AL7" s="3">
        <f t="shared" si="5"/>
        <v>21508</v>
      </c>
      <c r="AM7" s="3">
        <f t="shared" si="5"/>
        <v>22287</v>
      </c>
      <c r="AN7" s="3">
        <f t="shared" si="5"/>
        <v>28761.370000000003</v>
      </c>
      <c r="AO7" s="3">
        <f t="shared" si="5"/>
        <v>34185.798099999993</v>
      </c>
      <c r="AP7" s="3">
        <f t="shared" si="5"/>
        <v>39486.205216999995</v>
      </c>
      <c r="AQ7" s="3">
        <f t="shared" si="5"/>
        <v>42921.424655020004</v>
      </c>
      <c r="AR7" s="3">
        <f t="shared" si="5"/>
        <v>45778.952064970799</v>
      </c>
      <c r="AT7" s="104" t="s">
        <v>46</v>
      </c>
      <c r="AU7" s="105">
        <f>NPV(AU6,AM30:AR30)</f>
        <v>133445.28610089267</v>
      </c>
      <c r="AV7" s="106"/>
      <c r="AW7" s="107" t="s">
        <v>162</v>
      </c>
      <c r="AX7" s="108">
        <f>AX5/AX6</f>
        <v>31.719888888888889</v>
      </c>
    </row>
    <row r="8" spans="1:333" s="2" customFormat="1" x14ac:dyDescent="0.25">
      <c r="B8" s="7" t="s">
        <v>25</v>
      </c>
      <c r="C8" s="8">
        <v>742</v>
      </c>
      <c r="D8" s="8">
        <v>731</v>
      </c>
      <c r="E8" s="8">
        <v>744</v>
      </c>
      <c r="F8" s="3">
        <f>3011-E8-D8-C8</f>
        <v>794</v>
      </c>
      <c r="G8" s="8">
        <v>732</v>
      </c>
      <c r="H8" s="8">
        <v>828</v>
      </c>
      <c r="I8" s="8">
        <v>1304</v>
      </c>
      <c r="J8" s="8">
        <f>4167-I8-H8-G8</f>
        <v>1303</v>
      </c>
      <c r="K8" s="8">
        <v>1298</v>
      </c>
      <c r="L8" s="8">
        <v>1334</v>
      </c>
      <c r="M8" s="8">
        <v>1377</v>
      </c>
      <c r="N8" s="3">
        <f>5345-M8-L8-K8</f>
        <v>1336</v>
      </c>
      <c r="O8" s="8">
        <v>1298</v>
      </c>
      <c r="P8" s="8">
        <v>1272</v>
      </c>
      <c r="Q8" s="8">
        <v>1266</v>
      </c>
      <c r="R8" s="3">
        <f>5111-Q8-P8-O8</f>
        <v>1275</v>
      </c>
      <c r="S8" s="8">
        <v>1269</v>
      </c>
      <c r="AF8" s="2">
        <v>2288</v>
      </c>
      <c r="AG8" s="2">
        <v>2354</v>
      </c>
      <c r="AH8" s="2">
        <v>2527</v>
      </c>
      <c r="AI8" s="2">
        <v>2782</v>
      </c>
      <c r="AJ8" s="2">
        <f>SUM(C8:F8)</f>
        <v>3011</v>
      </c>
      <c r="AK8" s="2">
        <f>SUM(G8:J8)</f>
        <v>4167</v>
      </c>
      <c r="AL8" s="2">
        <f>SUM(K8:N8)</f>
        <v>5345</v>
      </c>
      <c r="AM8" s="2">
        <v>5111</v>
      </c>
      <c r="AN8" s="20">
        <f>+AM8*1.05</f>
        <v>5366.55</v>
      </c>
      <c r="AO8" s="20">
        <f t="shared" ref="AO8:AR8" si="6">+AN8*1.1</f>
        <v>5903.2050000000008</v>
      </c>
      <c r="AP8" s="20">
        <f t="shared" si="6"/>
        <v>6493.5255000000016</v>
      </c>
      <c r="AQ8" s="20">
        <f t="shared" si="6"/>
        <v>7142.8780500000021</v>
      </c>
      <c r="AR8" s="20">
        <f t="shared" si="6"/>
        <v>7857.1658550000029</v>
      </c>
      <c r="AT8" s="104" t="s">
        <v>33</v>
      </c>
      <c r="AU8" s="105">
        <f>Segments!J6-Segments!J7</f>
        <v>-36139</v>
      </c>
      <c r="AV8" s="106"/>
      <c r="AW8" s="107" t="s">
        <v>161</v>
      </c>
      <c r="AX8" s="109">
        <f>AX6/AX5</f>
        <v>3.1525961629401814E-2</v>
      </c>
    </row>
    <row r="9" spans="1:333" s="139" customFormat="1" x14ac:dyDescent="0.25">
      <c r="B9" s="139" t="s">
        <v>23</v>
      </c>
      <c r="C9" s="94">
        <f t="shared" ref="C9:S9" ca="1" si="7">SUM(C9:C11)</f>
        <v>81</v>
      </c>
      <c r="D9" s="94">
        <f t="shared" ca="1" si="7"/>
        <v>34</v>
      </c>
      <c r="E9" s="94">
        <f t="shared" ca="1" si="7"/>
        <v>73</v>
      </c>
      <c r="F9" s="94">
        <f t="shared" ca="1" si="7"/>
        <v>278</v>
      </c>
      <c r="G9" s="94">
        <f t="shared" ca="1" si="7"/>
        <v>76</v>
      </c>
      <c r="H9" s="94">
        <f t="shared" ca="1" si="7"/>
        <v>3992</v>
      </c>
      <c r="I9" s="94">
        <f t="shared" ca="1" si="7"/>
        <v>-331</v>
      </c>
      <c r="J9" s="94">
        <f t="shared" ca="1" si="7"/>
        <v>-666</v>
      </c>
      <c r="K9" s="94">
        <f t="shared" ca="1" si="7"/>
        <v>74</v>
      </c>
      <c r="L9" s="94">
        <f t="shared" ca="1" si="7"/>
        <v>-10</v>
      </c>
      <c r="M9" s="94">
        <f t="shared" ca="1" si="7"/>
        <v>-4479</v>
      </c>
      <c r="N9" s="94">
        <f t="shared" ca="1" si="7"/>
        <v>369</v>
      </c>
      <c r="O9" s="94">
        <f t="shared" ca="1" si="7"/>
        <v>111</v>
      </c>
      <c r="P9" s="94">
        <f t="shared" ca="1" si="7"/>
        <v>104</v>
      </c>
      <c r="Q9" s="94">
        <f t="shared" ca="1" si="7"/>
        <v>85</v>
      </c>
      <c r="R9" s="94">
        <f t="shared" ca="1" si="7"/>
        <v>8</v>
      </c>
      <c r="S9" s="94">
        <f t="shared" ca="1" si="7"/>
        <v>-197</v>
      </c>
      <c r="AF9" s="94">
        <v>10847</v>
      </c>
      <c r="AG9" s="94">
        <v>10877</v>
      </c>
      <c r="AH9" s="94">
        <v>11281</v>
      </c>
      <c r="AI9" s="94">
        <v>10958</v>
      </c>
      <c r="AJ9" s="94">
        <v>11871</v>
      </c>
      <c r="AK9" s="94">
        <v>15716</v>
      </c>
      <c r="AL9" s="94">
        <v>17714</v>
      </c>
      <c r="AM9" s="94">
        <v>18628</v>
      </c>
      <c r="AN9" s="149">
        <f>AM9*1.0456</f>
        <v>19477.436800000003</v>
      </c>
      <c r="AO9" s="149">
        <f t="shared" ref="AO9:AR9" si="8">AN9*1.0456</f>
        <v>20365.607918080004</v>
      </c>
      <c r="AP9" s="149">
        <f t="shared" si="8"/>
        <v>21294.279639144454</v>
      </c>
      <c r="AQ9" s="149">
        <f t="shared" si="8"/>
        <v>22265.298790689441</v>
      </c>
      <c r="AR9" s="149">
        <f t="shared" si="8"/>
        <v>23280.596415544882</v>
      </c>
      <c r="AT9" s="104" t="s">
        <v>47</v>
      </c>
      <c r="AU9" s="105">
        <f>SUM(AU7:AU8)</f>
        <v>97306.28610089267</v>
      </c>
      <c r="AV9" s="106"/>
      <c r="AW9" s="106"/>
      <c r="AX9" s="110"/>
    </row>
    <row r="10" spans="1:333" s="2" customFormat="1" x14ac:dyDescent="0.25">
      <c r="B10" s="2" t="s">
        <v>26</v>
      </c>
      <c r="C10" s="3" t="e">
        <f t="shared" ref="C10:S10" ca="1" si="9">C7+C9</f>
        <v>#REF!</v>
      </c>
      <c r="D10" s="3" t="e">
        <f t="shared" ca="1" si="9"/>
        <v>#REF!</v>
      </c>
      <c r="E10" s="3" t="e">
        <f t="shared" ca="1" si="9"/>
        <v>#REF!</v>
      </c>
      <c r="F10" s="3" t="e">
        <f t="shared" ca="1" si="9"/>
        <v>#REF!</v>
      </c>
      <c r="G10" s="3" t="e">
        <f t="shared" ca="1" si="9"/>
        <v>#REF!</v>
      </c>
      <c r="H10" s="3" t="e">
        <f t="shared" ca="1" si="9"/>
        <v>#REF!</v>
      </c>
      <c r="I10" s="3" t="e">
        <f t="shared" ca="1" si="9"/>
        <v>#REF!</v>
      </c>
      <c r="J10" s="3" t="e">
        <f t="shared" ca="1" si="9"/>
        <v>#REF!</v>
      </c>
      <c r="K10" s="3" t="e">
        <f t="shared" ca="1" si="9"/>
        <v>#REF!</v>
      </c>
      <c r="L10" s="3" t="e">
        <f t="shared" ca="1" si="9"/>
        <v>#REF!</v>
      </c>
      <c r="M10" s="3" t="e">
        <f t="shared" ca="1" si="9"/>
        <v>#REF!</v>
      </c>
      <c r="N10" s="3" t="e">
        <f t="shared" ca="1" si="9"/>
        <v>#REF!</v>
      </c>
      <c r="O10" s="3" t="e">
        <f t="shared" ca="1" si="9"/>
        <v>#REF!</v>
      </c>
      <c r="P10" s="3" t="e">
        <f t="shared" ca="1" si="9"/>
        <v>#REF!</v>
      </c>
      <c r="Q10" s="3" t="e">
        <f t="shared" ca="1" si="9"/>
        <v>#REF!</v>
      </c>
      <c r="R10" s="3" t="e">
        <f t="shared" ca="1" si="9"/>
        <v>#REF!</v>
      </c>
      <c r="S10" s="3" t="e">
        <f t="shared" ca="1" si="9"/>
        <v>#REF!</v>
      </c>
      <c r="AF10" s="3">
        <f>AF7-AF9</f>
        <v>11546</v>
      </c>
      <c r="AG10" s="3">
        <f t="shared" ref="AG10:AN10" si="10">AG7-AG9</f>
        <v>13404</v>
      </c>
      <c r="AH10" s="3">
        <f t="shared" si="10"/>
        <v>14358</v>
      </c>
      <c r="AI10" s="3">
        <f t="shared" si="10"/>
        <v>13873</v>
      </c>
      <c r="AJ10" s="3">
        <f t="shared" si="10"/>
        <v>14837</v>
      </c>
      <c r="AK10" s="3">
        <f t="shared" si="10"/>
        <v>11830</v>
      </c>
      <c r="AL10" s="3">
        <f t="shared" si="10"/>
        <v>3794</v>
      </c>
      <c r="AM10" s="3">
        <f t="shared" si="10"/>
        <v>3659</v>
      </c>
      <c r="AN10" s="3">
        <f t="shared" si="10"/>
        <v>9283.9331999999995</v>
      </c>
      <c r="AO10" s="3">
        <f t="shared" ref="AO10:AR10" si="11">AO7-AO9</f>
        <v>13820.190181919988</v>
      </c>
      <c r="AP10" s="3">
        <f t="shared" si="11"/>
        <v>18191.925577855542</v>
      </c>
      <c r="AQ10" s="3">
        <f t="shared" si="11"/>
        <v>20656.125864330563</v>
      </c>
      <c r="AR10" s="3">
        <f t="shared" si="11"/>
        <v>22498.355649425917</v>
      </c>
      <c r="AT10" s="111" t="s">
        <v>48</v>
      </c>
      <c r="AU10" s="112">
        <f>AU9/Segments!J3</f>
        <v>54.63575861925473</v>
      </c>
      <c r="AV10" s="106"/>
      <c r="AW10" s="107" t="s">
        <v>164</v>
      </c>
      <c r="AX10" s="113">
        <v>0.03</v>
      </c>
    </row>
    <row r="11" spans="1:333" s="2" customFormat="1" x14ac:dyDescent="0.25">
      <c r="B11" s="2" t="s">
        <v>244</v>
      </c>
      <c r="C11" s="3">
        <v>129</v>
      </c>
      <c r="D11" s="3">
        <v>143</v>
      </c>
      <c r="E11" s="3">
        <v>143</v>
      </c>
      <c r="F11" s="3">
        <f>574-E11-D11-C11</f>
        <v>159</v>
      </c>
      <c r="G11" s="3">
        <v>63</v>
      </c>
      <c r="H11" s="3">
        <v>143</v>
      </c>
      <c r="I11" s="3">
        <v>411</v>
      </c>
      <c r="J11" s="3">
        <f>978-I11-H11-G11</f>
        <v>361</v>
      </c>
      <c r="K11" s="3">
        <v>283</v>
      </c>
      <c r="L11" s="3">
        <v>300</v>
      </c>
      <c r="M11" s="3">
        <v>412</v>
      </c>
      <c r="N11" s="3">
        <f>1491-M11-L11-K11</f>
        <v>496</v>
      </c>
      <c r="O11" s="3">
        <v>324</v>
      </c>
      <c r="P11" s="3">
        <v>320</v>
      </c>
      <c r="Q11" s="3">
        <v>445</v>
      </c>
      <c r="R11" s="3">
        <f>1406-Q11-P11-O11</f>
        <v>317</v>
      </c>
      <c r="S11" s="3">
        <v>311</v>
      </c>
      <c r="AF11" s="2">
        <v>-877</v>
      </c>
      <c r="AG11" s="2">
        <v>-729</v>
      </c>
      <c r="AH11" s="2">
        <v>-463</v>
      </c>
      <c r="AI11" s="2">
        <v>65</v>
      </c>
      <c r="AJ11" s="2">
        <v>466</v>
      </c>
      <c r="AK11" s="2">
        <v>543</v>
      </c>
      <c r="AL11" s="2">
        <v>-4895</v>
      </c>
      <c r="AM11" s="2">
        <v>645</v>
      </c>
      <c r="AN11" s="20">
        <f>AM11+(AM11*$AX$10)</f>
        <v>664.35</v>
      </c>
      <c r="AO11" s="20">
        <f t="shared" ref="AO11:AR11" si="12">AN11+(AN11*$AX$10)</f>
        <v>684.28050000000007</v>
      </c>
      <c r="AP11" s="20">
        <f t="shared" si="12"/>
        <v>704.80891500000007</v>
      </c>
      <c r="AQ11" s="20">
        <f t="shared" si="12"/>
        <v>725.9531824500001</v>
      </c>
      <c r="AR11" s="20">
        <f t="shared" si="12"/>
        <v>747.73177792350009</v>
      </c>
      <c r="AT11" s="160" t="s">
        <v>49</v>
      </c>
      <c r="AU11" s="161">
        <f>Segments!J2</f>
        <v>140</v>
      </c>
      <c r="AV11" s="115"/>
      <c r="AW11" s="115"/>
      <c r="AX11" s="162"/>
    </row>
    <row r="12" spans="1:333" s="2" customFormat="1" x14ac:dyDescent="0.25">
      <c r="B12" s="2" t="s">
        <v>28</v>
      </c>
      <c r="C12" s="3" t="e">
        <f>#REF!-C11</f>
        <v>#REF!</v>
      </c>
      <c r="D12" s="3" t="e">
        <f>#REF!-D11</f>
        <v>#REF!</v>
      </c>
      <c r="E12" s="3" t="e">
        <f>#REF!-E11</f>
        <v>#REF!</v>
      </c>
      <c r="F12" s="3" t="e">
        <f>#REF!-F11</f>
        <v>#REF!</v>
      </c>
      <c r="G12" s="3" t="e">
        <f>#REF!-G11</f>
        <v>#REF!</v>
      </c>
      <c r="H12" s="3" t="e">
        <f>#REF!-H11</f>
        <v>#REF!</v>
      </c>
      <c r="I12" s="3" t="e">
        <f>#REF!-I11</f>
        <v>#REF!</v>
      </c>
      <c r="J12" s="3" t="e">
        <f>#REF!-J11</f>
        <v>#REF!</v>
      </c>
      <c r="K12" s="3" t="e">
        <f>#REF!-K11</f>
        <v>#REF!</v>
      </c>
      <c r="L12" s="3" t="e">
        <f>#REF!-L11</f>
        <v>#REF!</v>
      </c>
      <c r="M12" s="3" t="e">
        <f>#REF!-M11</f>
        <v>#REF!</v>
      </c>
      <c r="N12" s="3">
        <v>-496</v>
      </c>
      <c r="O12" s="3" t="e">
        <f>#REF!-O11</f>
        <v>#REF!</v>
      </c>
      <c r="P12" s="3" t="e">
        <f>#REF!-P11</f>
        <v>#REF!</v>
      </c>
      <c r="Q12" s="3" t="e">
        <f>#REF!-Q11</f>
        <v>#REF!</v>
      </c>
      <c r="R12" s="3" t="e">
        <f>#REF!-R11</f>
        <v>#REF!</v>
      </c>
      <c r="S12" s="3" t="e">
        <f>#REF!-S11</f>
        <v>#REF!</v>
      </c>
      <c r="AF12" s="3">
        <v>12246</v>
      </c>
      <c r="AG12" s="3">
        <v>13868</v>
      </c>
      <c r="AH12" s="3">
        <v>14868</v>
      </c>
      <c r="AI12" s="3">
        <v>13788</v>
      </c>
      <c r="AJ12" s="3">
        <v>14729</v>
      </c>
      <c r="AK12" s="3">
        <v>13923</v>
      </c>
      <c r="AL12" s="3">
        <v>-1743</v>
      </c>
      <c r="AM12" s="3">
        <v>2561</v>
      </c>
      <c r="AN12" s="3">
        <f>AN10-AN11</f>
        <v>8619.5831999999991</v>
      </c>
      <c r="AO12" s="3">
        <f t="shared" ref="AO12:AQ12" si="13">AO10-AO11</f>
        <v>13135.909681919988</v>
      </c>
      <c r="AP12" s="3">
        <f t="shared" si="13"/>
        <v>17487.11666285554</v>
      </c>
      <c r="AQ12" s="3">
        <f t="shared" si="13"/>
        <v>19930.172681880562</v>
      </c>
      <c r="AR12" s="3">
        <f>AR10-AR11</f>
        <v>21750.623871502416</v>
      </c>
    </row>
    <row r="13" spans="1:333" s="2" customFormat="1" x14ac:dyDescent="0.25">
      <c r="B13" s="2" t="s">
        <v>242</v>
      </c>
      <c r="C13" s="3">
        <v>728</v>
      </c>
      <c r="D13" s="3">
        <v>-813</v>
      </c>
      <c r="E13" s="3">
        <v>-795</v>
      </c>
      <c r="F13" s="3">
        <f>-1663+E13+D13+C13</f>
        <v>-2543</v>
      </c>
      <c r="G13" s="3">
        <v>-645</v>
      </c>
      <c r="H13" s="3">
        <v>-1647</v>
      </c>
      <c r="I13" s="3">
        <v>-395</v>
      </c>
      <c r="J13" s="3">
        <f>-3026+I13+H13+G13</f>
        <v>-5713</v>
      </c>
      <c r="K13" s="3">
        <v>-459</v>
      </c>
      <c r="L13" s="3">
        <v>-523</v>
      </c>
      <c r="M13" s="3">
        <v>331</v>
      </c>
      <c r="N13" s="3">
        <v>-49</v>
      </c>
      <c r="O13" s="3">
        <v>-16</v>
      </c>
      <c r="P13" s="3">
        <v>-108</v>
      </c>
      <c r="Q13" s="3">
        <v>133</v>
      </c>
      <c r="R13" s="3">
        <f>25+Q13+P13+O13</f>
        <v>34</v>
      </c>
      <c r="S13" s="3">
        <v>-488</v>
      </c>
      <c r="AF13" s="2">
        <v>3738</v>
      </c>
      <c r="AG13" s="2">
        <v>5040</v>
      </c>
      <c r="AH13" s="2">
        <v>3833</v>
      </c>
      <c r="AI13" s="2">
        <v>4078</v>
      </c>
      <c r="AJ13" s="2">
        <v>3244</v>
      </c>
      <c r="AK13" s="2">
        <v>950</v>
      </c>
      <c r="AL13" s="2">
        <v>974</v>
      </c>
      <c r="AM13" s="2">
        <v>1277</v>
      </c>
      <c r="AN13" s="20">
        <f>+AM13*1.05</f>
        <v>1340.8500000000001</v>
      </c>
      <c r="AO13" s="20">
        <f>+AN13*1.2</f>
        <v>1609.0200000000002</v>
      </c>
      <c r="AP13" s="20">
        <f t="shared" ref="AP13:AR13" si="14">+AO13*1.2</f>
        <v>1930.8240000000001</v>
      </c>
      <c r="AQ13" s="20">
        <f t="shared" si="14"/>
        <v>2316.9888000000001</v>
      </c>
      <c r="AR13" s="20">
        <f t="shared" si="14"/>
        <v>2780.3865599999999</v>
      </c>
    </row>
    <row r="14" spans="1:333" s="2" customFormat="1" x14ac:dyDescent="0.25">
      <c r="B14" s="2" t="s">
        <v>243</v>
      </c>
      <c r="C14" s="3"/>
      <c r="D14" s="3"/>
      <c r="E14" s="3"/>
      <c r="F14" s="3"/>
      <c r="G14" s="3"/>
      <c r="H14" s="3"/>
      <c r="I14" s="3"/>
      <c r="J14" s="3"/>
      <c r="K14" s="3"/>
      <c r="L14" s="3"/>
      <c r="M14" s="3"/>
      <c r="N14" s="3"/>
      <c r="O14" s="3"/>
      <c r="P14" s="3"/>
      <c r="Q14" s="3"/>
      <c r="R14" s="3"/>
      <c r="S14" s="3"/>
      <c r="AF14" s="2">
        <v>504</v>
      </c>
      <c r="AG14" s="2">
        <v>-24</v>
      </c>
      <c r="AH14" s="2">
        <v>1245</v>
      </c>
      <c r="AI14" s="2">
        <v>344</v>
      </c>
      <c r="AJ14" s="2">
        <v>-1581</v>
      </c>
      <c r="AK14" s="2">
        <v>2076</v>
      </c>
      <c r="AL14" s="2">
        <v>-275</v>
      </c>
      <c r="AM14" s="2">
        <v>-1252</v>
      </c>
      <c r="AN14" s="20"/>
      <c r="AO14" s="20"/>
      <c r="AP14" s="20"/>
      <c r="AQ14" s="20"/>
      <c r="AR14" s="20"/>
    </row>
    <row r="15" spans="1:333" s="5" customFormat="1" x14ac:dyDescent="0.25">
      <c r="B15" s="5" t="s">
        <v>227</v>
      </c>
      <c r="C15" s="4" t="e">
        <f t="shared" ref="C15:Q15" si="15">C12+C13</f>
        <v>#REF!</v>
      </c>
      <c r="D15" s="4" t="e">
        <f t="shared" si="15"/>
        <v>#REF!</v>
      </c>
      <c r="E15" s="4" t="e">
        <f t="shared" si="15"/>
        <v>#REF!</v>
      </c>
      <c r="F15" s="4" t="e">
        <f t="shared" si="15"/>
        <v>#REF!</v>
      </c>
      <c r="G15" s="4" t="e">
        <f t="shared" si="15"/>
        <v>#REF!</v>
      </c>
      <c r="H15" s="4" t="e">
        <f t="shared" si="15"/>
        <v>#REF!</v>
      </c>
      <c r="I15" s="4" t="e">
        <f t="shared" si="15"/>
        <v>#REF!</v>
      </c>
      <c r="J15" s="4" t="e">
        <f t="shared" si="15"/>
        <v>#REF!</v>
      </c>
      <c r="K15" s="4" t="e">
        <f t="shared" si="15"/>
        <v>#REF!</v>
      </c>
      <c r="L15" s="4" t="e">
        <f t="shared" si="15"/>
        <v>#REF!</v>
      </c>
      <c r="M15" s="4" t="e">
        <f t="shared" si="15"/>
        <v>#REF!</v>
      </c>
      <c r="N15" s="4">
        <f t="shared" si="15"/>
        <v>-545</v>
      </c>
      <c r="O15" s="4" t="e">
        <f t="shared" si="15"/>
        <v>#REF!</v>
      </c>
      <c r="P15" s="4" t="e">
        <f t="shared" si="15"/>
        <v>#REF!</v>
      </c>
      <c r="Q15" s="4" t="e">
        <f t="shared" si="15"/>
        <v>#REF!</v>
      </c>
      <c r="R15" s="4" t="e">
        <f>R12-R13</f>
        <v>#REF!</v>
      </c>
      <c r="S15" s="4" t="e">
        <f>S12+S13</f>
        <v>#REF!</v>
      </c>
      <c r="X15" s="5">
        <v>3487</v>
      </c>
      <c r="Y15" s="5">
        <v>4851</v>
      </c>
      <c r="Z15" s="5">
        <v>4729</v>
      </c>
      <c r="AA15" s="5">
        <v>3609</v>
      </c>
      <c r="AB15" s="5">
        <v>4313</v>
      </c>
      <c r="AC15" s="5">
        <v>5258</v>
      </c>
      <c r="AD15" s="5">
        <v>6173</v>
      </c>
      <c r="AE15" s="5">
        <v>6636</v>
      </c>
      <c r="AF15" s="140">
        <f>AF12-SUM(AF13:AF14)</f>
        <v>8004</v>
      </c>
      <c r="AG15" s="140">
        <f>AG12-SUM(AG13:AG14)</f>
        <v>8852</v>
      </c>
      <c r="AH15" s="140">
        <f t="shared" ref="AG15:AL15" si="16">AH12-SUM(AH13:AH14)</f>
        <v>9790</v>
      </c>
      <c r="AI15" s="140">
        <f t="shared" si="16"/>
        <v>9366</v>
      </c>
      <c r="AJ15" s="140">
        <f t="shared" si="16"/>
        <v>13066</v>
      </c>
      <c r="AK15" s="140">
        <f t="shared" si="16"/>
        <v>10897</v>
      </c>
      <c r="AL15" s="140">
        <f t="shared" si="16"/>
        <v>-2442</v>
      </c>
      <c r="AM15" s="140">
        <f>AM12-SUM(AM13:AM14)</f>
        <v>2536</v>
      </c>
      <c r="AN15" s="140">
        <f>AN12-AN13</f>
        <v>7278.7331999999988</v>
      </c>
      <c r="AO15" s="140">
        <f t="shared" ref="AO15:AR15" si="17">AO12-AO13</f>
        <v>11526.889681919987</v>
      </c>
      <c r="AP15" s="140">
        <f t="shared" si="17"/>
        <v>15556.29266285554</v>
      </c>
      <c r="AQ15" s="140">
        <f t="shared" si="17"/>
        <v>17613.183881880563</v>
      </c>
      <c r="AR15" s="140">
        <f t="shared" si="17"/>
        <v>18970.237311502417</v>
      </c>
      <c r="AS15" s="139"/>
      <c r="AT15" s="139"/>
      <c r="AU15" s="139"/>
      <c r="AV15" s="139"/>
      <c r="AW15" s="139"/>
      <c r="AX15" s="139"/>
      <c r="AY15" s="139"/>
      <c r="AZ15" s="139"/>
      <c r="BA15" s="139"/>
      <c r="BB15" s="139"/>
      <c r="BC15" s="139"/>
      <c r="BD15" s="139"/>
      <c r="BE15" s="139"/>
      <c r="BF15" s="139"/>
      <c r="BG15" s="139"/>
      <c r="BH15" s="139"/>
      <c r="BI15" s="139"/>
      <c r="BJ15" s="139"/>
      <c r="BK15" s="139"/>
      <c r="BL15" s="139"/>
      <c r="BM15" s="139"/>
      <c r="BN15" s="139"/>
      <c r="BO15" s="139"/>
      <c r="BP15" s="139"/>
      <c r="BQ15" s="139"/>
      <c r="BR15" s="139"/>
      <c r="BS15" s="139"/>
      <c r="BT15" s="139"/>
      <c r="BU15" s="139"/>
      <c r="BV15" s="139"/>
      <c r="BW15" s="139"/>
      <c r="BX15" s="139"/>
      <c r="BY15" s="139"/>
      <c r="BZ15" s="139"/>
      <c r="CA15" s="139"/>
      <c r="CB15" s="139"/>
      <c r="CC15" s="139"/>
      <c r="CD15" s="139"/>
      <c r="CE15" s="139"/>
      <c r="CF15" s="139"/>
      <c r="CG15" s="139"/>
      <c r="CH15" s="139"/>
      <c r="CI15" s="139"/>
      <c r="CJ15" s="139"/>
      <c r="CK15" s="139"/>
      <c r="CL15" s="139"/>
      <c r="CM15" s="139"/>
      <c r="CN15" s="139"/>
      <c r="CO15" s="139"/>
      <c r="CP15" s="139"/>
      <c r="CQ15" s="139"/>
      <c r="CR15" s="139"/>
      <c r="CS15" s="139"/>
      <c r="CT15" s="139"/>
      <c r="CU15" s="139"/>
      <c r="CV15" s="139"/>
      <c r="CW15" s="139"/>
      <c r="CX15" s="139"/>
      <c r="CY15" s="139"/>
      <c r="CZ15" s="139"/>
      <c r="DA15" s="139"/>
      <c r="DB15" s="139"/>
      <c r="DC15" s="139"/>
      <c r="DD15" s="139"/>
      <c r="DE15" s="139"/>
      <c r="DF15" s="139"/>
      <c r="DG15" s="139"/>
      <c r="DH15" s="139"/>
      <c r="DI15" s="139"/>
      <c r="DJ15" s="139"/>
      <c r="DK15" s="139"/>
      <c r="DL15" s="139"/>
      <c r="DM15" s="139"/>
      <c r="DN15" s="139"/>
      <c r="DO15" s="139"/>
      <c r="DP15" s="139"/>
      <c r="DQ15" s="139"/>
      <c r="DR15" s="139"/>
      <c r="DS15" s="139"/>
      <c r="DT15" s="139"/>
      <c r="DU15" s="139"/>
      <c r="DV15" s="139"/>
      <c r="DW15" s="139"/>
      <c r="DX15" s="139"/>
      <c r="DY15" s="139"/>
      <c r="DZ15" s="139"/>
      <c r="EA15" s="139"/>
      <c r="EB15" s="139"/>
      <c r="EC15" s="139"/>
      <c r="ED15" s="139"/>
      <c r="EE15" s="139"/>
      <c r="EF15" s="139"/>
      <c r="EG15" s="139"/>
      <c r="EH15" s="139"/>
      <c r="EI15" s="139"/>
      <c r="EJ15" s="139"/>
      <c r="EK15" s="139"/>
      <c r="EL15" s="139"/>
      <c r="EM15" s="139"/>
      <c r="EN15" s="139"/>
      <c r="EO15" s="139"/>
      <c r="EP15" s="139"/>
      <c r="EQ15" s="139"/>
      <c r="ER15" s="139"/>
      <c r="ES15" s="139"/>
      <c r="ET15" s="139"/>
      <c r="EU15" s="139"/>
      <c r="EV15" s="139"/>
      <c r="EW15" s="139"/>
      <c r="EX15" s="139"/>
      <c r="EY15" s="139"/>
      <c r="EZ15" s="139"/>
      <c r="FA15" s="139"/>
      <c r="FB15" s="139"/>
      <c r="FC15" s="139"/>
      <c r="FD15" s="139"/>
      <c r="FE15" s="139"/>
      <c r="FF15" s="139"/>
      <c r="FG15" s="139"/>
      <c r="FH15" s="139"/>
      <c r="FI15" s="139"/>
      <c r="FJ15" s="139"/>
      <c r="FK15" s="139"/>
      <c r="FL15" s="139"/>
      <c r="FM15" s="139"/>
      <c r="FN15" s="139"/>
      <c r="FO15" s="139"/>
      <c r="FP15" s="139"/>
      <c r="FQ15" s="139"/>
      <c r="FR15" s="139"/>
      <c r="FS15" s="139"/>
      <c r="FT15" s="139"/>
      <c r="FU15" s="139"/>
      <c r="FV15" s="139"/>
      <c r="FW15" s="139"/>
      <c r="FX15" s="139"/>
      <c r="FY15" s="139"/>
      <c r="FZ15" s="139"/>
      <c r="GA15" s="139"/>
      <c r="GB15" s="139"/>
      <c r="GC15" s="139"/>
      <c r="GD15" s="139"/>
      <c r="GE15" s="139"/>
      <c r="GF15" s="139"/>
      <c r="GG15" s="139"/>
      <c r="GH15" s="139"/>
      <c r="GI15" s="139"/>
      <c r="GJ15" s="139"/>
      <c r="GK15" s="139"/>
      <c r="GL15" s="139"/>
      <c r="GM15" s="139"/>
      <c r="GN15" s="139"/>
      <c r="GO15" s="139"/>
      <c r="GP15" s="139"/>
      <c r="GQ15" s="139"/>
      <c r="GR15" s="139"/>
      <c r="GS15" s="139"/>
      <c r="GT15" s="139"/>
      <c r="GU15" s="139"/>
      <c r="GV15" s="139"/>
      <c r="GW15" s="139"/>
      <c r="GX15" s="139"/>
      <c r="GY15" s="139"/>
      <c r="GZ15" s="139"/>
      <c r="HA15" s="139"/>
      <c r="HB15" s="139"/>
      <c r="HC15" s="139"/>
      <c r="HD15" s="139"/>
      <c r="HE15" s="139"/>
      <c r="HF15" s="139"/>
      <c r="HG15" s="139"/>
      <c r="HH15" s="139"/>
      <c r="HI15" s="139"/>
      <c r="HJ15" s="139"/>
      <c r="HK15" s="139"/>
      <c r="HL15" s="139"/>
      <c r="HM15" s="139"/>
      <c r="HN15" s="139"/>
      <c r="HO15" s="139"/>
      <c r="HP15" s="139"/>
      <c r="HQ15" s="139"/>
      <c r="HR15" s="139"/>
      <c r="HS15" s="139"/>
      <c r="HT15" s="139"/>
      <c r="HU15" s="139"/>
      <c r="HV15" s="139"/>
      <c r="HW15" s="139"/>
      <c r="HX15" s="139"/>
      <c r="HY15" s="139"/>
      <c r="HZ15" s="139"/>
      <c r="IA15" s="139"/>
      <c r="IB15" s="139"/>
      <c r="IC15" s="139"/>
      <c r="ID15" s="139"/>
      <c r="IE15" s="139"/>
      <c r="IF15" s="139"/>
      <c r="IG15" s="139"/>
      <c r="IH15" s="139"/>
      <c r="II15" s="139"/>
      <c r="IJ15" s="139"/>
      <c r="IK15" s="139"/>
      <c r="IL15" s="139"/>
      <c r="IM15" s="139"/>
      <c r="IN15" s="139"/>
      <c r="IO15" s="139"/>
      <c r="IP15" s="139"/>
      <c r="IQ15" s="139"/>
      <c r="IR15" s="139"/>
      <c r="IS15" s="139"/>
      <c r="IT15" s="139"/>
      <c r="IU15" s="139"/>
      <c r="IV15" s="139"/>
      <c r="IW15" s="139"/>
      <c r="IX15" s="139"/>
      <c r="IY15" s="139"/>
      <c r="IZ15" s="139"/>
      <c r="JA15" s="139"/>
      <c r="JB15" s="139"/>
      <c r="JC15" s="139"/>
      <c r="JD15" s="139"/>
      <c r="JE15" s="139"/>
      <c r="JF15" s="139"/>
      <c r="JG15" s="139"/>
      <c r="JH15" s="139"/>
      <c r="JI15" s="139"/>
      <c r="JJ15" s="139"/>
      <c r="JK15" s="139"/>
      <c r="JL15" s="139"/>
      <c r="JM15" s="139"/>
      <c r="JN15" s="139"/>
      <c r="JO15" s="139"/>
      <c r="JP15" s="139"/>
      <c r="JQ15" s="139"/>
      <c r="JR15" s="139"/>
      <c r="JS15" s="139"/>
      <c r="JT15" s="139"/>
      <c r="JU15" s="139"/>
      <c r="JV15" s="139"/>
      <c r="JW15" s="139"/>
      <c r="JX15" s="139"/>
      <c r="JY15" s="139"/>
      <c r="JZ15" s="139"/>
      <c r="KA15" s="139"/>
      <c r="KB15" s="139"/>
      <c r="KC15" s="139"/>
      <c r="KD15" s="139"/>
      <c r="KE15" s="139"/>
      <c r="KF15" s="139"/>
      <c r="KG15" s="139"/>
      <c r="KH15" s="139"/>
      <c r="KI15" s="139"/>
      <c r="KJ15" s="139"/>
      <c r="KK15" s="139"/>
      <c r="KL15" s="139"/>
      <c r="KM15" s="139"/>
      <c r="KN15" s="139"/>
      <c r="KO15" s="139"/>
      <c r="KP15" s="139"/>
      <c r="KQ15" s="139"/>
      <c r="KR15" s="139"/>
      <c r="KS15" s="139"/>
      <c r="KT15" s="139"/>
      <c r="KU15" s="139"/>
      <c r="KV15" s="139"/>
      <c r="KW15" s="139"/>
      <c r="KX15" s="139"/>
      <c r="KY15" s="139"/>
      <c r="KZ15" s="139"/>
      <c r="LA15" s="139"/>
      <c r="LB15" s="139"/>
      <c r="LC15" s="139"/>
      <c r="LD15" s="139"/>
      <c r="LE15" s="139"/>
      <c r="LF15" s="139"/>
      <c r="LG15" s="139"/>
      <c r="LH15" s="139"/>
      <c r="LI15" s="139"/>
      <c r="LJ15" s="139"/>
      <c r="LK15" s="139"/>
      <c r="LL15" s="139"/>
      <c r="LM15" s="139"/>
      <c r="LN15" s="139"/>
      <c r="LO15" s="139"/>
      <c r="LP15" s="139"/>
      <c r="LQ15" s="139"/>
      <c r="LR15" s="139"/>
      <c r="LS15" s="139"/>
      <c r="LT15" s="139"/>
      <c r="LU15" s="139"/>
    </row>
    <row r="16" spans="1:333" s="139" customFormat="1" x14ac:dyDescent="0.25">
      <c r="A16" s="5"/>
      <c r="B16" s="15" t="s">
        <v>41</v>
      </c>
      <c r="C16" s="4"/>
      <c r="D16" s="4"/>
      <c r="E16" s="4"/>
      <c r="F16" s="4"/>
      <c r="G16" s="4"/>
      <c r="H16" s="4"/>
      <c r="I16" s="4"/>
      <c r="J16" s="4"/>
      <c r="K16" s="4"/>
      <c r="L16" s="4"/>
      <c r="M16" s="4"/>
      <c r="N16" s="4"/>
      <c r="O16" s="4"/>
      <c r="P16" s="4"/>
      <c r="Q16" s="4"/>
      <c r="R16" s="4"/>
      <c r="S16" s="4"/>
      <c r="T16" s="5"/>
      <c r="U16" s="5"/>
      <c r="V16" s="5"/>
      <c r="W16" s="5"/>
      <c r="X16" s="5"/>
      <c r="Y16" s="5"/>
      <c r="Z16" s="5"/>
      <c r="AA16" s="5"/>
      <c r="AB16" s="5"/>
      <c r="AC16" s="5"/>
      <c r="AD16" s="5"/>
      <c r="AE16" s="5"/>
      <c r="AF16" s="158">
        <f>AF13/AF12</f>
        <v>0.3052425281724645</v>
      </c>
      <c r="AG16" s="158">
        <f>AG13/AG12</f>
        <v>0.36342659359676954</v>
      </c>
      <c r="AH16" s="158">
        <f t="shared" ref="AG16:AL16" si="18">AH13/AH12</f>
        <v>0.25780199085283834</v>
      </c>
      <c r="AI16" s="158">
        <f t="shared" si="18"/>
        <v>0.29576443284015086</v>
      </c>
      <c r="AJ16" s="158">
        <f t="shared" si="18"/>
        <v>0.22024577364383188</v>
      </c>
      <c r="AK16" s="158">
        <f t="shared" si="18"/>
        <v>6.8232421173597638E-2</v>
      </c>
      <c r="AL16" s="158">
        <f t="shared" si="18"/>
        <v>-0.55880665519219741</v>
      </c>
      <c r="AM16" s="158">
        <f>AM13/AM12</f>
        <v>0.49863334634908241</v>
      </c>
      <c r="AN16" s="158">
        <v>0.2</v>
      </c>
      <c r="AO16" s="158">
        <v>0.2</v>
      </c>
      <c r="AP16" s="158">
        <v>0.2</v>
      </c>
      <c r="AQ16" s="158">
        <v>0.2</v>
      </c>
      <c r="AR16" s="158">
        <v>0.2</v>
      </c>
    </row>
    <row r="17" spans="1:47" s="139" customFormat="1" x14ac:dyDescent="0.25">
      <c r="A17" s="5"/>
      <c r="B17" s="5"/>
      <c r="C17" s="4"/>
      <c r="D17" s="4"/>
      <c r="E17" s="4"/>
      <c r="F17" s="4"/>
      <c r="G17" s="4"/>
      <c r="H17" s="4"/>
      <c r="I17" s="4"/>
      <c r="J17" s="4"/>
      <c r="K17" s="4"/>
      <c r="L17" s="4"/>
      <c r="M17" s="4"/>
      <c r="N17" s="4"/>
      <c r="O17" s="4"/>
      <c r="P17" s="4"/>
      <c r="Q17" s="4"/>
      <c r="R17" s="4"/>
      <c r="S17" s="4"/>
      <c r="T17" s="5"/>
      <c r="U17" s="5"/>
      <c r="V17" s="5"/>
      <c r="W17" s="5"/>
      <c r="X17" s="5"/>
      <c r="Y17" s="5"/>
      <c r="Z17" s="5"/>
      <c r="AA17" s="5"/>
      <c r="AB17" s="5"/>
      <c r="AC17" s="5"/>
      <c r="AD17" s="5"/>
      <c r="AE17" s="5"/>
      <c r="AF17" s="140"/>
      <c r="AG17" s="140"/>
      <c r="AH17" s="140"/>
      <c r="AI17" s="140"/>
      <c r="AJ17" s="140"/>
      <c r="AK17" s="140"/>
      <c r="AL17" s="140"/>
      <c r="AM17" s="140"/>
      <c r="AN17" s="140"/>
      <c r="AO17" s="140"/>
      <c r="AP17" s="140"/>
      <c r="AQ17" s="140"/>
      <c r="AR17" s="140"/>
    </row>
    <row r="18" spans="1:47" s="139" customFormat="1" x14ac:dyDescent="0.25">
      <c r="A18" s="5"/>
      <c r="B18" s="5"/>
      <c r="C18" s="4"/>
      <c r="D18" s="4"/>
      <c r="E18" s="4"/>
      <c r="F18" s="4"/>
      <c r="G18" s="4"/>
      <c r="H18" s="4"/>
      <c r="I18" s="4"/>
      <c r="J18" s="4"/>
      <c r="K18" s="4"/>
      <c r="L18" s="4"/>
      <c r="M18" s="4"/>
      <c r="N18" s="4"/>
      <c r="O18" s="4"/>
      <c r="P18" s="4"/>
      <c r="Q18" s="4"/>
      <c r="R18" s="4"/>
      <c r="S18" s="4"/>
      <c r="T18" s="5"/>
      <c r="U18" s="5"/>
      <c r="V18" s="5"/>
      <c r="W18" s="5"/>
      <c r="X18" s="5"/>
      <c r="Y18" s="5"/>
      <c r="Z18" s="5"/>
      <c r="AA18" s="5"/>
      <c r="AB18" s="5"/>
      <c r="AC18" s="5"/>
      <c r="AD18" s="5"/>
      <c r="AE18" s="5"/>
      <c r="AF18" s="140"/>
      <c r="AG18" s="140"/>
      <c r="AH18" s="140"/>
      <c r="AI18" s="140"/>
      <c r="AJ18" s="140"/>
      <c r="AK18" s="140"/>
      <c r="AL18" s="140"/>
      <c r="AM18" s="140"/>
      <c r="AN18" s="140"/>
      <c r="AO18" s="140"/>
      <c r="AP18" s="140"/>
      <c r="AQ18" s="140"/>
      <c r="AR18" s="140"/>
      <c r="AT18" s="163" t="s">
        <v>233</v>
      </c>
      <c r="AU18" s="164"/>
    </row>
    <row r="19" spans="1:47" s="139" customFormat="1" x14ac:dyDescent="0.25">
      <c r="A19" s="5"/>
      <c r="B19" s="5" t="s">
        <v>238</v>
      </c>
      <c r="C19" s="4"/>
      <c r="D19" s="4"/>
      <c r="E19" s="4"/>
      <c r="F19" s="4"/>
      <c r="G19" s="4"/>
      <c r="H19" s="4"/>
      <c r="I19" s="4"/>
      <c r="J19" s="4"/>
      <c r="K19" s="4"/>
      <c r="L19" s="4"/>
      <c r="M19" s="4"/>
      <c r="N19" s="4"/>
      <c r="O19" s="4"/>
      <c r="P19" s="4"/>
      <c r="Q19" s="4"/>
      <c r="R19" s="4"/>
      <c r="S19" s="4"/>
      <c r="T19" s="5"/>
      <c r="U19" s="5"/>
      <c r="V19" s="5"/>
      <c r="W19" s="5"/>
      <c r="X19" s="5"/>
      <c r="Y19" s="5"/>
      <c r="Z19" s="5"/>
      <c r="AA19" s="5"/>
      <c r="AB19" s="5"/>
      <c r="AC19" s="5"/>
      <c r="AD19" s="5"/>
      <c r="AE19" s="5"/>
      <c r="AF19" s="140">
        <f>AF15+AF11*(1-AF16)</f>
        <v>7394.6976972072516</v>
      </c>
      <c r="AG19" s="140">
        <f>AG15+AG11*(1-AG16)</f>
        <v>8387.9379867320458</v>
      </c>
      <c r="AH19" s="140">
        <f>AH15+AH11*(1-AH16)</f>
        <v>9446.3623217648637</v>
      </c>
      <c r="AI19" s="140">
        <f t="shared" ref="AF19:AK19" si="19">AI15+AI11*(1-AI16)</f>
        <v>9411.7753118653909</v>
      </c>
      <c r="AJ19" s="140">
        <f t="shared" si="19"/>
        <v>13429.365469481974</v>
      </c>
      <c r="AK19" s="140">
        <f t="shared" si="19"/>
        <v>11402.949795302737</v>
      </c>
      <c r="AL19" s="140">
        <f>AL15+(-AL11)*(1-AL16)</f>
        <v>5188.3585771658072</v>
      </c>
      <c r="AM19" s="140">
        <f>AM15+AM8+AM11*(1-AM16)</f>
        <v>7970.3814916048423</v>
      </c>
      <c r="AN19" s="140">
        <f t="shared" ref="AN19:AR19" si="20">AN15+AN8+AN11*(1-AN16)</f>
        <v>13176.763199999998</v>
      </c>
      <c r="AO19" s="140">
        <f t="shared" si="20"/>
        <v>17977.519081919989</v>
      </c>
      <c r="AP19" s="140">
        <f t="shared" si="20"/>
        <v>22613.665294855538</v>
      </c>
      <c r="AQ19" s="140">
        <f t="shared" si="20"/>
        <v>25336.824477840564</v>
      </c>
      <c r="AR19" s="140">
        <f t="shared" si="20"/>
        <v>27425.588588841219</v>
      </c>
      <c r="AT19" s="104"/>
      <c r="AU19" s="169"/>
    </row>
    <row r="20" spans="1:47" s="139" customFormat="1" x14ac:dyDescent="0.25">
      <c r="A20" s="5"/>
      <c r="B20" s="5" t="s">
        <v>239</v>
      </c>
      <c r="C20" s="4"/>
      <c r="D20" s="4"/>
      <c r="E20" s="4"/>
      <c r="F20" s="4"/>
      <c r="G20" s="4"/>
      <c r="H20" s="4"/>
      <c r="I20" s="4"/>
      <c r="J20" s="4"/>
      <c r="K20" s="4"/>
      <c r="L20" s="4"/>
      <c r="M20" s="4"/>
      <c r="N20" s="4"/>
      <c r="O20" s="4"/>
      <c r="P20" s="4"/>
      <c r="Q20" s="4"/>
      <c r="R20" s="4"/>
      <c r="S20" s="4"/>
      <c r="T20" s="5"/>
      <c r="U20" s="5"/>
      <c r="V20" s="5"/>
      <c r="W20" s="5"/>
      <c r="X20" s="5"/>
      <c r="Y20" s="5">
        <v>-1566</v>
      </c>
      <c r="Z20" s="5">
        <v>-1586</v>
      </c>
      <c r="AA20" s="5">
        <v>-1753</v>
      </c>
      <c r="AB20" s="5">
        <v>-2110</v>
      </c>
      <c r="AC20" s="5">
        <v>-3559</v>
      </c>
      <c r="AD20" s="5">
        <v>-3784</v>
      </c>
      <c r="AE20" s="5">
        <v>-2796</v>
      </c>
      <c r="AF20" s="140">
        <v>-3311</v>
      </c>
      <c r="AG20" s="140">
        <v>-4265</v>
      </c>
      <c r="AH20" s="140">
        <v>-4773</v>
      </c>
      <c r="AI20" s="140">
        <v>-3623</v>
      </c>
      <c r="AJ20" s="4">
        <v>-4465</v>
      </c>
      <c r="AK20" s="4">
        <v>-4876</v>
      </c>
      <c r="AL20" s="4">
        <v>-4022</v>
      </c>
      <c r="AM20" s="4">
        <v>-3799</v>
      </c>
      <c r="AN20" s="140"/>
      <c r="AO20" s="140"/>
      <c r="AP20" s="140"/>
      <c r="AQ20" s="140"/>
      <c r="AR20" s="140"/>
      <c r="AT20" s="104"/>
      <c r="AU20" s="169"/>
    </row>
    <row r="21" spans="1:47" s="139" customFormat="1" x14ac:dyDescent="0.25">
      <c r="A21" s="5"/>
      <c r="B21" s="5" t="s">
        <v>241</v>
      </c>
      <c r="C21" s="4"/>
      <c r="D21" s="4"/>
      <c r="E21" s="4"/>
      <c r="F21" s="4"/>
      <c r="G21" s="4"/>
      <c r="H21" s="4"/>
      <c r="I21" s="4"/>
      <c r="J21" s="4"/>
      <c r="K21" s="4"/>
      <c r="L21" s="4"/>
      <c r="M21" s="4"/>
      <c r="N21" s="4"/>
      <c r="O21" s="4"/>
      <c r="P21" s="4"/>
      <c r="Q21" s="4"/>
      <c r="R21" s="4"/>
      <c r="S21" s="4"/>
      <c r="T21" s="5"/>
      <c r="U21" s="5"/>
      <c r="V21" s="5"/>
      <c r="W21" s="5"/>
      <c r="X21" s="5"/>
      <c r="Y21" s="5"/>
      <c r="Z21" s="5"/>
      <c r="AA21" s="5"/>
      <c r="AB21" s="5"/>
      <c r="AC21" s="5"/>
      <c r="AD21" s="5"/>
      <c r="AE21" s="5"/>
      <c r="AF21" s="140">
        <v>2385.3023027927502</v>
      </c>
      <c r="AG21" s="140">
        <v>2521.0620132679501</v>
      </c>
      <c r="AH21" s="140">
        <v>3690</v>
      </c>
      <c r="AI21" s="140">
        <v>2931</v>
      </c>
      <c r="AJ21" s="140">
        <v>866</v>
      </c>
      <c r="AK21" s="140">
        <v>-4797</v>
      </c>
      <c r="AL21" s="140">
        <v>2408</v>
      </c>
      <c r="AM21" s="140"/>
      <c r="AN21" s="140"/>
      <c r="AO21" s="140"/>
      <c r="AP21" s="140"/>
      <c r="AQ21" s="140"/>
      <c r="AR21" s="140"/>
      <c r="AT21" s="104"/>
      <c r="AU21" s="172"/>
    </row>
    <row r="22" spans="1:47" s="139" customFormat="1" x14ac:dyDescent="0.25">
      <c r="A22" s="5"/>
      <c r="B22" s="5" t="s">
        <v>228</v>
      </c>
      <c r="C22" s="4"/>
      <c r="D22" s="4"/>
      <c r="E22" s="4"/>
      <c r="F22" s="4"/>
      <c r="G22" s="4"/>
      <c r="H22" s="4"/>
      <c r="I22" s="4"/>
      <c r="J22" s="4"/>
      <c r="K22" s="4"/>
      <c r="L22" s="4"/>
      <c r="M22" s="4"/>
      <c r="N22" s="4"/>
      <c r="O22" s="4"/>
      <c r="P22" s="4"/>
      <c r="Q22" s="4"/>
      <c r="R22" s="4"/>
      <c r="S22" s="4"/>
      <c r="T22" s="5"/>
      <c r="U22" s="5"/>
      <c r="V22" s="5"/>
      <c r="W22" s="5"/>
      <c r="X22" s="5"/>
      <c r="Y22" s="5">
        <v>3855</v>
      </c>
      <c r="Z22" s="5">
        <v>3860</v>
      </c>
      <c r="AA22" s="5">
        <v>3566</v>
      </c>
      <c r="AB22" s="5">
        <v>4468</v>
      </c>
      <c r="AC22" s="5">
        <v>3435</v>
      </c>
      <c r="AD22" s="5">
        <v>4182</v>
      </c>
      <c r="AE22" s="5">
        <v>6656</v>
      </c>
      <c r="AF22" s="140">
        <f>SUM(AF19:AF21)</f>
        <v>6469.0000000000018</v>
      </c>
      <c r="AG22" s="140">
        <f>SUM(AG19:AG21)</f>
        <v>6643.9999999999964</v>
      </c>
      <c r="AH22" s="140">
        <f>SUM(AH19:AH21)</f>
        <v>8363.3623217648637</v>
      </c>
      <c r="AI22" s="140">
        <f>SUM(AI19:AI21)</f>
        <v>8719.7753118653909</v>
      </c>
      <c r="AJ22" s="140">
        <v>9830</v>
      </c>
      <c r="AK22" s="140">
        <v>1730</v>
      </c>
      <c r="AL22" s="140">
        <f>SUM(AL19:AL21)</f>
        <v>3574.3585771658072</v>
      </c>
      <c r="AM22" s="180">
        <v>1989</v>
      </c>
      <c r="AN22" s="180">
        <v>3552</v>
      </c>
      <c r="AO22" s="180">
        <v>6654</v>
      </c>
      <c r="AP22" s="180">
        <f>AO22*1.3</f>
        <v>8650.2000000000007</v>
      </c>
      <c r="AQ22" s="180">
        <f t="shared" ref="AQ22:AR22" si="21">AP22*1.12</f>
        <v>9688.224000000002</v>
      </c>
      <c r="AR22" s="180">
        <f t="shared" si="21"/>
        <v>10850.810880000003</v>
      </c>
      <c r="AT22" s="165"/>
      <c r="AU22" s="166"/>
    </row>
    <row r="23" spans="1:47" s="139" customFormat="1" x14ac:dyDescent="0.25">
      <c r="A23" s="5"/>
      <c r="B23" s="5"/>
      <c r="C23" s="4"/>
      <c r="D23" s="4"/>
      <c r="E23" s="4"/>
      <c r="F23" s="4"/>
      <c r="G23" s="4"/>
      <c r="H23" s="4"/>
      <c r="I23" s="4"/>
      <c r="J23" s="4"/>
      <c r="K23" s="4"/>
      <c r="L23" s="4"/>
      <c r="M23" s="4"/>
      <c r="N23" s="4"/>
      <c r="O23" s="4"/>
      <c r="P23" s="4"/>
      <c r="Q23" s="4"/>
      <c r="R23" s="4"/>
      <c r="S23" s="4"/>
      <c r="T23" s="5"/>
      <c r="U23" s="5"/>
      <c r="V23" s="5"/>
      <c r="W23" s="5"/>
      <c r="X23" s="5"/>
      <c r="Y23" s="5"/>
      <c r="Z23" s="5"/>
      <c r="AA23" s="5"/>
      <c r="AB23" s="5"/>
      <c r="AC23" s="5"/>
      <c r="AD23" s="5"/>
      <c r="AE23" s="5"/>
      <c r="AF23" s="140"/>
      <c r="AG23" s="140"/>
      <c r="AH23" s="140"/>
      <c r="AI23" s="140"/>
      <c r="AJ23" s="140"/>
      <c r="AK23" s="140"/>
      <c r="AL23" s="140"/>
      <c r="AM23" s="148"/>
      <c r="AN23" s="148"/>
      <c r="AO23" s="148"/>
      <c r="AP23" s="148"/>
      <c r="AQ23" s="148"/>
      <c r="AR23" s="148"/>
      <c r="AT23" s="165"/>
      <c r="AU23" s="166"/>
    </row>
    <row r="24" spans="1:47" s="139" customFormat="1" x14ac:dyDescent="0.25">
      <c r="A24" s="5"/>
      <c r="B24" s="5"/>
      <c r="C24" s="4"/>
      <c r="D24" s="4"/>
      <c r="E24" s="4"/>
      <c r="F24" s="4"/>
      <c r="G24" s="4"/>
      <c r="H24" s="4"/>
      <c r="I24" s="4"/>
      <c r="J24" s="4"/>
      <c r="K24" s="4"/>
      <c r="L24" s="4"/>
      <c r="M24" s="4"/>
      <c r="N24" s="4"/>
      <c r="O24" s="4"/>
      <c r="P24" s="4"/>
      <c r="Q24" s="4"/>
      <c r="R24" s="4"/>
      <c r="S24" s="4"/>
      <c r="T24" s="5"/>
      <c r="U24" s="5"/>
      <c r="V24" s="5"/>
      <c r="W24" s="5"/>
      <c r="X24" s="5"/>
      <c r="Y24" s="5"/>
      <c r="Z24" s="5"/>
      <c r="AA24" s="5"/>
      <c r="AB24" s="5"/>
      <c r="AC24" s="5"/>
      <c r="AD24" s="5"/>
      <c r="AE24" s="5"/>
      <c r="AF24" s="140"/>
      <c r="AG24" s="140"/>
      <c r="AH24" s="140"/>
      <c r="AI24" s="140"/>
      <c r="AJ24" s="140"/>
      <c r="AK24" s="140"/>
      <c r="AL24" s="140"/>
      <c r="AM24" s="140"/>
      <c r="AN24" s="140"/>
      <c r="AO24" s="140"/>
      <c r="AP24" s="140"/>
      <c r="AQ24" s="140"/>
      <c r="AR24" s="140"/>
      <c r="AT24" s="165"/>
      <c r="AU24" s="166"/>
    </row>
    <row r="25" spans="1:47" s="139" customFormat="1" x14ac:dyDescent="0.25">
      <c r="A25" s="5"/>
      <c r="B25" s="5"/>
      <c r="C25" s="4"/>
      <c r="D25" s="4"/>
      <c r="E25" s="4"/>
      <c r="F25" s="4"/>
      <c r="G25" s="4"/>
      <c r="H25" s="4"/>
      <c r="I25" s="4"/>
      <c r="J25" s="4"/>
      <c r="K25" s="4"/>
      <c r="L25" s="4"/>
      <c r="M25" s="4"/>
      <c r="N25" s="4"/>
      <c r="O25" s="4"/>
      <c r="P25" s="4"/>
      <c r="Q25" s="4"/>
      <c r="R25" s="4"/>
      <c r="S25" s="4"/>
      <c r="T25" s="5"/>
      <c r="U25" s="5"/>
      <c r="V25" s="5"/>
      <c r="W25" s="5"/>
      <c r="X25" s="5"/>
      <c r="Y25" s="5"/>
      <c r="Z25" s="5"/>
      <c r="AA25" s="5"/>
      <c r="AB25" s="5"/>
      <c r="AC25" s="5"/>
      <c r="AD25" s="5"/>
      <c r="AE25" s="5"/>
      <c r="AF25" s="140"/>
      <c r="AG25" s="140"/>
      <c r="AH25" s="140"/>
      <c r="AI25" s="140"/>
      <c r="AJ25" s="140"/>
      <c r="AK25" s="140"/>
      <c r="AL25" s="140"/>
      <c r="AM25" s="140"/>
      <c r="AN25" s="140"/>
      <c r="AO25" s="140"/>
      <c r="AP25" s="140"/>
      <c r="AQ25" s="140"/>
      <c r="AR25" s="140"/>
      <c r="AT25" s="165"/>
      <c r="AU25" s="166"/>
    </row>
    <row r="26" spans="1:47" s="13" customFormat="1" x14ac:dyDescent="0.25">
      <c r="B26" s="5" t="s">
        <v>245</v>
      </c>
      <c r="C26" s="157" t="e">
        <f t="shared" ref="C26:S26" si="22">C15/C31</f>
        <v>#REF!</v>
      </c>
      <c r="D26" s="157" t="e">
        <f t="shared" si="22"/>
        <v>#REF!</v>
      </c>
      <c r="E26" s="157" t="e">
        <f t="shared" si="22"/>
        <v>#REF!</v>
      </c>
      <c r="F26" s="157" t="e">
        <f t="shared" si="22"/>
        <v>#REF!</v>
      </c>
      <c r="G26" s="157" t="e">
        <f t="shared" si="22"/>
        <v>#REF!</v>
      </c>
      <c r="H26" s="157" t="e">
        <f t="shared" si="22"/>
        <v>#REF!</v>
      </c>
      <c r="I26" s="157" t="e">
        <f t="shared" si="22"/>
        <v>#REF!</v>
      </c>
      <c r="J26" s="157" t="e">
        <f t="shared" si="22"/>
        <v>#REF!</v>
      </c>
      <c r="K26" s="157" t="e">
        <f t="shared" si="22"/>
        <v>#REF!</v>
      </c>
      <c r="L26" s="157" t="e">
        <f t="shared" si="22"/>
        <v>#REF!</v>
      </c>
      <c r="M26" s="157" t="e">
        <f t="shared" si="22"/>
        <v>#REF!</v>
      </c>
      <c r="N26" s="157">
        <f t="shared" si="22"/>
        <v>-0.30143805309734512</v>
      </c>
      <c r="O26" s="157" t="e">
        <f t="shared" si="22"/>
        <v>#REF!</v>
      </c>
      <c r="P26" s="157" t="e">
        <f t="shared" si="22"/>
        <v>#REF!</v>
      </c>
      <c r="Q26" s="157" t="e">
        <f t="shared" si="22"/>
        <v>#REF!</v>
      </c>
      <c r="R26" s="157" t="e">
        <f t="shared" si="22"/>
        <v>#REF!</v>
      </c>
      <c r="S26" s="157" t="e">
        <f t="shared" si="22"/>
        <v>#REF!</v>
      </c>
      <c r="Z26" s="159">
        <f>Z20/Y20-1</f>
        <v>1.2771392081736943E-2</v>
      </c>
      <c r="AA26" s="159">
        <f t="shared" ref="AA26:AL26" si="23">AA20/Z20-1</f>
        <v>0.10529634300126101</v>
      </c>
      <c r="AB26" s="159">
        <f t="shared" si="23"/>
        <v>0.20365088419851674</v>
      </c>
      <c r="AC26" s="159">
        <f t="shared" si="23"/>
        <v>0.68672985781990525</v>
      </c>
      <c r="AD26" s="159">
        <f t="shared" si="23"/>
        <v>6.3220005619555986E-2</v>
      </c>
      <c r="AE26" s="159">
        <f t="shared" si="23"/>
        <v>-0.2610993657505285</v>
      </c>
      <c r="AF26" s="159">
        <f t="shared" si="23"/>
        <v>0.18419170243204586</v>
      </c>
      <c r="AG26" s="159">
        <f t="shared" si="23"/>
        <v>0.2881304741769859</v>
      </c>
      <c r="AH26" s="159">
        <f t="shared" si="23"/>
        <v>0.11910902696365766</v>
      </c>
      <c r="AI26" s="159">
        <f t="shared" si="23"/>
        <v>-0.24093861303163633</v>
      </c>
      <c r="AJ26" s="159">
        <f t="shared" si="23"/>
        <v>0.23240408501242071</v>
      </c>
      <c r="AK26" s="159">
        <f t="shared" si="23"/>
        <v>9.2049272116461411E-2</v>
      </c>
      <c r="AL26" s="159">
        <f t="shared" si="23"/>
        <v>-0.17514356029532407</v>
      </c>
      <c r="AM26" s="157"/>
      <c r="AT26" s="174" t="s">
        <v>248</v>
      </c>
      <c r="AU26" s="179">
        <f>AVERAGE(Z26:AL26)</f>
        <v>0.10079780802654296</v>
      </c>
    </row>
    <row r="27" spans="1:47" s="13" customFormat="1" x14ac:dyDescent="0.25">
      <c r="B27" s="5" t="s">
        <v>246</v>
      </c>
      <c r="C27" s="157"/>
      <c r="D27" s="157"/>
      <c r="E27" s="157"/>
      <c r="F27" s="157"/>
      <c r="G27" s="157"/>
      <c r="H27" s="157"/>
      <c r="I27" s="157"/>
      <c r="J27" s="157"/>
      <c r="K27" s="157"/>
      <c r="L27" s="157"/>
      <c r="M27" s="157"/>
      <c r="N27" s="157"/>
      <c r="O27" s="157"/>
      <c r="P27" s="157"/>
      <c r="Q27" s="157"/>
      <c r="R27" s="157"/>
      <c r="S27" s="157"/>
      <c r="Z27" s="159">
        <f>(Y22/Z22)-1</f>
        <v>-1.2953367875647714E-3</v>
      </c>
      <c r="AA27" s="159">
        <f t="shared" ref="AA27:AC27" si="24">(Z22/AA22)-1</f>
        <v>8.2445316881660125E-2</v>
      </c>
      <c r="AB27" s="159">
        <f>AB22/AA22-1</f>
        <v>0.25294447560291644</v>
      </c>
      <c r="AC27" s="159">
        <f t="shared" si="24"/>
        <v>0.30072780203784566</v>
      </c>
      <c r="AD27" s="159">
        <f>AD22/AC22-1</f>
        <v>0.21746724890829694</v>
      </c>
      <c r="AE27" s="159">
        <f t="shared" ref="AE27:AR27" si="25">AE22/AD22-1</f>
        <v>0.59158297465327592</v>
      </c>
      <c r="AF27" s="159">
        <f t="shared" si="25"/>
        <v>-2.809495192307665E-2</v>
      </c>
      <c r="AG27" s="159">
        <f t="shared" si="25"/>
        <v>2.7052094605038546E-2</v>
      </c>
      <c r="AH27" s="159">
        <f t="shared" si="25"/>
        <v>0.25878421459435108</v>
      </c>
      <c r="AI27" s="159">
        <f t="shared" si="25"/>
        <v>4.2615992992793839E-2</v>
      </c>
      <c r="AJ27" s="159">
        <f t="shared" si="25"/>
        <v>0.12732262569012254</v>
      </c>
      <c r="AK27" s="159">
        <f t="shared" si="25"/>
        <v>-0.82400813835198372</v>
      </c>
      <c r="AL27" s="159">
        <f t="shared" si="25"/>
        <v>1.0661032237952641</v>
      </c>
      <c r="AM27" s="159">
        <f t="shared" si="25"/>
        <v>-0.44353652353001338</v>
      </c>
      <c r="AN27" s="159">
        <f t="shared" si="25"/>
        <v>0.78582202111613886</v>
      </c>
      <c r="AO27" s="159">
        <f t="shared" si="25"/>
        <v>0.87331081081081074</v>
      </c>
      <c r="AP27" s="159">
        <f t="shared" si="25"/>
        <v>0.30000000000000004</v>
      </c>
      <c r="AQ27" s="159">
        <f t="shared" si="25"/>
        <v>0.12000000000000011</v>
      </c>
      <c r="AR27" s="159">
        <f t="shared" si="25"/>
        <v>0.12000000000000011</v>
      </c>
      <c r="AS27" s="173"/>
      <c r="AT27" s="174" t="s">
        <v>247</v>
      </c>
      <c r="AU27" s="175">
        <f>AVERAGE(Z27:AM27)</f>
        <v>0.11929364422635191</v>
      </c>
    </row>
    <row r="28" spans="1:47" s="13" customFormat="1" x14ac:dyDescent="0.25">
      <c r="B28" s="5"/>
      <c r="C28" s="157"/>
      <c r="D28" s="157"/>
      <c r="E28" s="157"/>
      <c r="F28" s="157"/>
      <c r="G28" s="157"/>
      <c r="H28" s="157"/>
      <c r="I28" s="157"/>
      <c r="J28" s="157"/>
      <c r="K28" s="157"/>
      <c r="L28" s="157"/>
      <c r="M28" s="157"/>
      <c r="N28" s="157"/>
      <c r="O28" s="157"/>
      <c r="P28" s="157"/>
      <c r="Q28" s="157"/>
      <c r="R28" s="157"/>
      <c r="S28" s="157"/>
      <c r="AE28" s="5"/>
      <c r="AF28" s="5"/>
      <c r="AJ28" s="157"/>
      <c r="AK28" s="157"/>
      <c r="AL28" s="157"/>
      <c r="AM28" s="157"/>
      <c r="AT28" s="104"/>
      <c r="AU28" s="167"/>
    </row>
    <row r="29" spans="1:47" s="13" customFormat="1" x14ac:dyDescent="0.25">
      <c r="B29" s="5" t="s">
        <v>240</v>
      </c>
      <c r="C29" s="157"/>
      <c r="D29" s="157"/>
      <c r="E29" s="157"/>
      <c r="F29" s="157"/>
      <c r="G29" s="157"/>
      <c r="H29" s="157"/>
      <c r="I29" s="157"/>
      <c r="J29" s="157"/>
      <c r="K29" s="157"/>
      <c r="L29" s="157"/>
      <c r="M29" s="157"/>
      <c r="N29" s="157"/>
      <c r="O29" s="157"/>
      <c r="P29" s="157"/>
      <c r="Q29" s="157"/>
      <c r="R29" s="157"/>
      <c r="S29" s="157"/>
      <c r="AF29" s="5"/>
      <c r="AJ29" s="157"/>
      <c r="AK29" s="157"/>
      <c r="AL29" s="157"/>
      <c r="AM29" s="157"/>
      <c r="AR29" s="139">
        <f>(AR22*(1-AU5))/(AU6-AU5)</f>
        <v>175421.44256000005</v>
      </c>
      <c r="AT29" s="104"/>
      <c r="AU29" s="167"/>
    </row>
    <row r="30" spans="1:47" s="13" customFormat="1" x14ac:dyDescent="0.25">
      <c r="B30" s="5" t="s">
        <v>230</v>
      </c>
      <c r="C30" s="157"/>
      <c r="D30" s="157"/>
      <c r="E30" s="157"/>
      <c r="F30" s="157"/>
      <c r="G30" s="157"/>
      <c r="H30" s="157"/>
      <c r="I30" s="157"/>
      <c r="J30" s="157"/>
      <c r="K30" s="157"/>
      <c r="L30" s="157"/>
      <c r="M30" s="157"/>
      <c r="N30" s="157"/>
      <c r="O30" s="157"/>
      <c r="P30" s="157"/>
      <c r="Q30" s="157"/>
      <c r="R30" s="157"/>
      <c r="S30" s="157"/>
      <c r="AJ30" s="157"/>
      <c r="AK30" s="157"/>
      <c r="AL30" s="157"/>
      <c r="AM30" s="4">
        <f>AM22</f>
        <v>1989</v>
      </c>
      <c r="AN30" s="5">
        <f>SUM(AN22,AN29)</f>
        <v>3552</v>
      </c>
      <c r="AO30" s="5">
        <f>SUM(AO22,AO29)</f>
        <v>6654</v>
      </c>
      <c r="AP30" s="5">
        <f>SUM(AP22,AP29)</f>
        <v>8650.2000000000007</v>
      </c>
      <c r="AQ30" s="5">
        <f t="shared" ref="AO30:AQ30" si="26">SUM(AQ22,AQ29)</f>
        <v>9688.224000000002</v>
      </c>
      <c r="AR30" s="5">
        <f>SUM(AR22,AR29)</f>
        <v>186272.25344000006</v>
      </c>
      <c r="AT30" s="104"/>
      <c r="AU30" s="167"/>
    </row>
    <row r="31" spans="1:47" x14ac:dyDescent="0.25">
      <c r="C31" s="1">
        <v>1521</v>
      </c>
      <c r="D31" s="1">
        <v>1510</v>
      </c>
      <c r="E31" s="1">
        <v>1498</v>
      </c>
      <c r="F31" s="1">
        <v>1507</v>
      </c>
      <c r="G31" s="1">
        <v>1498</v>
      </c>
      <c r="H31" s="1">
        <v>1537</v>
      </c>
      <c r="I31" s="1">
        <v>1814</v>
      </c>
      <c r="J31" s="1">
        <v>1666</v>
      </c>
      <c r="K31" s="1">
        <v>1817</v>
      </c>
      <c r="L31" s="1">
        <v>1816</v>
      </c>
      <c r="M31" s="1">
        <v>1809</v>
      </c>
      <c r="N31" s="1">
        <v>1808</v>
      </c>
      <c r="O31" s="1">
        <v>1823</v>
      </c>
      <c r="P31" s="1">
        <v>1829</v>
      </c>
      <c r="Q31" s="1">
        <v>1830</v>
      </c>
      <c r="R31" s="1">
        <v>1820</v>
      </c>
      <c r="S31" s="1">
        <v>1820</v>
      </c>
      <c r="AK31" s="117"/>
      <c r="AL31" s="117"/>
      <c r="AM31" s="117"/>
      <c r="AT31" s="104" t="s">
        <v>232</v>
      </c>
      <c r="AU31" s="172">
        <v>4.5600000000000002E-2</v>
      </c>
    </row>
    <row r="32" spans="1:47" x14ac:dyDescent="0.25">
      <c r="B32" s="2"/>
      <c r="C32" s="1"/>
      <c r="AF32" s="38"/>
      <c r="AG32" s="38"/>
      <c r="AH32" s="38"/>
      <c r="AI32" s="38"/>
      <c r="AJ32" s="38"/>
      <c r="AK32" s="156"/>
      <c r="AL32" s="156"/>
      <c r="AM32" s="156"/>
      <c r="AN32" s="38"/>
      <c r="AO32" s="38"/>
      <c r="AP32" s="38"/>
      <c r="AQ32" s="38"/>
      <c r="AR32" s="38"/>
      <c r="AT32" s="104"/>
      <c r="AU32" s="168"/>
    </row>
    <row r="33" spans="2:50" s="13" customFormat="1" x14ac:dyDescent="0.25">
      <c r="B33" s="5"/>
      <c r="C33" s="11"/>
      <c r="D33" s="11"/>
      <c r="E33" s="11"/>
      <c r="F33" s="11"/>
      <c r="G33" s="11"/>
      <c r="H33" s="11"/>
      <c r="I33" s="11"/>
      <c r="J33" s="11"/>
      <c r="K33" s="11"/>
      <c r="L33" s="11"/>
      <c r="M33" s="11"/>
      <c r="N33" s="11"/>
      <c r="O33" s="11"/>
      <c r="P33" s="11"/>
      <c r="Q33" s="11"/>
      <c r="R33" s="11"/>
      <c r="S33" s="11"/>
      <c r="AF33" s="143"/>
      <c r="AG33" s="143"/>
      <c r="AH33" s="143"/>
      <c r="AI33" s="143"/>
      <c r="AJ33" s="143"/>
      <c r="AK33" s="143"/>
      <c r="AL33" s="143"/>
      <c r="AM33" s="143"/>
      <c r="AN33" s="142"/>
      <c r="AO33" s="142"/>
      <c r="AP33" s="142"/>
      <c r="AQ33" s="142"/>
      <c r="AR33" s="142"/>
      <c r="AT33" s="104"/>
      <c r="AU33" s="167"/>
    </row>
    <row r="34" spans="2:50" s="13" customFormat="1" x14ac:dyDescent="0.25">
      <c r="B34" s="5" t="s">
        <v>39</v>
      </c>
      <c r="C34" s="11"/>
      <c r="D34" s="11"/>
      <c r="E34" s="11"/>
      <c r="F34" s="11"/>
      <c r="G34" s="12">
        <f t="shared" ref="G34:Q35" si="27">G5/C5-1</f>
        <v>-3.1268321282000855E-3</v>
      </c>
      <c r="H34" s="12">
        <f t="shared" si="27"/>
        <v>2.5708001099807642E-2</v>
      </c>
      <c r="I34" s="12">
        <f t="shared" si="27"/>
        <v>0.32937159366997171</v>
      </c>
      <c r="J34" s="12">
        <f t="shared" si="27"/>
        <v>0.33769047951908293</v>
      </c>
      <c r="K34" s="12">
        <f t="shared" si="27"/>
        <v>0.36300071881330465</v>
      </c>
      <c r="L34" s="12">
        <f t="shared" si="27"/>
        <v>0.20794799624715177</v>
      </c>
      <c r="M34" s="12">
        <f t="shared" si="27"/>
        <v>-0.4181773277352433</v>
      </c>
      <c r="N34" s="12">
        <f t="shared" si="27"/>
        <v>-0.23049589799864134</v>
      </c>
      <c r="O34" s="12">
        <f t="shared" si="27"/>
        <v>-0.22097037108064055</v>
      </c>
      <c r="P34" s="12">
        <f t="shared" si="27"/>
        <v>-0.13381414701803052</v>
      </c>
      <c r="Q34" s="12">
        <f t="shared" si="27"/>
        <v>0.44511418626368959</v>
      </c>
      <c r="R34" s="12">
        <f>R5/N5 -1</f>
        <v>0.25859024853999735</v>
      </c>
      <c r="S34" s="12">
        <f>S5/O5 -1</f>
        <v>0.34279032555849587</v>
      </c>
      <c r="AB34" s="18">
        <f t="shared" ref="AB34:AL34" si="28">AB5/AA5-1</f>
        <v>5.2947522753049814E-2</v>
      </c>
      <c r="AC34" s="18">
        <f t="shared" si="28"/>
        <v>7.4350419042114479E-2</v>
      </c>
      <c r="AD34" s="18">
        <f t="shared" si="28"/>
        <v>3.3868877313965706E-2</v>
      </c>
      <c r="AE34" s="18">
        <f t="shared" si="28"/>
        <v>6.5353138748285078E-2</v>
      </c>
      <c r="AF34" s="18">
        <f t="shared" si="28"/>
        <v>8.3745920383650363E-2</v>
      </c>
      <c r="AG34" s="145">
        <f t="shared" si="28"/>
        <v>7.8503677299080143E-2</v>
      </c>
      <c r="AH34" s="145">
        <f t="shared" si="28"/>
        <v>5.6738531674423109E-2</v>
      </c>
      <c r="AI34" s="145">
        <f t="shared" si="28"/>
        <v>-8.8977566867989299E-3</v>
      </c>
      <c r="AJ34" s="145">
        <f t="shared" si="28"/>
        <v>7.7933148339590419E-2</v>
      </c>
      <c r="AK34" s="145">
        <f t="shared" si="28"/>
        <v>0.1711646532287916</v>
      </c>
      <c r="AL34" s="145">
        <f t="shared" si="28"/>
        <v>-6.0611720085623544E-2</v>
      </c>
      <c r="AM34" s="146">
        <f t="shared" ref="AM34:AR34" si="29">AM5/AL5 -1</f>
        <v>3.1045451764849741E-2</v>
      </c>
      <c r="AN34" s="17">
        <f t="shared" si="29"/>
        <v>0.25</v>
      </c>
      <c r="AO34" s="17">
        <f t="shared" si="29"/>
        <v>0.14999999999999991</v>
      </c>
      <c r="AP34" s="17">
        <f t="shared" si="29"/>
        <v>0.10000000000000009</v>
      </c>
      <c r="AQ34" s="17">
        <f t="shared" si="29"/>
        <v>7.0000000000000062E-2</v>
      </c>
      <c r="AR34" s="17">
        <f t="shared" si="29"/>
        <v>5.0000000000000044E-2</v>
      </c>
      <c r="AS34" s="176"/>
      <c r="AT34" s="177" t="s">
        <v>234</v>
      </c>
      <c r="AU34" s="178">
        <f>AVERAGE(AG34:AM34)</f>
        <v>4.9410855076330362E-2</v>
      </c>
    </row>
    <row r="35" spans="2:50" s="13" customFormat="1" x14ac:dyDescent="0.25">
      <c r="B35" s="5" t="s">
        <v>40</v>
      </c>
      <c r="C35" s="11"/>
      <c r="D35" s="11"/>
      <c r="E35" s="11"/>
      <c r="F35" s="11"/>
      <c r="G35" s="12" t="e">
        <f t="shared" si="27"/>
        <v>#REF!</v>
      </c>
      <c r="H35" s="12" t="e">
        <f t="shared" si="27"/>
        <v>#REF!</v>
      </c>
      <c r="I35" s="12" t="e">
        <f t="shared" si="27"/>
        <v>#REF!</v>
      </c>
      <c r="J35" s="12" t="e">
        <f t="shared" si="27"/>
        <v>#REF!</v>
      </c>
      <c r="K35" s="12" t="e">
        <f t="shared" si="27"/>
        <v>#REF!</v>
      </c>
      <c r="L35" s="12" t="e">
        <f t="shared" si="27"/>
        <v>#REF!</v>
      </c>
      <c r="M35" s="12" t="e">
        <f t="shared" si="27"/>
        <v>#REF!</v>
      </c>
      <c r="N35" s="12" t="e">
        <f t="shared" si="27"/>
        <v>#REF!</v>
      </c>
      <c r="O35" s="12" t="e">
        <f t="shared" si="27"/>
        <v>#REF!</v>
      </c>
      <c r="P35" s="12" t="e">
        <f t="shared" si="27"/>
        <v>#REF!</v>
      </c>
      <c r="Q35" s="12" t="e">
        <f t="shared" si="27"/>
        <v>#REF!</v>
      </c>
      <c r="R35" s="12" t="e">
        <f>R6/N6-1</f>
        <v>#REF!</v>
      </c>
      <c r="S35" s="12" t="e">
        <f>S6/O6-1</f>
        <v>#REF!</v>
      </c>
      <c r="AB35" s="18">
        <f t="shared" ref="AB35:AL35" si="30">AB6/AA6-1</f>
        <v>2.9062130566136934E-2</v>
      </c>
      <c r="AC35" s="18">
        <f t="shared" si="30"/>
        <v>5.6642307815042869E-2</v>
      </c>
      <c r="AD35" s="155">
        <f t="shared" si="30"/>
        <v>-0.29125392606909883</v>
      </c>
      <c r="AE35" s="18">
        <f t="shared" si="30"/>
        <v>6.6729163115732071E-2</v>
      </c>
      <c r="AF35" s="18">
        <f t="shared" si="30"/>
        <v>5.5364704002556442E-2</v>
      </c>
      <c r="AG35" s="145">
        <f t="shared" si="30"/>
        <v>7.3580620741862335E-2</v>
      </c>
      <c r="AH35" s="145">
        <f t="shared" si="30"/>
        <v>5.7431956000564055E-2</v>
      </c>
      <c r="AI35" s="145">
        <f t="shared" si="30"/>
        <v>1.0435768345947283E-2</v>
      </c>
      <c r="AJ35" s="145">
        <f t="shared" si="30"/>
        <v>7.9852174486900296E-2</v>
      </c>
      <c r="AK35" s="145">
        <f t="shared" si="30"/>
        <v>0.28524720405793569</v>
      </c>
      <c r="AL35" s="145">
        <f t="shared" si="30"/>
        <v>4.3246713107153889E-2</v>
      </c>
      <c r="AM35" s="145">
        <f t="shared" ref="AM35:AR35" si="31">AM6/AL6-1</f>
        <v>2.8509571558796631E-2</v>
      </c>
      <c r="AN35" s="18">
        <f t="shared" si="31"/>
        <v>0.22999999999999998</v>
      </c>
      <c r="AO35" s="18">
        <f t="shared" si="31"/>
        <v>0.12999999999999989</v>
      </c>
      <c r="AP35" s="18">
        <f t="shared" si="31"/>
        <v>7.0000000000000062E-2</v>
      </c>
      <c r="AQ35" s="18">
        <f t="shared" si="31"/>
        <v>6.0000000000000053E-2</v>
      </c>
      <c r="AR35" s="18">
        <f t="shared" si="31"/>
        <v>4.0000000000000036E-2</v>
      </c>
      <c r="AS35" s="176"/>
      <c r="AT35" s="177" t="s">
        <v>236</v>
      </c>
      <c r="AU35" s="178">
        <v>0.03</v>
      </c>
    </row>
    <row r="36" spans="2:50" s="13" customFormat="1" x14ac:dyDescent="0.25">
      <c r="B36" s="5" t="s">
        <v>42</v>
      </c>
      <c r="C36" s="11"/>
      <c r="D36" s="11"/>
      <c r="E36" s="11"/>
      <c r="F36" s="11"/>
      <c r="G36" s="12" t="e">
        <f t="shared" ref="G36:S36" si="32">G15/C15-1</f>
        <v>#REF!</v>
      </c>
      <c r="H36" s="12" t="e">
        <f t="shared" si="32"/>
        <v>#REF!</v>
      </c>
      <c r="I36" s="12" t="e">
        <f t="shared" si="32"/>
        <v>#REF!</v>
      </c>
      <c r="J36" s="12" t="e">
        <f t="shared" si="32"/>
        <v>#REF!</v>
      </c>
      <c r="K36" s="12" t="e">
        <f t="shared" si="32"/>
        <v>#REF!</v>
      </c>
      <c r="L36" s="12" t="e">
        <f t="shared" si="32"/>
        <v>#REF!</v>
      </c>
      <c r="M36" s="12" t="e">
        <f t="shared" si="32"/>
        <v>#REF!</v>
      </c>
      <c r="N36" s="12" t="e">
        <f t="shared" si="32"/>
        <v>#REF!</v>
      </c>
      <c r="O36" s="12" t="e">
        <f t="shared" si="32"/>
        <v>#REF!</v>
      </c>
      <c r="P36" s="12" t="e">
        <f t="shared" si="32"/>
        <v>#REF!</v>
      </c>
      <c r="Q36" s="12" t="e">
        <f t="shared" si="32"/>
        <v>#REF!</v>
      </c>
      <c r="R36" s="12" t="e">
        <f t="shared" si="32"/>
        <v>#REF!</v>
      </c>
      <c r="S36" s="12" t="e">
        <f t="shared" si="32"/>
        <v>#REF!</v>
      </c>
      <c r="Y36" s="18">
        <f t="shared" ref="Y36:AL36" si="33">Y15/X15-1</f>
        <v>0.39116719242902209</v>
      </c>
      <c r="Z36" s="18">
        <f t="shared" si="33"/>
        <v>-2.5149453720882287E-2</v>
      </c>
      <c r="AA36" s="18">
        <f t="shared" si="33"/>
        <v>-0.23683654049481917</v>
      </c>
      <c r="AB36" s="18">
        <f t="shared" si="33"/>
        <v>0.19506788584095314</v>
      </c>
      <c r="AC36" s="18">
        <f t="shared" si="33"/>
        <v>0.21910503130071879</v>
      </c>
      <c r="AD36" s="18">
        <f t="shared" si="33"/>
        <v>0.17402054012932666</v>
      </c>
      <c r="AE36" s="18">
        <f t="shared" si="33"/>
        <v>7.5004049894702662E-2</v>
      </c>
      <c r="AF36" s="18">
        <f t="shared" si="33"/>
        <v>0.20614828209764924</v>
      </c>
      <c r="AG36" s="145">
        <f t="shared" si="33"/>
        <v>0.10594702648675658</v>
      </c>
      <c r="AH36" s="145">
        <f t="shared" si="33"/>
        <v>0.10596475372797109</v>
      </c>
      <c r="AI36" s="145">
        <f t="shared" si="33"/>
        <v>-4.3309499489274761E-2</v>
      </c>
      <c r="AJ36" s="145">
        <f t="shared" si="33"/>
        <v>0.39504591074097806</v>
      </c>
      <c r="AK36" s="145">
        <f t="shared" si="33"/>
        <v>-0.166003367518751</v>
      </c>
      <c r="AL36" s="145">
        <f t="shared" si="33"/>
        <v>-1.2240983756997339</v>
      </c>
      <c r="AM36" s="145">
        <f>(AM15/AL15-1)/-1</f>
        <v>2.0384930384930384</v>
      </c>
      <c r="AN36" s="18">
        <f>AN15/AM15-1</f>
        <v>1.8701629337539427</v>
      </c>
      <c r="AO36" s="18">
        <f>AO15/AN15-1</f>
        <v>0.58363953797894252</v>
      </c>
      <c r="AP36" s="18">
        <f>AP15/AO15-1</f>
        <v>0.3495655022408779</v>
      </c>
      <c r="AQ36" s="18">
        <f>AQ15/AP15-1</f>
        <v>0.1322224557999192</v>
      </c>
      <c r="AR36" s="18">
        <f>AR15/AQ15-1</f>
        <v>7.7047593366575517E-2</v>
      </c>
      <c r="AT36" s="170"/>
      <c r="AU36" s="171"/>
    </row>
    <row r="37" spans="2:50" s="13" customFormat="1" x14ac:dyDescent="0.25">
      <c r="B37" s="5"/>
      <c r="C37" s="11"/>
      <c r="D37" s="11"/>
      <c r="E37" s="11"/>
      <c r="F37" s="11"/>
      <c r="G37" s="11"/>
      <c r="H37" s="11"/>
      <c r="I37" s="11"/>
      <c r="J37" s="11"/>
      <c r="K37" s="11"/>
      <c r="L37" s="11"/>
      <c r="M37" s="11"/>
      <c r="N37" s="11"/>
      <c r="O37" s="11"/>
      <c r="P37" s="11"/>
      <c r="Q37" s="11"/>
      <c r="R37" s="11"/>
      <c r="S37" s="11"/>
      <c r="AK37" s="14"/>
      <c r="AL37" s="14"/>
      <c r="AM37" s="14"/>
      <c r="AN37" s="143"/>
      <c r="AO37" s="143"/>
      <c r="AP37" s="143"/>
      <c r="AQ37" s="143"/>
      <c r="AR37" s="143"/>
    </row>
    <row r="38" spans="2:50" x14ac:dyDescent="0.25">
      <c r="B38" s="16" t="s">
        <v>21</v>
      </c>
      <c r="C38" s="6" t="e">
        <f t="shared" ref="C38:S38" si="34">C7/C5</f>
        <v>#REF!</v>
      </c>
      <c r="D38" s="6" t="e">
        <f t="shared" si="34"/>
        <v>#REF!</v>
      </c>
      <c r="E38" s="6" t="e">
        <f t="shared" si="34"/>
        <v>#REF!</v>
      </c>
      <c r="F38" s="6" t="e">
        <f t="shared" si="34"/>
        <v>#REF!</v>
      </c>
      <c r="G38" s="6" t="e">
        <f t="shared" si="34"/>
        <v>#REF!</v>
      </c>
      <c r="H38" s="6" t="e">
        <f t="shared" si="34"/>
        <v>#REF!</v>
      </c>
      <c r="I38" s="6" t="e">
        <f t="shared" si="34"/>
        <v>#REF!</v>
      </c>
      <c r="J38" s="6" t="e">
        <f t="shared" si="34"/>
        <v>#REF!</v>
      </c>
      <c r="K38" s="6" t="e">
        <f t="shared" si="34"/>
        <v>#REF!</v>
      </c>
      <c r="L38" s="6" t="e">
        <f t="shared" si="34"/>
        <v>#REF!</v>
      </c>
      <c r="M38" s="6" t="e">
        <f t="shared" si="34"/>
        <v>#REF!</v>
      </c>
      <c r="N38" s="6" t="e">
        <f t="shared" si="34"/>
        <v>#REF!</v>
      </c>
      <c r="O38" s="6" t="e">
        <f t="shared" si="34"/>
        <v>#REF!</v>
      </c>
      <c r="P38" s="6" t="e">
        <f t="shared" si="34"/>
        <v>#REF!</v>
      </c>
      <c r="Q38" s="6" t="e">
        <f t="shared" si="34"/>
        <v>#REF!</v>
      </c>
      <c r="R38" s="6" t="e">
        <f t="shared" si="34"/>
        <v>#REF!</v>
      </c>
      <c r="S38" s="6" t="e">
        <f t="shared" si="34"/>
        <v>#REF!</v>
      </c>
      <c r="AF38" s="6">
        <f t="shared" ref="AF38:AR38" si="35">AF7/AF5</f>
        <v>0.45875074263003707</v>
      </c>
      <c r="AG38" s="6">
        <f t="shared" si="35"/>
        <v>0.46122138854592076</v>
      </c>
      <c r="AH38" s="6">
        <f t="shared" si="35"/>
        <v>0.4608678458441185</v>
      </c>
      <c r="AI38" s="6">
        <f t="shared" si="35"/>
        <v>0.45035094401218784</v>
      </c>
      <c r="AJ38" s="6">
        <f t="shared" si="35"/>
        <v>0.44937241309688059</v>
      </c>
      <c r="AK38" s="6">
        <f t="shared" si="35"/>
        <v>0.39573606102834485</v>
      </c>
      <c r="AL38" s="6">
        <f t="shared" si="35"/>
        <v>0.32892885544748274</v>
      </c>
      <c r="AM38" s="6">
        <f t="shared" si="35"/>
        <v>0.33057937049452668</v>
      </c>
      <c r="AN38" s="6">
        <f t="shared" si="35"/>
        <v>0.3412901005666143</v>
      </c>
      <c r="AO38" s="6">
        <f t="shared" si="35"/>
        <v>0.35274592490458617</v>
      </c>
      <c r="AP38" s="6">
        <f t="shared" si="35"/>
        <v>0.37039830877082469</v>
      </c>
      <c r="AQ38" s="6">
        <f t="shared" si="35"/>
        <v>0.37628243672623762</v>
      </c>
      <c r="AR38" s="6">
        <f t="shared" si="35"/>
        <v>0.3822226039955115</v>
      </c>
    </row>
    <row r="39" spans="2:50" x14ac:dyDescent="0.25">
      <c r="B39" s="15" t="s">
        <v>41</v>
      </c>
      <c r="C39" s="10" t="e">
        <f t="shared" ref="C39:L39" si="36">-C13/C12</f>
        <v>#REF!</v>
      </c>
      <c r="D39" s="10" t="e">
        <f t="shared" si="36"/>
        <v>#REF!</v>
      </c>
      <c r="E39" s="10" t="e">
        <f t="shared" si="36"/>
        <v>#REF!</v>
      </c>
      <c r="F39" s="10" t="e">
        <f t="shared" si="36"/>
        <v>#REF!</v>
      </c>
      <c r="G39" s="10" t="e">
        <f t="shared" si="36"/>
        <v>#REF!</v>
      </c>
      <c r="H39" s="10" t="e">
        <f t="shared" si="36"/>
        <v>#REF!</v>
      </c>
      <c r="I39" s="10" t="e">
        <f t="shared" si="36"/>
        <v>#REF!</v>
      </c>
      <c r="J39" s="10" t="e">
        <f t="shared" si="36"/>
        <v>#REF!</v>
      </c>
      <c r="K39" s="10" t="e">
        <f t="shared" si="36"/>
        <v>#REF!</v>
      </c>
      <c r="L39" s="10" t="e">
        <f t="shared" si="36"/>
        <v>#REF!</v>
      </c>
      <c r="M39" s="10" t="e">
        <f>M13/M12</f>
        <v>#REF!</v>
      </c>
      <c r="N39" s="10">
        <f t="shared" ref="N39:S39" si="37">-N13/N12</f>
        <v>-9.8790322580645157E-2</v>
      </c>
      <c r="O39" s="10" t="e">
        <f t="shared" si="37"/>
        <v>#REF!</v>
      </c>
      <c r="P39" s="10" t="e">
        <f t="shared" si="37"/>
        <v>#REF!</v>
      </c>
      <c r="Q39" s="10" t="e">
        <f t="shared" si="37"/>
        <v>#REF!</v>
      </c>
      <c r="R39" s="10" t="e">
        <f t="shared" si="37"/>
        <v>#REF!</v>
      </c>
      <c r="S39" s="10" t="e">
        <f t="shared" si="37"/>
        <v>#REF!</v>
      </c>
      <c r="AF39" s="10">
        <f t="shared" ref="AF39:AK39" si="38">-(AF13/AF12)</f>
        <v>-0.3052425281724645</v>
      </c>
      <c r="AG39" s="10">
        <f t="shared" si="38"/>
        <v>-0.36342659359676954</v>
      </c>
      <c r="AH39" s="10">
        <f t="shared" si="38"/>
        <v>-0.25780199085283834</v>
      </c>
      <c r="AI39" s="10">
        <f t="shared" si="38"/>
        <v>-0.29576443284015086</v>
      </c>
      <c r="AJ39" s="10">
        <f t="shared" si="38"/>
        <v>-0.22024577364383188</v>
      </c>
      <c r="AK39" s="10">
        <f t="shared" si="38"/>
        <v>-6.8232421173597638E-2</v>
      </c>
      <c r="AL39" s="10">
        <f>(AL13/AL12)</f>
        <v>-0.55880665519219741</v>
      </c>
      <c r="AM39" s="10">
        <f>-(AM13/AM12)</f>
        <v>-0.49863334634908241</v>
      </c>
    </row>
    <row r="40" spans="2:50" x14ac:dyDescent="0.25">
      <c r="B40" s="15" t="s">
        <v>232</v>
      </c>
      <c r="C40" s="13"/>
      <c r="D40" s="11"/>
      <c r="E40" s="11"/>
      <c r="F40" s="11"/>
      <c r="G40" s="11"/>
      <c r="H40" s="11"/>
      <c r="I40" s="11"/>
      <c r="J40" s="11"/>
      <c r="K40" s="11"/>
      <c r="L40" s="11"/>
      <c r="M40" s="11"/>
      <c r="N40" s="11"/>
      <c r="O40" s="11"/>
      <c r="P40" s="11"/>
      <c r="Q40" s="11"/>
      <c r="R40" s="11"/>
      <c r="S40" s="11"/>
      <c r="T40" s="13"/>
      <c r="U40" s="13"/>
      <c r="V40" s="13"/>
      <c r="W40" s="13"/>
      <c r="X40" s="13"/>
      <c r="Y40" s="13"/>
      <c r="Z40" s="13"/>
      <c r="AA40" s="13"/>
      <c r="AB40" s="13"/>
      <c r="AC40" s="13"/>
      <c r="AD40" s="13"/>
      <c r="AE40" s="13"/>
      <c r="AF40" s="98"/>
      <c r="AG40" s="98">
        <f>AG9/AF9-1</f>
        <v>2.7657416797270962E-3</v>
      </c>
      <c r="AH40" s="98">
        <f>AH9/AG9-1</f>
        <v>3.7142594465385592E-2</v>
      </c>
      <c r="AI40" s="98">
        <f>AI9/AH9-1</f>
        <v>-2.8632213456253885E-2</v>
      </c>
      <c r="AJ40" s="98">
        <f>AJ9/AI9-1</f>
        <v>8.3318123745208972E-2</v>
      </c>
      <c r="AK40" s="98"/>
      <c r="AL40" s="98">
        <f>AL9/AK9-1</f>
        <v>0.12713158564520244</v>
      </c>
      <c r="AM40" s="98">
        <f>AM9/AL9-1</f>
        <v>5.1597606413006591E-2</v>
      </c>
      <c r="AN40" s="98"/>
      <c r="AO40" s="98"/>
      <c r="AP40" s="98"/>
      <c r="AQ40" s="98"/>
      <c r="AR40" s="98"/>
    </row>
    <row r="41" spans="2:50" x14ac:dyDescent="0.25">
      <c r="AG41" s="13" t="s">
        <v>237</v>
      </c>
      <c r="AH41" s="150">
        <f>AVERAGE(AG40:AM40)</f>
        <v>4.5553906415379465E-2</v>
      </c>
    </row>
    <row r="42" spans="2:50" x14ac:dyDescent="0.25">
      <c r="AG42" s="13"/>
      <c r="AH42" s="150"/>
    </row>
    <row r="43" spans="2:50" x14ac:dyDescent="0.25">
      <c r="B43" t="s">
        <v>50</v>
      </c>
      <c r="AF43" s="97"/>
      <c r="AG43" s="97" t="s">
        <v>0</v>
      </c>
      <c r="AH43" s="97">
        <f>AVERAGE(AG34:AM34)</f>
        <v>4.9410855076330362E-2</v>
      </c>
      <c r="AI43" s="97"/>
      <c r="AJ43" s="97"/>
      <c r="AK43" s="97"/>
      <c r="AL43" s="97"/>
      <c r="AM43" s="97"/>
      <c r="AQ43" s="2"/>
    </row>
    <row r="44" spans="2:50" x14ac:dyDescent="0.25">
      <c r="B44" t="s">
        <v>51</v>
      </c>
    </row>
    <row r="46" spans="2:50" x14ac:dyDescent="0.25">
      <c r="B46" t="s">
        <v>235</v>
      </c>
      <c r="AF46" s="2">
        <f t="shared" ref="AF46:AM46" si="39">AF6+AF9</f>
        <v>37267</v>
      </c>
      <c r="AG46" s="2">
        <f t="shared" si="39"/>
        <v>39241</v>
      </c>
      <c r="AH46" s="2">
        <f t="shared" si="39"/>
        <v>41274</v>
      </c>
      <c r="AI46" s="2">
        <f t="shared" si="39"/>
        <v>41264</v>
      </c>
      <c r="AJ46" s="2">
        <f t="shared" si="39"/>
        <v>44597</v>
      </c>
      <c r="AK46" s="2">
        <f t="shared" si="39"/>
        <v>57777</v>
      </c>
      <c r="AL46" s="2">
        <f t="shared" si="39"/>
        <v>61594</v>
      </c>
      <c r="AM46" s="2">
        <f t="shared" si="39"/>
        <v>63759</v>
      </c>
    </row>
    <row r="47" spans="2:50" x14ac:dyDescent="0.25">
      <c r="AG47" s="10">
        <f>AG46/AF46-1</f>
        <v>5.2969114766415304E-2</v>
      </c>
      <c r="AH47" s="10">
        <f t="shared" ref="AH47:AM47" si="40">AH46/AG46-1</f>
        <v>5.1808057898626414E-2</v>
      </c>
      <c r="AI47" s="10">
        <f t="shared" si="40"/>
        <v>-2.4228327760822399E-4</v>
      </c>
      <c r="AJ47" s="10">
        <f t="shared" si="40"/>
        <v>8.0772586273749614E-2</v>
      </c>
      <c r="AK47" s="10">
        <f t="shared" si="40"/>
        <v>0.29553557414175846</v>
      </c>
      <c r="AL47" s="10">
        <f t="shared" si="40"/>
        <v>6.6064350866261723E-2</v>
      </c>
      <c r="AM47" s="10">
        <f t="shared" si="40"/>
        <v>3.5149527551384896E-2</v>
      </c>
    </row>
    <row r="48" spans="2:50" x14ac:dyDescent="0.25">
      <c r="B48" t="s">
        <v>161</v>
      </c>
      <c r="AN48" s="96"/>
      <c r="AO48" s="96"/>
      <c r="AP48" s="96"/>
      <c r="AQ48" s="96"/>
      <c r="AR48" s="96"/>
      <c r="AT48" s="5"/>
      <c r="AU48" s="5"/>
      <c r="AV48" s="5"/>
      <c r="AW48" s="5"/>
      <c r="AX48" s="5"/>
    </row>
    <row r="49" spans="2:50" s="5" customFormat="1" x14ac:dyDescent="0.25">
      <c r="B49" s="5" t="s">
        <v>146</v>
      </c>
      <c r="D49" s="4"/>
      <c r="E49" s="4"/>
      <c r="F49" s="4"/>
      <c r="G49" s="4"/>
      <c r="H49" s="4"/>
      <c r="I49" s="4"/>
      <c r="J49" s="4"/>
      <c r="K49" s="4"/>
      <c r="L49" s="4"/>
      <c r="M49" s="4"/>
      <c r="N49" s="4"/>
      <c r="O49" s="4"/>
      <c r="P49" s="4"/>
      <c r="Q49" s="4"/>
      <c r="R49" s="4"/>
      <c r="S49" s="4"/>
      <c r="AM49" s="5">
        <f>AM50-AM63</f>
        <v>-34512</v>
      </c>
      <c r="AN49" s="5">
        <f>AM49+AN15</f>
        <v>-27233.266800000001</v>
      </c>
      <c r="AO49" s="5">
        <f>AN49+AO15</f>
        <v>-15706.377118080014</v>
      </c>
      <c r="AP49" s="5">
        <f>AO49+AP15</f>
        <v>-150.08445522447437</v>
      </c>
      <c r="AQ49" s="5">
        <f>AP49+AQ15</f>
        <v>17463.099426656088</v>
      </c>
      <c r="AR49" s="5">
        <f>AQ49+AR15</f>
        <v>36433.336738158505</v>
      </c>
      <c r="AT49" s="5" t="s">
        <v>32</v>
      </c>
      <c r="AU49" s="5">
        <v>240000</v>
      </c>
      <c r="AV49" s="2"/>
      <c r="AW49" s="2"/>
      <c r="AX49" s="2"/>
    </row>
    <row r="50" spans="2:50" s="2" customFormat="1" x14ac:dyDescent="0.25">
      <c r="B50" s="2" t="s">
        <v>33</v>
      </c>
      <c r="D50" s="3"/>
      <c r="E50" s="3"/>
      <c r="F50" s="3"/>
      <c r="G50" s="3"/>
      <c r="H50" s="3"/>
      <c r="I50" s="3"/>
      <c r="J50" s="3"/>
      <c r="K50" s="3"/>
      <c r="L50" s="3"/>
      <c r="M50" s="3"/>
      <c r="N50" s="3"/>
      <c r="O50" s="3"/>
      <c r="P50" s="3"/>
      <c r="Q50" s="3"/>
      <c r="R50" s="3"/>
      <c r="S50" s="3"/>
      <c r="AM50" s="2">
        <f>15959+3935</f>
        <v>19894</v>
      </c>
    </row>
    <row r="51" spans="2:50" s="2" customFormat="1" x14ac:dyDescent="0.25">
      <c r="B51" s="2" t="s">
        <v>147</v>
      </c>
      <c r="D51" s="3"/>
      <c r="E51" s="3"/>
      <c r="F51" s="3"/>
      <c r="G51" s="3"/>
      <c r="H51" s="3"/>
      <c r="I51" s="3"/>
      <c r="J51" s="3"/>
      <c r="K51" s="3"/>
      <c r="L51" s="3"/>
      <c r="M51" s="3"/>
      <c r="N51" s="3"/>
      <c r="O51" s="3"/>
      <c r="P51" s="3"/>
      <c r="Q51" s="3"/>
      <c r="R51" s="3"/>
      <c r="S51" s="3"/>
      <c r="AM51" s="2">
        <f>13367+2183</f>
        <v>15550</v>
      </c>
    </row>
    <row r="52" spans="2:50" s="2" customFormat="1" x14ac:dyDescent="0.25">
      <c r="B52" s="2" t="s">
        <v>148</v>
      </c>
      <c r="D52" s="3"/>
      <c r="E52" s="3"/>
      <c r="F52" s="3"/>
      <c r="G52" s="3"/>
      <c r="H52" s="3"/>
      <c r="I52" s="3"/>
      <c r="J52" s="3"/>
      <c r="K52" s="3"/>
      <c r="L52" s="3"/>
      <c r="M52" s="3"/>
      <c r="N52" s="3"/>
      <c r="O52" s="3"/>
      <c r="P52" s="3"/>
      <c r="Q52" s="3"/>
      <c r="R52" s="3"/>
      <c r="S52" s="3"/>
      <c r="AM52" s="2">
        <v>1331</v>
      </c>
    </row>
    <row r="53" spans="2:50" s="2" customFormat="1" x14ac:dyDescent="0.25">
      <c r="B53" s="2" t="s">
        <v>150</v>
      </c>
      <c r="D53" s="3"/>
      <c r="E53" s="3"/>
      <c r="F53" s="3"/>
      <c r="G53" s="3"/>
      <c r="H53" s="3"/>
      <c r="I53" s="3"/>
      <c r="J53" s="3"/>
      <c r="K53" s="3"/>
      <c r="L53" s="3"/>
      <c r="M53" s="3"/>
      <c r="N53" s="3"/>
      <c r="O53" s="3"/>
      <c r="P53" s="3"/>
      <c r="Q53" s="3"/>
      <c r="R53" s="3"/>
      <c r="S53" s="3"/>
      <c r="AM53" s="2">
        <v>29549</v>
      </c>
    </row>
    <row r="54" spans="2:50" s="2" customFormat="1" x14ac:dyDescent="0.25">
      <c r="B54" s="2" t="s">
        <v>151</v>
      </c>
      <c r="D54" s="3"/>
      <c r="E54" s="3"/>
      <c r="F54" s="3"/>
      <c r="G54" s="3"/>
      <c r="H54" s="3"/>
      <c r="I54" s="3"/>
      <c r="J54" s="3"/>
      <c r="K54" s="3"/>
      <c r="L54" s="3"/>
      <c r="M54" s="3"/>
      <c r="N54" s="3"/>
      <c r="O54" s="3"/>
      <c r="P54" s="3"/>
      <c r="Q54" s="3"/>
      <c r="R54" s="3"/>
      <c r="S54" s="3"/>
      <c r="AM54" s="2">
        <f>64892-37920</f>
        <v>26972</v>
      </c>
    </row>
    <row r="55" spans="2:50" s="2" customFormat="1" x14ac:dyDescent="0.25">
      <c r="B55" s="2" t="s">
        <v>152</v>
      </c>
      <c r="D55" s="3"/>
      <c r="E55" s="3"/>
      <c r="F55" s="3"/>
      <c r="G55" s="3"/>
      <c r="H55" s="3"/>
      <c r="I55" s="3"/>
      <c r="J55" s="3"/>
      <c r="K55" s="3"/>
      <c r="L55" s="3"/>
      <c r="M55" s="3"/>
      <c r="N55" s="3"/>
      <c r="O55" s="3"/>
      <c r="P55" s="3"/>
      <c r="Q55" s="3"/>
      <c r="R55" s="3"/>
      <c r="S55" s="3"/>
      <c r="AM55" s="2">
        <v>4521</v>
      </c>
    </row>
    <row r="56" spans="2:50" s="2" customFormat="1" x14ac:dyDescent="0.25">
      <c r="B56" s="2" t="s">
        <v>153</v>
      </c>
      <c r="D56" s="3"/>
      <c r="E56" s="3"/>
      <c r="F56" s="3"/>
      <c r="G56" s="3"/>
      <c r="H56" s="3"/>
      <c r="I56" s="3"/>
      <c r="J56" s="3"/>
      <c r="K56" s="3"/>
      <c r="L56" s="3"/>
      <c r="M56" s="3"/>
      <c r="N56" s="3"/>
      <c r="O56" s="3"/>
      <c r="P56" s="3"/>
      <c r="Q56" s="3"/>
      <c r="R56" s="3"/>
      <c r="S56" s="3"/>
      <c r="AM56" s="2">
        <v>1131</v>
      </c>
    </row>
    <row r="57" spans="2:50" s="2" customFormat="1" x14ac:dyDescent="0.25">
      <c r="B57" s="2" t="s">
        <v>149</v>
      </c>
      <c r="D57" s="3"/>
      <c r="E57" s="3"/>
      <c r="F57" s="3"/>
      <c r="G57" s="3"/>
      <c r="H57" s="3"/>
      <c r="I57" s="3"/>
      <c r="J57" s="3"/>
      <c r="K57" s="3"/>
      <c r="L57" s="3"/>
      <c r="M57" s="3"/>
      <c r="N57" s="3"/>
      <c r="O57" s="3"/>
      <c r="P57" s="3"/>
      <c r="Q57" s="3"/>
      <c r="R57" s="3"/>
      <c r="S57" s="3"/>
      <c r="AM57" s="2">
        <f>17115+78071</f>
        <v>95186</v>
      </c>
    </row>
    <row r="58" spans="2:50" s="2" customFormat="1" x14ac:dyDescent="0.25">
      <c r="B58" s="2" t="s">
        <v>93</v>
      </c>
      <c r="D58" s="3"/>
      <c r="E58" s="3"/>
      <c r="F58" s="3"/>
      <c r="G58" s="3"/>
      <c r="H58" s="3"/>
      <c r="I58" s="3"/>
      <c r="J58" s="3"/>
      <c r="K58" s="3"/>
      <c r="L58" s="3"/>
      <c r="M58" s="3"/>
      <c r="N58" s="3"/>
      <c r="O58" s="3"/>
      <c r="P58" s="3"/>
      <c r="Q58" s="3"/>
      <c r="R58" s="3"/>
      <c r="S58" s="3"/>
      <c r="AM58" s="2">
        <f>8658+817</f>
        <v>9475</v>
      </c>
    </row>
    <row r="59" spans="2:50" s="2" customFormat="1" x14ac:dyDescent="0.25">
      <c r="B59" s="2" t="s">
        <v>154</v>
      </c>
      <c r="D59" s="3"/>
      <c r="E59" s="3"/>
      <c r="F59" s="3"/>
      <c r="G59" s="3"/>
      <c r="H59" s="3"/>
      <c r="I59" s="3"/>
      <c r="J59" s="3"/>
      <c r="K59" s="3"/>
      <c r="L59" s="3"/>
      <c r="M59" s="3"/>
      <c r="N59" s="3"/>
      <c r="O59" s="3"/>
      <c r="P59" s="3"/>
      <c r="Q59" s="3"/>
      <c r="R59" s="3"/>
      <c r="S59" s="3"/>
      <c r="AM59" s="2">
        <f>SUM(AM50:AM58)</f>
        <v>203609</v>
      </c>
      <c r="AT59"/>
      <c r="AU59"/>
      <c r="AV59"/>
      <c r="AW59"/>
      <c r="AX59"/>
    </row>
    <row r="60" spans="2:50" x14ac:dyDescent="0.25">
      <c r="AM60" s="2"/>
    </row>
    <row r="61" spans="2:50" x14ac:dyDescent="0.25">
      <c r="B61" s="2" t="s">
        <v>155</v>
      </c>
      <c r="AM61" s="2">
        <v>20894</v>
      </c>
    </row>
    <row r="62" spans="2:50" x14ac:dyDescent="0.25">
      <c r="B62" s="2" t="s">
        <v>156</v>
      </c>
      <c r="AM62" s="2">
        <v>4317</v>
      </c>
    </row>
    <row r="63" spans="2:50" x14ac:dyDescent="0.25">
      <c r="B63" s="2" t="s">
        <v>34</v>
      </c>
      <c r="AM63" s="2">
        <f>5866+48540</f>
        <v>54406</v>
      </c>
    </row>
    <row r="64" spans="2:50" x14ac:dyDescent="0.25">
      <c r="B64" s="2" t="s">
        <v>157</v>
      </c>
      <c r="AM64" s="2">
        <v>7246</v>
      </c>
    </row>
    <row r="65" spans="2:39" x14ac:dyDescent="0.25">
      <c r="B65" s="2" t="s">
        <v>93</v>
      </c>
      <c r="AM65" s="2">
        <v>14552</v>
      </c>
    </row>
    <row r="66" spans="2:39" x14ac:dyDescent="0.25">
      <c r="B66" s="2" t="s">
        <v>159</v>
      </c>
      <c r="AM66" s="2">
        <v>9213</v>
      </c>
    </row>
    <row r="67" spans="2:39" x14ac:dyDescent="0.25">
      <c r="B67" s="2" t="s">
        <v>158</v>
      </c>
      <c r="AM67" s="2">
        <v>93011</v>
      </c>
    </row>
    <row r="68" spans="2:39" x14ac:dyDescent="0.25">
      <c r="B68" s="2" t="s">
        <v>160</v>
      </c>
      <c r="AM68" s="2">
        <f>SUM(AM61:AM67)</f>
        <v>203639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783D-5D48-4C01-B713-B017AB289794}">
  <dimension ref="B2:Z28"/>
  <sheetViews>
    <sheetView workbookViewId="0">
      <selection activeCell="S24" sqref="S24:S25"/>
    </sheetView>
  </sheetViews>
  <sheetFormatPr defaultRowHeight="14.4" x14ac:dyDescent="0.25"/>
  <cols>
    <col min="1" max="1" width="3.42578125" customWidth="1"/>
    <col min="18" max="18" width="9.85546875" customWidth="1"/>
  </cols>
  <sheetData>
    <row r="2" spans="2:26" x14ac:dyDescent="0.25">
      <c r="B2" t="s">
        <v>72</v>
      </c>
      <c r="D2" s="35" t="s">
        <v>69</v>
      </c>
    </row>
    <row r="3" spans="2:26" x14ac:dyDescent="0.25">
      <c r="D3" s="35" t="s">
        <v>116</v>
      </c>
    </row>
    <row r="5" spans="2:26" x14ac:dyDescent="0.25">
      <c r="B5" s="13" t="s">
        <v>73</v>
      </c>
    </row>
    <row r="7" spans="2:26" x14ac:dyDescent="0.25">
      <c r="B7" s="27" t="s">
        <v>52</v>
      </c>
      <c r="C7" s="28"/>
      <c r="D7" s="28"/>
      <c r="E7" s="28"/>
      <c r="F7" s="28"/>
      <c r="G7" s="28"/>
      <c r="H7" s="28"/>
      <c r="I7" s="28"/>
      <c r="J7" s="28"/>
      <c r="K7" s="28"/>
      <c r="L7" s="28"/>
      <c r="M7" s="28"/>
    </row>
    <row r="10" spans="2:26" x14ac:dyDescent="0.25">
      <c r="B10" s="45" t="s">
        <v>53</v>
      </c>
    </row>
    <row r="11" spans="2:26" x14ac:dyDescent="0.25">
      <c r="B11" s="27" t="s">
        <v>54</v>
      </c>
      <c r="C11" s="28"/>
      <c r="D11" s="29" t="s">
        <v>55</v>
      </c>
      <c r="E11" s="30"/>
      <c r="F11" s="30"/>
      <c r="G11" s="30"/>
      <c r="H11" s="30"/>
      <c r="I11" s="30"/>
      <c r="J11" s="30"/>
      <c r="K11" s="30"/>
      <c r="L11" s="30"/>
      <c r="M11" s="30"/>
      <c r="N11" s="31"/>
      <c r="O11" s="29" t="s">
        <v>70</v>
      </c>
      <c r="P11" s="30"/>
      <c r="Q11" s="30"/>
      <c r="R11" s="30"/>
      <c r="S11" s="30"/>
      <c r="T11" s="30"/>
      <c r="U11" s="30"/>
      <c r="V11" s="31"/>
    </row>
    <row r="12" spans="2:26" x14ac:dyDescent="0.25">
      <c r="B12" s="28"/>
      <c r="C12" s="28"/>
      <c r="D12" s="32" t="s">
        <v>56</v>
      </c>
      <c r="E12" s="33"/>
      <c r="F12" s="33"/>
      <c r="G12" s="33"/>
      <c r="H12" s="33"/>
      <c r="I12" s="33"/>
      <c r="J12" s="33"/>
      <c r="K12" s="33"/>
      <c r="L12" s="33"/>
      <c r="M12" s="33"/>
      <c r="N12" s="34"/>
      <c r="O12" s="32" t="s">
        <v>71</v>
      </c>
      <c r="P12" s="33"/>
      <c r="Q12" s="33"/>
      <c r="R12" s="33"/>
      <c r="S12" s="33"/>
      <c r="T12" s="33"/>
      <c r="U12" s="33"/>
      <c r="V12" s="34"/>
    </row>
    <row r="14" spans="2:26" x14ac:dyDescent="0.25">
      <c r="B14" s="27" t="s">
        <v>57</v>
      </c>
      <c r="C14" s="28"/>
      <c r="D14" s="29" t="s">
        <v>58</v>
      </c>
      <c r="E14" s="30"/>
      <c r="F14" s="30"/>
      <c r="G14" s="30"/>
      <c r="H14" s="30"/>
      <c r="I14" s="30"/>
      <c r="J14" s="30"/>
      <c r="K14" s="30"/>
      <c r="L14" s="30"/>
      <c r="M14" s="30"/>
      <c r="N14" s="31"/>
      <c r="O14" s="29" t="s">
        <v>74</v>
      </c>
      <c r="P14" s="30"/>
      <c r="Q14" s="30"/>
      <c r="R14" s="30"/>
      <c r="S14" s="30"/>
      <c r="T14" s="30"/>
      <c r="U14" s="30"/>
      <c r="V14" s="30"/>
      <c r="W14" s="30"/>
      <c r="X14" s="30"/>
      <c r="Y14" s="30"/>
      <c r="Z14" s="31"/>
    </row>
    <row r="15" spans="2:26" x14ac:dyDescent="0.25">
      <c r="B15" s="28"/>
      <c r="C15" s="28"/>
      <c r="D15" s="36"/>
      <c r="E15" s="33"/>
      <c r="F15" s="33"/>
      <c r="G15" s="33"/>
      <c r="H15" s="33"/>
      <c r="I15" s="33"/>
      <c r="J15" s="33"/>
      <c r="K15" s="33"/>
      <c r="L15" s="33"/>
      <c r="M15" s="33"/>
      <c r="N15" s="34"/>
      <c r="O15" s="36"/>
      <c r="P15" s="33"/>
      <c r="Q15" s="33"/>
      <c r="R15" s="33"/>
      <c r="S15" s="33"/>
      <c r="T15" s="33"/>
      <c r="U15" s="33"/>
      <c r="V15" s="33"/>
      <c r="W15" s="33"/>
      <c r="X15" s="33"/>
      <c r="Y15" s="33"/>
      <c r="Z15" s="34"/>
    </row>
    <row r="16" spans="2:26" s="38" customFormat="1" x14ac:dyDescent="0.25">
      <c r="D16" s="39"/>
      <c r="E16" s="39"/>
      <c r="F16" s="39"/>
      <c r="G16" s="39"/>
      <c r="H16" s="39"/>
      <c r="I16" s="39"/>
      <c r="J16" s="39"/>
      <c r="K16" s="39"/>
      <c r="L16" s="39"/>
      <c r="M16" s="39"/>
      <c r="N16" s="39"/>
      <c r="O16" s="39"/>
      <c r="P16" s="39"/>
      <c r="Q16" s="39"/>
      <c r="R16" s="39"/>
      <c r="S16" s="39"/>
      <c r="T16" s="39"/>
      <c r="U16" s="39"/>
      <c r="V16" s="39"/>
      <c r="W16" s="39"/>
      <c r="X16" s="39"/>
      <c r="Y16" s="39"/>
      <c r="Z16" s="39"/>
    </row>
    <row r="17" spans="2:26" x14ac:dyDescent="0.25">
      <c r="B17" s="27" t="s">
        <v>60</v>
      </c>
      <c r="C17" s="28"/>
      <c r="D17" s="29" t="s">
        <v>59</v>
      </c>
      <c r="E17" s="30"/>
      <c r="F17" s="30"/>
      <c r="G17" s="30"/>
      <c r="H17" s="30"/>
      <c r="I17" s="30"/>
      <c r="J17" s="30"/>
      <c r="K17" s="30"/>
      <c r="L17" s="30"/>
      <c r="M17" s="30"/>
      <c r="N17" s="31"/>
      <c r="O17" s="29" t="s">
        <v>75</v>
      </c>
      <c r="P17" s="30"/>
      <c r="Q17" s="30"/>
      <c r="R17" s="30"/>
      <c r="S17" s="30"/>
      <c r="T17" s="30"/>
      <c r="U17" s="30"/>
      <c r="V17" s="30"/>
      <c r="W17" s="30"/>
      <c r="X17" s="30"/>
      <c r="Y17" s="31"/>
    </row>
    <row r="18" spans="2:26" x14ac:dyDescent="0.25">
      <c r="B18" s="28"/>
      <c r="C18" s="28"/>
      <c r="D18" s="40" t="s">
        <v>61</v>
      </c>
      <c r="E18" s="37"/>
      <c r="F18" s="37"/>
      <c r="G18" s="37"/>
      <c r="H18" s="37"/>
      <c r="I18" s="37"/>
      <c r="J18" s="37"/>
      <c r="K18" s="37"/>
      <c r="L18" s="37"/>
      <c r="M18" s="37"/>
      <c r="N18" s="41"/>
      <c r="O18" s="42" t="s">
        <v>76</v>
      </c>
      <c r="P18" s="43"/>
      <c r="Q18" s="43"/>
      <c r="R18" s="43"/>
      <c r="S18" s="43"/>
      <c r="T18" s="43"/>
      <c r="U18" s="43"/>
      <c r="V18" s="37"/>
      <c r="W18" s="37"/>
      <c r="X18" s="37"/>
      <c r="Y18" s="41"/>
    </row>
    <row r="19" spans="2:26" x14ac:dyDescent="0.25">
      <c r="B19" s="28"/>
      <c r="C19" s="28"/>
      <c r="D19" s="40" t="s">
        <v>62</v>
      </c>
      <c r="E19" s="37"/>
      <c r="F19" s="37"/>
      <c r="G19" s="37"/>
      <c r="H19" s="37"/>
      <c r="I19" s="37"/>
      <c r="J19" s="37"/>
      <c r="K19" s="37"/>
      <c r="L19" s="37"/>
      <c r="M19" s="37"/>
      <c r="N19" s="41"/>
      <c r="O19" s="44"/>
      <c r="P19" s="37"/>
      <c r="Q19" s="37"/>
      <c r="R19" s="37"/>
      <c r="S19" s="37"/>
      <c r="T19" s="37"/>
      <c r="U19" s="37"/>
      <c r="V19" s="37"/>
      <c r="W19" s="37"/>
      <c r="X19" s="37"/>
      <c r="Y19" s="41"/>
    </row>
    <row r="20" spans="2:26" x14ac:dyDescent="0.25">
      <c r="B20" s="28"/>
      <c r="C20" s="28"/>
      <c r="D20" s="32" t="s">
        <v>63</v>
      </c>
      <c r="E20" s="33"/>
      <c r="F20" s="33"/>
      <c r="G20" s="33"/>
      <c r="H20" s="33"/>
      <c r="I20" s="33"/>
      <c r="J20" s="33"/>
      <c r="K20" s="33"/>
      <c r="L20" s="33"/>
      <c r="M20" s="33"/>
      <c r="N20" s="34"/>
      <c r="O20" s="36"/>
      <c r="P20" s="33"/>
      <c r="Q20" s="33"/>
      <c r="R20" s="33"/>
      <c r="S20" s="33"/>
      <c r="T20" s="33"/>
      <c r="U20" s="33"/>
      <c r="V20" s="33"/>
      <c r="W20" s="33"/>
      <c r="X20" s="33"/>
      <c r="Y20" s="34"/>
    </row>
    <row r="23" spans="2:26" x14ac:dyDescent="0.25">
      <c r="B23" s="45" t="s">
        <v>77</v>
      </c>
    </row>
    <row r="24" spans="2:26" x14ac:dyDescent="0.25">
      <c r="B24" s="27" t="s">
        <v>78</v>
      </c>
      <c r="C24" s="28"/>
      <c r="D24" s="29" t="s">
        <v>79</v>
      </c>
      <c r="E24" s="46"/>
      <c r="F24" s="30"/>
      <c r="G24" s="30"/>
      <c r="H24" s="30"/>
      <c r="I24" s="30"/>
      <c r="J24" s="30"/>
      <c r="K24" s="30"/>
      <c r="L24" s="30"/>
      <c r="M24" s="30"/>
      <c r="N24" s="31"/>
      <c r="O24" s="29" t="s">
        <v>84</v>
      </c>
      <c r="P24" s="30"/>
      <c r="Q24" s="30"/>
      <c r="R24" s="30"/>
      <c r="S24" s="47" t="s">
        <v>86</v>
      </c>
      <c r="T24" s="30"/>
      <c r="U24" s="30"/>
      <c r="V24" s="30"/>
      <c r="W24" s="30"/>
      <c r="X24" s="30"/>
      <c r="Y24" s="31"/>
    </row>
    <row r="25" spans="2:26" x14ac:dyDescent="0.25">
      <c r="B25" s="28"/>
      <c r="C25" s="28"/>
      <c r="D25" s="32" t="s">
        <v>80</v>
      </c>
      <c r="E25" s="36"/>
      <c r="F25" s="33"/>
      <c r="G25" s="33"/>
      <c r="H25" s="33"/>
      <c r="I25" s="33"/>
      <c r="J25" s="33"/>
      <c r="K25" s="33"/>
      <c r="L25" s="33"/>
      <c r="M25" s="33"/>
      <c r="N25" s="34"/>
      <c r="O25" s="36"/>
      <c r="P25" s="33"/>
      <c r="Q25" s="33"/>
      <c r="R25" s="33"/>
      <c r="S25" s="33" t="s">
        <v>87</v>
      </c>
      <c r="T25" s="33"/>
      <c r="U25" s="33"/>
      <c r="V25" s="33"/>
      <c r="W25" s="33"/>
      <c r="X25" s="33"/>
      <c r="Y25" s="34"/>
    </row>
    <row r="27" spans="2:26" x14ac:dyDescent="0.25">
      <c r="B27" s="27" t="s">
        <v>81</v>
      </c>
      <c r="C27" s="28"/>
      <c r="D27" s="29" t="s">
        <v>82</v>
      </c>
      <c r="E27" s="30"/>
      <c r="F27" s="30"/>
      <c r="G27" s="30"/>
      <c r="H27" s="30"/>
      <c r="I27" s="30"/>
      <c r="J27" s="30"/>
      <c r="K27" s="30"/>
      <c r="L27" s="30"/>
      <c r="M27" s="30"/>
      <c r="N27" s="31"/>
      <c r="O27" s="46" t="s">
        <v>85</v>
      </c>
      <c r="P27" s="30"/>
      <c r="Q27" s="30"/>
      <c r="R27" s="30"/>
      <c r="S27" s="30"/>
      <c r="T27" s="30"/>
      <c r="U27" s="30"/>
      <c r="V27" s="30"/>
      <c r="W27" s="30"/>
      <c r="X27" s="30"/>
      <c r="Y27" s="30"/>
      <c r="Z27" s="31"/>
    </row>
    <row r="28" spans="2:26" x14ac:dyDescent="0.25">
      <c r="B28" s="28"/>
      <c r="C28" s="28"/>
      <c r="D28" s="32" t="s">
        <v>83</v>
      </c>
      <c r="E28" s="33"/>
      <c r="F28" s="33"/>
      <c r="G28" s="33"/>
      <c r="H28" s="33"/>
      <c r="I28" s="33"/>
      <c r="J28" s="33"/>
      <c r="K28" s="33"/>
      <c r="L28" s="33"/>
      <c r="M28" s="33"/>
      <c r="N28" s="34"/>
      <c r="O28" s="36"/>
      <c r="P28" s="33"/>
      <c r="Q28" s="33"/>
      <c r="R28" s="33"/>
      <c r="S28" s="33"/>
      <c r="T28" s="33"/>
      <c r="U28" s="33"/>
      <c r="V28" s="33"/>
      <c r="W28" s="33"/>
      <c r="X28" s="33"/>
      <c r="Y28" s="33"/>
      <c r="Z28" s="34"/>
    </row>
  </sheetData>
  <hyperlinks>
    <hyperlink ref="D2" r:id="rId1" xr:uid="{71992424-312E-44D2-82C1-B31740B95E7F}"/>
    <hyperlink ref="D3" r:id="rId2" xr:uid="{AAEB26DD-BCBC-4A27-9CA7-CB450AE849E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51F5-64AE-4FA4-A679-DB5EFD47F9A0}">
  <dimension ref="B1:Q35"/>
  <sheetViews>
    <sheetView workbookViewId="0">
      <pane ySplit="1" topLeftCell="A2" activePane="bottomLeft" state="frozen"/>
      <selection pane="bottomLeft" activeCell="I20" sqref="I20"/>
    </sheetView>
  </sheetViews>
  <sheetFormatPr defaultRowHeight="14.4" x14ac:dyDescent="0.25"/>
  <cols>
    <col min="1" max="1" width="3.42578125" customWidth="1"/>
    <col min="2" max="2" width="49.42578125" bestFit="1" customWidth="1"/>
    <col min="3" max="3" width="21.85546875" style="50" bestFit="1" customWidth="1"/>
    <col min="4" max="4" width="21.140625" style="50" bestFit="1" customWidth="1"/>
    <col min="15" max="15" width="19.28515625" bestFit="1" customWidth="1"/>
    <col min="16" max="16" width="9.140625" style="51"/>
    <col min="17" max="17" width="10.5703125" style="51" bestFit="1" customWidth="1"/>
  </cols>
  <sheetData>
    <row r="1" spans="2:17" x14ac:dyDescent="0.25">
      <c r="B1" s="26" t="s">
        <v>43</v>
      </c>
      <c r="C1" s="48" t="s">
        <v>88</v>
      </c>
      <c r="D1" s="48" t="s">
        <v>89</v>
      </c>
      <c r="P1" s="51" t="s">
        <v>0</v>
      </c>
      <c r="Q1" s="49" t="s">
        <v>94</v>
      </c>
    </row>
    <row r="2" spans="2:17" s="2" customFormat="1" x14ac:dyDescent="0.25">
      <c r="B2" s="82" t="s">
        <v>64</v>
      </c>
      <c r="C2" s="92">
        <f>P2/P4</f>
        <v>0.75448693227328012</v>
      </c>
      <c r="D2" s="56">
        <f>Q2/Q4</f>
        <v>0.93935101725469994</v>
      </c>
      <c r="E2" s="26"/>
      <c r="F2" s="26"/>
      <c r="G2" s="26"/>
      <c r="I2" s="26" t="s">
        <v>30</v>
      </c>
      <c r="J2" s="26">
        <v>140</v>
      </c>
      <c r="K2" s="26"/>
      <c r="O2" s="61" t="s">
        <v>53</v>
      </c>
      <c r="P2" s="62">
        <v>50866</v>
      </c>
      <c r="Q2" s="63">
        <v>7295</v>
      </c>
    </row>
    <row r="3" spans="2:17" s="2" customFormat="1" x14ac:dyDescent="0.25">
      <c r="B3" s="66" t="s">
        <v>65</v>
      </c>
      <c r="C3" s="89">
        <f>P3/P4</f>
        <v>0.24551306772671988</v>
      </c>
      <c r="D3" s="60">
        <f>Q3/Q4</f>
        <v>6.0648982745300027E-2</v>
      </c>
      <c r="E3" s="26"/>
      <c r="F3" s="26"/>
      <c r="G3" s="26"/>
      <c r="I3" s="26" t="s">
        <v>31</v>
      </c>
      <c r="J3" s="26">
        <v>1781</v>
      </c>
      <c r="K3" s="93" t="s">
        <v>17</v>
      </c>
      <c r="O3" s="64" t="s">
        <v>77</v>
      </c>
      <c r="P3" s="49">
        <v>16552</v>
      </c>
      <c r="Q3" s="65">
        <v>471</v>
      </c>
    </row>
    <row r="4" spans="2:17" s="2" customFormat="1" x14ac:dyDescent="0.25">
      <c r="B4" s="26"/>
      <c r="C4" s="48"/>
      <c r="D4" s="48"/>
      <c r="E4" s="26"/>
      <c r="F4" s="26"/>
      <c r="G4" s="26"/>
      <c r="I4" s="26" t="s">
        <v>32</v>
      </c>
      <c r="J4" s="26">
        <f>J2*J3</f>
        <v>249340</v>
      </c>
      <c r="K4" s="93"/>
      <c r="O4" s="81" t="s">
        <v>95</v>
      </c>
      <c r="P4" s="75">
        <v>67418</v>
      </c>
      <c r="Q4" s="68">
        <v>7766</v>
      </c>
    </row>
    <row r="5" spans="2:17" s="2" customFormat="1" x14ac:dyDescent="0.25">
      <c r="B5" s="26"/>
      <c r="C5" s="48"/>
      <c r="D5" s="48"/>
      <c r="E5" s="26"/>
      <c r="F5" s="26"/>
      <c r="G5" s="26"/>
      <c r="I5" s="26"/>
      <c r="J5" s="26"/>
      <c r="K5" s="93"/>
      <c r="P5" s="51"/>
      <c r="Q5" s="49"/>
    </row>
    <row r="6" spans="2:17" s="2" customFormat="1" x14ac:dyDescent="0.25">
      <c r="B6" s="82" t="s">
        <v>53</v>
      </c>
      <c r="C6" s="83"/>
      <c r="D6" s="84"/>
      <c r="E6" s="26"/>
      <c r="F6" s="26"/>
      <c r="G6" s="26"/>
      <c r="I6" s="26" t="s">
        <v>33</v>
      </c>
      <c r="J6" s="26">
        <f>14444+3549</f>
        <v>17993</v>
      </c>
      <c r="K6" s="93" t="s">
        <v>17</v>
      </c>
      <c r="O6" s="61" t="s">
        <v>96</v>
      </c>
      <c r="P6" s="62"/>
      <c r="Q6" s="63"/>
    </row>
    <row r="7" spans="2:17" s="2" customFormat="1" x14ac:dyDescent="0.25">
      <c r="B7" s="85" t="s">
        <v>54</v>
      </c>
      <c r="C7" s="53">
        <f>P7/P11</f>
        <v>0.55229426335862852</v>
      </c>
      <c r="D7" s="86">
        <f>8407/7295</f>
        <v>1.1524331734064428</v>
      </c>
      <c r="E7" s="25"/>
      <c r="F7" s="25"/>
      <c r="G7" s="25"/>
      <c r="H7"/>
      <c r="I7" s="26" t="s">
        <v>34</v>
      </c>
      <c r="J7" s="26">
        <f>6783+47349</f>
        <v>54132</v>
      </c>
      <c r="K7" s="93" t="s">
        <v>17</v>
      </c>
      <c r="O7" s="64" t="s">
        <v>54</v>
      </c>
      <c r="P7" s="54">
        <v>28093</v>
      </c>
      <c r="Q7" s="78">
        <v>8407</v>
      </c>
    </row>
    <row r="8" spans="2:17" x14ac:dyDescent="0.25">
      <c r="B8" s="87" t="s">
        <v>66</v>
      </c>
      <c r="C8" s="48">
        <f>P8/P11</f>
        <v>0.32082333975543587</v>
      </c>
      <c r="D8" s="57">
        <f>-1679/7295</f>
        <v>-0.23015764222069912</v>
      </c>
      <c r="E8" s="25"/>
      <c r="F8" s="25"/>
      <c r="G8" s="25"/>
      <c r="I8" s="26" t="s">
        <v>35</v>
      </c>
      <c r="J8" s="26">
        <f>J4+J7-J6</f>
        <v>285479</v>
      </c>
      <c r="K8" s="25"/>
      <c r="O8" s="64" t="s">
        <v>97</v>
      </c>
      <c r="P8" s="54">
        <v>16319</v>
      </c>
      <c r="Q8" s="78">
        <v>-1679</v>
      </c>
    </row>
    <row r="9" spans="2:17" x14ac:dyDescent="0.25">
      <c r="B9" s="88" t="s">
        <v>67</v>
      </c>
      <c r="C9" s="48">
        <f>P9/P11</f>
        <v>0.14441866865882907</v>
      </c>
      <c r="D9" s="57">
        <f>Q9/Q11</f>
        <v>7.7724468814256334E-2</v>
      </c>
      <c r="E9" s="25"/>
      <c r="F9" s="25"/>
      <c r="G9" s="25"/>
      <c r="I9" s="95" t="s">
        <v>146</v>
      </c>
      <c r="J9" s="2">
        <f>J6-J7</f>
        <v>-36139</v>
      </c>
      <c r="O9" s="64" t="s">
        <v>98</v>
      </c>
      <c r="P9" s="54">
        <v>7346</v>
      </c>
      <c r="Q9" s="78">
        <v>567</v>
      </c>
    </row>
    <row r="10" spans="2:17" x14ac:dyDescent="0.25">
      <c r="B10" s="72" t="s">
        <v>68</v>
      </c>
      <c r="C10" s="89">
        <f>P10/P11</f>
        <v>-1.7536271772893484E-2</v>
      </c>
      <c r="D10" s="60" t="s">
        <v>24</v>
      </c>
      <c r="E10" s="25"/>
      <c r="F10" s="25"/>
      <c r="G10" s="25"/>
      <c r="O10" s="64" t="s">
        <v>100</v>
      </c>
      <c r="P10" s="49">
        <v>-892</v>
      </c>
      <c r="Q10" s="65"/>
    </row>
    <row r="11" spans="2:17" x14ac:dyDescent="0.25">
      <c r="B11" s="25"/>
      <c r="C11" s="48"/>
      <c r="D11" s="48"/>
      <c r="E11" s="25"/>
      <c r="F11" s="25"/>
      <c r="G11" s="25"/>
      <c r="O11" s="66" t="s">
        <v>99</v>
      </c>
      <c r="P11" s="75">
        <v>50866</v>
      </c>
      <c r="Q11" s="68">
        <v>7295</v>
      </c>
    </row>
    <row r="12" spans="2:17" x14ac:dyDescent="0.25">
      <c r="B12" s="55" t="s">
        <v>90</v>
      </c>
      <c r="C12" s="69"/>
      <c r="D12" s="48"/>
      <c r="E12" s="25"/>
      <c r="F12" s="25"/>
      <c r="G12" s="25"/>
      <c r="P12" s="49"/>
      <c r="Q12" s="49"/>
    </row>
    <row r="13" spans="2:17" x14ac:dyDescent="0.25">
      <c r="B13" s="24" t="s">
        <v>91</v>
      </c>
      <c r="C13" s="57">
        <f>P14/P17</f>
        <v>0.66393763570996334</v>
      </c>
      <c r="D13" s="48"/>
      <c r="E13" s="25"/>
      <c r="F13" s="25"/>
      <c r="G13" s="25"/>
      <c r="O13" s="61" t="s">
        <v>101</v>
      </c>
      <c r="P13" s="62"/>
      <c r="Q13" s="63"/>
    </row>
    <row r="14" spans="2:17" x14ac:dyDescent="0.25">
      <c r="B14" s="58" t="s">
        <v>92</v>
      </c>
      <c r="C14" s="57">
        <f>P15/P17</f>
        <v>0.31513188338732068</v>
      </c>
      <c r="D14" s="48"/>
      <c r="E14" s="25"/>
      <c r="F14" s="25"/>
      <c r="G14" s="25"/>
      <c r="O14" s="64" t="s">
        <v>91</v>
      </c>
      <c r="P14" s="76">
        <v>18652</v>
      </c>
      <c r="Q14" s="212">
        <f>Q7</f>
        <v>8407</v>
      </c>
    </row>
    <row r="15" spans="2:17" x14ac:dyDescent="0.25">
      <c r="B15" s="58" t="s">
        <v>93</v>
      </c>
      <c r="C15" s="57">
        <f>P16/P17</f>
        <v>2.093048090271598E-2</v>
      </c>
      <c r="D15" s="48"/>
      <c r="E15" s="25"/>
      <c r="F15" s="25"/>
      <c r="G15" s="25"/>
      <c r="O15" s="64" t="s">
        <v>92</v>
      </c>
      <c r="P15" s="52">
        <v>8853</v>
      </c>
      <c r="Q15" s="212"/>
    </row>
    <row r="16" spans="2:17" x14ac:dyDescent="0.25">
      <c r="B16" s="24"/>
      <c r="C16" s="57"/>
      <c r="D16" s="48"/>
      <c r="E16" s="25"/>
      <c r="F16" s="25"/>
      <c r="G16" s="25"/>
      <c r="O16" s="64" t="s">
        <v>93</v>
      </c>
      <c r="P16" s="52">
        <v>588</v>
      </c>
      <c r="Q16" s="212"/>
    </row>
    <row r="17" spans="2:17" x14ac:dyDescent="0.25">
      <c r="B17" s="58" t="s">
        <v>102</v>
      </c>
      <c r="C17" s="57"/>
      <c r="D17" s="48"/>
      <c r="E17" s="25"/>
      <c r="F17" s="25"/>
      <c r="G17" s="25"/>
      <c r="O17" s="64" t="s">
        <v>99</v>
      </c>
      <c r="P17" s="54">
        <v>28093</v>
      </c>
      <c r="Q17" s="212"/>
    </row>
    <row r="18" spans="2:17" x14ac:dyDescent="0.25">
      <c r="B18" s="58" t="s">
        <v>103</v>
      </c>
      <c r="C18" s="57">
        <f>P20/P22</f>
        <v>0.8172850096504396</v>
      </c>
      <c r="D18" s="48"/>
      <c r="E18" s="25"/>
      <c r="F18" s="25"/>
      <c r="G18" s="25"/>
      <c r="O18" s="24"/>
      <c r="P18" s="49"/>
      <c r="Q18" s="65"/>
    </row>
    <row r="19" spans="2:17" x14ac:dyDescent="0.25">
      <c r="B19" s="59" t="s">
        <v>104</v>
      </c>
      <c r="C19" s="60">
        <f>P21/P22</f>
        <v>0.18271499034956037</v>
      </c>
      <c r="D19" s="48"/>
      <c r="E19" s="25"/>
      <c r="F19" s="25"/>
      <c r="G19" s="25"/>
      <c r="O19" s="64" t="s">
        <v>102</v>
      </c>
      <c r="P19" s="49"/>
      <c r="Q19" s="65"/>
    </row>
    <row r="20" spans="2:17" x14ac:dyDescent="0.25">
      <c r="B20" s="25"/>
      <c r="C20" s="48"/>
      <c r="D20" s="48"/>
      <c r="E20" s="25"/>
      <c r="F20" s="25"/>
      <c r="G20" s="25"/>
      <c r="O20" s="64" t="s">
        <v>103</v>
      </c>
      <c r="P20" s="49">
        <v>15244</v>
      </c>
      <c r="Q20" s="65"/>
    </row>
    <row r="21" spans="2:17" x14ac:dyDescent="0.25">
      <c r="B21" s="70" t="s">
        <v>108</v>
      </c>
      <c r="C21" s="71"/>
      <c r="E21" s="25"/>
      <c r="F21" s="25"/>
      <c r="G21" s="25"/>
      <c r="O21" s="64" t="s">
        <v>104</v>
      </c>
      <c r="P21" s="49">
        <v>3408</v>
      </c>
      <c r="Q21" s="65"/>
    </row>
    <row r="22" spans="2:17" x14ac:dyDescent="0.25">
      <c r="B22" s="58" t="s">
        <v>106</v>
      </c>
      <c r="C22" s="57">
        <f>P25/P28</f>
        <v>0.73656474048654941</v>
      </c>
      <c r="O22" s="66" t="s">
        <v>99</v>
      </c>
      <c r="P22" s="77">
        <f>P14</f>
        <v>18652</v>
      </c>
      <c r="Q22" s="68"/>
    </row>
    <row r="23" spans="2:17" x14ac:dyDescent="0.25">
      <c r="B23" s="58" t="s">
        <v>92</v>
      </c>
      <c r="C23" s="57">
        <f>P26/P28</f>
        <v>0.20626263864207367</v>
      </c>
    </row>
    <row r="24" spans="2:17" x14ac:dyDescent="0.25">
      <c r="B24" s="72" t="s">
        <v>107</v>
      </c>
      <c r="C24" s="60">
        <f>P27/P28</f>
        <v>5.7172620871376922E-2</v>
      </c>
      <c r="O24" s="73" t="s">
        <v>105</v>
      </c>
      <c r="P24" s="62"/>
      <c r="Q24" s="63"/>
    </row>
    <row r="25" spans="2:17" x14ac:dyDescent="0.25">
      <c r="O25" s="74" t="s">
        <v>106</v>
      </c>
      <c r="P25" s="49">
        <v>12020</v>
      </c>
      <c r="Q25" s="212">
        <v>-1679</v>
      </c>
    </row>
    <row r="26" spans="2:17" x14ac:dyDescent="0.25">
      <c r="B26" s="79" t="s">
        <v>109</v>
      </c>
      <c r="C26" s="80"/>
      <c r="O26" s="74" t="s">
        <v>92</v>
      </c>
      <c r="P26" s="49">
        <v>3366</v>
      </c>
      <c r="Q26" s="212"/>
    </row>
    <row r="27" spans="2:17" x14ac:dyDescent="0.25">
      <c r="B27" s="24" t="s">
        <v>113</v>
      </c>
      <c r="C27" s="57">
        <f>P31/P35</f>
        <v>0.57255649332970326</v>
      </c>
      <c r="O27" s="74" t="s">
        <v>107</v>
      </c>
      <c r="P27" s="49">
        <v>933</v>
      </c>
      <c r="Q27" s="212"/>
    </row>
    <row r="28" spans="2:17" x14ac:dyDescent="0.25">
      <c r="B28" s="24" t="s">
        <v>114</v>
      </c>
      <c r="C28" s="57">
        <f>P32/P35</f>
        <v>0.12523822488429076</v>
      </c>
      <c r="O28" s="72" t="s">
        <v>99</v>
      </c>
      <c r="P28" s="67">
        <f>SUM(P25:P27)</f>
        <v>16319</v>
      </c>
      <c r="Q28" s="213"/>
    </row>
    <row r="29" spans="2:17" x14ac:dyDescent="0.25">
      <c r="B29" s="24" t="s">
        <v>115</v>
      </c>
      <c r="C29" s="57">
        <f>P33/P35</f>
        <v>0.13803430438333786</v>
      </c>
    </row>
    <row r="30" spans="2:17" x14ac:dyDescent="0.25">
      <c r="B30" s="81" t="s">
        <v>93</v>
      </c>
      <c r="C30" s="60">
        <f>P34/P35</f>
        <v>0.16417097740266812</v>
      </c>
      <c r="O30" s="73" t="s">
        <v>110</v>
      </c>
      <c r="P30" s="62"/>
      <c r="Q30" s="63"/>
    </row>
    <row r="31" spans="2:17" x14ac:dyDescent="0.25">
      <c r="O31" s="74" t="s">
        <v>107</v>
      </c>
      <c r="P31" s="49">
        <v>4206</v>
      </c>
      <c r="Q31" s="212">
        <v>567</v>
      </c>
    </row>
    <row r="32" spans="2:17" x14ac:dyDescent="0.25">
      <c r="B32" s="90"/>
      <c r="C32" s="91"/>
      <c r="D32" s="91"/>
      <c r="E32" s="90"/>
      <c r="F32" s="90"/>
      <c r="G32" s="90"/>
      <c r="H32" s="90"/>
      <c r="I32" s="90"/>
      <c r="J32" s="90"/>
      <c r="K32" s="90"/>
      <c r="L32" s="90"/>
      <c r="M32" s="90"/>
      <c r="O32" s="74" t="s">
        <v>111</v>
      </c>
      <c r="P32" s="49">
        <v>920</v>
      </c>
      <c r="Q32" s="212"/>
    </row>
    <row r="33" spans="2:17" x14ac:dyDescent="0.25">
      <c r="B33" s="90"/>
      <c r="C33" s="91"/>
      <c r="D33" s="91"/>
      <c r="E33" s="90"/>
      <c r="F33" s="90"/>
      <c r="G33" s="90"/>
      <c r="H33" s="90"/>
      <c r="I33" s="90"/>
      <c r="J33" s="90"/>
      <c r="K33" s="90"/>
      <c r="L33" s="90"/>
      <c r="M33" s="90"/>
      <c r="O33" s="74" t="s">
        <v>112</v>
      </c>
      <c r="P33" s="49">
        <v>1014</v>
      </c>
      <c r="Q33" s="212"/>
    </row>
    <row r="34" spans="2:17" x14ac:dyDescent="0.25">
      <c r="B34" s="90"/>
      <c r="C34" s="91"/>
      <c r="D34" s="91"/>
      <c r="E34" s="90"/>
      <c r="F34" s="90"/>
      <c r="G34" s="90"/>
      <c r="H34" s="90"/>
      <c r="I34" s="90"/>
      <c r="J34" s="90"/>
      <c r="K34" s="90"/>
      <c r="L34" s="90"/>
      <c r="M34" s="90"/>
      <c r="O34" s="74" t="s">
        <v>93</v>
      </c>
      <c r="P34" s="49">
        <v>1206</v>
      </c>
      <c r="Q34" s="212"/>
    </row>
    <row r="35" spans="2:17" x14ac:dyDescent="0.25">
      <c r="B35" s="90"/>
      <c r="C35" s="91"/>
      <c r="D35" s="91"/>
      <c r="E35" s="90"/>
      <c r="F35" s="90"/>
      <c r="G35" s="90"/>
      <c r="H35" s="90"/>
      <c r="I35" s="90"/>
      <c r="J35" s="90"/>
      <c r="K35" s="90"/>
      <c r="L35" s="90"/>
      <c r="M35" s="90"/>
      <c r="O35" s="72" t="s">
        <v>99</v>
      </c>
      <c r="P35" s="67">
        <v>7346</v>
      </c>
      <c r="Q35" s="68"/>
    </row>
  </sheetData>
  <mergeCells count="3">
    <mergeCell ref="Q14:Q17"/>
    <mergeCell ref="Q25:Q28"/>
    <mergeCell ref="Q31:Q3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B7FB2-0248-4B1F-BA2B-9D7589459D31}">
  <dimension ref="B1:AV32"/>
  <sheetViews>
    <sheetView workbookViewId="0">
      <selection activeCell="AH26" sqref="AH26:AJ26"/>
    </sheetView>
  </sheetViews>
  <sheetFormatPr defaultRowHeight="14.4" x14ac:dyDescent="0.25"/>
  <sheetData>
    <row r="1" spans="2:48" x14ac:dyDescent="0.25">
      <c r="F1" s="138">
        <v>44440</v>
      </c>
    </row>
    <row r="2" spans="2:48" ht="18" x14ac:dyDescent="0.25">
      <c r="B2" s="119"/>
      <c r="C2" s="119"/>
      <c r="D2" s="119"/>
      <c r="E2" s="119"/>
      <c r="F2" s="119"/>
      <c r="G2" s="119"/>
      <c r="H2" s="119"/>
      <c r="I2" s="119"/>
      <c r="J2" s="119"/>
      <c r="K2" s="119"/>
      <c r="L2" s="119"/>
      <c r="M2" s="119"/>
      <c r="N2" s="119"/>
      <c r="O2" s="119"/>
      <c r="P2" s="119"/>
      <c r="Q2" s="119"/>
      <c r="R2" s="119"/>
      <c r="S2" s="119"/>
      <c r="T2" s="119"/>
      <c r="U2" s="119"/>
      <c r="V2" s="119"/>
      <c r="W2" s="119"/>
      <c r="X2" s="119"/>
      <c r="Y2" s="119"/>
    </row>
    <row r="3" spans="2:48" x14ac:dyDescent="0.25">
      <c r="B3" s="262" t="s">
        <v>165</v>
      </c>
      <c r="C3" s="262"/>
      <c r="D3" s="262"/>
      <c r="E3" s="243" t="s">
        <v>166</v>
      </c>
      <c r="F3" s="243"/>
      <c r="G3" s="243"/>
      <c r="H3" s="241"/>
      <c r="I3" s="241"/>
      <c r="J3" s="241"/>
      <c r="K3" s="243" t="s">
        <v>167</v>
      </c>
      <c r="L3" s="243"/>
      <c r="M3" s="243"/>
      <c r="N3" s="241"/>
      <c r="O3" s="241"/>
      <c r="P3" s="241"/>
      <c r="Q3" s="243" t="s">
        <v>168</v>
      </c>
      <c r="R3" s="243"/>
      <c r="S3" s="243"/>
      <c r="T3" s="241"/>
      <c r="U3" s="241"/>
      <c r="V3" s="241"/>
      <c r="W3" s="243" t="s">
        <v>169</v>
      </c>
      <c r="X3" s="243"/>
      <c r="Y3" s="243"/>
    </row>
    <row r="4" spans="2:48" ht="15.15" thickBot="1" x14ac:dyDescent="0.3">
      <c r="B4" s="262"/>
      <c r="C4" s="262"/>
      <c r="D4" s="262"/>
      <c r="E4" s="244">
        <v>2021</v>
      </c>
      <c r="F4" s="244"/>
      <c r="G4" s="244"/>
      <c r="H4" s="241"/>
      <c r="I4" s="241"/>
      <c r="J4" s="241"/>
      <c r="K4" s="244">
        <v>2021</v>
      </c>
      <c r="L4" s="244"/>
      <c r="M4" s="244"/>
      <c r="N4" s="241"/>
      <c r="O4" s="241"/>
      <c r="P4" s="241"/>
      <c r="Q4" s="244">
        <v>2021</v>
      </c>
      <c r="R4" s="244"/>
      <c r="S4" s="244"/>
      <c r="T4" s="241"/>
      <c r="U4" s="241"/>
      <c r="V4" s="241"/>
      <c r="W4" s="244">
        <v>2021</v>
      </c>
      <c r="X4" s="244"/>
      <c r="Y4" s="244"/>
      <c r="AI4" s="138">
        <v>44440</v>
      </c>
    </row>
    <row r="5" spans="2:48" ht="18" x14ac:dyDescent="0.25">
      <c r="B5" s="231" t="s">
        <v>170</v>
      </c>
      <c r="C5" s="231"/>
      <c r="D5" s="231"/>
      <c r="E5" s="261"/>
      <c r="F5" s="261"/>
      <c r="G5" s="261"/>
      <c r="H5" s="238"/>
      <c r="I5" s="238"/>
      <c r="J5" s="238"/>
      <c r="K5" s="261"/>
      <c r="L5" s="261"/>
      <c r="M5" s="261"/>
      <c r="N5" s="238"/>
      <c r="O5" s="238"/>
      <c r="P5" s="238"/>
      <c r="Q5" s="261"/>
      <c r="R5" s="261"/>
      <c r="S5" s="261"/>
      <c r="T5" s="238"/>
      <c r="U5" s="238"/>
      <c r="V5" s="238"/>
      <c r="W5" s="261"/>
      <c r="X5" s="261"/>
      <c r="Y5" s="261"/>
      <c r="AE5" s="119"/>
      <c r="AF5" s="119"/>
      <c r="AG5" s="119"/>
      <c r="AH5" s="119"/>
      <c r="AI5" s="119"/>
      <c r="AJ5" s="119"/>
      <c r="AK5" s="119"/>
      <c r="AL5" s="119"/>
      <c r="AM5" s="119"/>
      <c r="AN5" s="119"/>
      <c r="AO5" s="119"/>
      <c r="AP5" s="119"/>
      <c r="AQ5" s="119"/>
      <c r="AR5" s="119"/>
      <c r="AS5" s="119"/>
      <c r="AT5" s="119"/>
      <c r="AU5" s="119"/>
      <c r="AV5" s="119"/>
    </row>
    <row r="6" spans="2:48" ht="18.75" x14ac:dyDescent="0.25">
      <c r="B6" s="228" t="s">
        <v>103</v>
      </c>
      <c r="C6" s="228"/>
      <c r="D6" s="228"/>
      <c r="E6" s="217">
        <v>38.799999999999997</v>
      </c>
      <c r="F6" s="217"/>
      <c r="G6" s="217"/>
      <c r="H6" s="241"/>
      <c r="I6" s="241"/>
      <c r="J6" s="241"/>
      <c r="K6" s="217">
        <v>37.9</v>
      </c>
      <c r="L6" s="217"/>
      <c r="M6" s="217"/>
      <c r="N6" s="241"/>
      <c r="O6" s="241"/>
      <c r="P6" s="241"/>
      <c r="Q6" s="217">
        <v>37.299999999999997</v>
      </c>
      <c r="R6" s="217"/>
      <c r="S6" s="217"/>
      <c r="T6" s="241"/>
      <c r="U6" s="241"/>
      <c r="V6" s="241"/>
      <c r="W6" s="217">
        <v>36.299999999999997</v>
      </c>
      <c r="X6" s="217"/>
      <c r="Y6" s="217"/>
      <c r="AE6" s="241"/>
      <c r="AF6" s="241"/>
      <c r="AG6" s="241"/>
      <c r="AH6" s="247">
        <v>2021</v>
      </c>
      <c r="AI6" s="247"/>
      <c r="AJ6" s="247"/>
      <c r="AK6" s="241"/>
      <c r="AL6" s="241"/>
      <c r="AM6" s="241"/>
      <c r="AN6" s="243">
        <v>2020</v>
      </c>
      <c r="AO6" s="243"/>
      <c r="AP6" s="243"/>
      <c r="AQ6" s="241"/>
      <c r="AR6" s="241"/>
      <c r="AS6" s="241"/>
      <c r="AT6" s="243" t="s">
        <v>191</v>
      </c>
      <c r="AU6" s="243"/>
      <c r="AV6" s="243"/>
    </row>
    <row r="7" spans="2:48" ht="25.95" customHeight="1" thickBot="1" x14ac:dyDescent="0.3">
      <c r="B7" s="225" t="s">
        <v>171</v>
      </c>
      <c r="C7" s="225"/>
      <c r="D7" s="225"/>
      <c r="E7" s="257">
        <v>36</v>
      </c>
      <c r="F7" s="257"/>
      <c r="G7" s="257"/>
      <c r="H7" s="238"/>
      <c r="I7" s="238"/>
      <c r="J7" s="238"/>
      <c r="K7" s="257">
        <v>33.200000000000003</v>
      </c>
      <c r="L7" s="257"/>
      <c r="M7" s="257"/>
      <c r="N7" s="238"/>
      <c r="O7" s="238"/>
      <c r="P7" s="238"/>
      <c r="Q7" s="257">
        <v>31.1</v>
      </c>
      <c r="R7" s="257"/>
      <c r="S7" s="257"/>
      <c r="T7" s="238"/>
      <c r="U7" s="238"/>
      <c r="V7" s="238"/>
      <c r="W7" s="257">
        <v>29.4</v>
      </c>
      <c r="X7" s="257"/>
      <c r="Y7" s="257"/>
      <c r="AE7" s="241"/>
      <c r="AF7" s="241"/>
      <c r="AG7" s="241"/>
      <c r="AH7" s="248"/>
      <c r="AI7" s="248"/>
      <c r="AJ7" s="248"/>
      <c r="AK7" s="241"/>
      <c r="AL7" s="241"/>
      <c r="AM7" s="241"/>
      <c r="AN7" s="244"/>
      <c r="AO7" s="244"/>
      <c r="AP7" s="244"/>
      <c r="AQ7" s="241"/>
      <c r="AR7" s="241"/>
      <c r="AS7" s="241"/>
      <c r="AT7" s="244" t="s">
        <v>177</v>
      </c>
      <c r="AU7" s="244"/>
      <c r="AV7" s="244"/>
    </row>
    <row r="8" spans="2:48" ht="25.95" customHeight="1" x14ac:dyDescent="0.25">
      <c r="B8" s="258" t="s">
        <v>172</v>
      </c>
      <c r="C8" s="258"/>
      <c r="D8" s="258"/>
      <c r="E8" s="260">
        <v>74.8</v>
      </c>
      <c r="F8" s="260"/>
      <c r="G8" s="260"/>
      <c r="H8" s="241"/>
      <c r="I8" s="241"/>
      <c r="J8" s="241"/>
      <c r="K8" s="260">
        <v>71.099999999999994</v>
      </c>
      <c r="L8" s="260"/>
      <c r="M8" s="260"/>
      <c r="N8" s="241"/>
      <c r="O8" s="241"/>
      <c r="P8" s="241"/>
      <c r="Q8" s="260">
        <v>68.400000000000006</v>
      </c>
      <c r="R8" s="260"/>
      <c r="S8" s="260"/>
      <c r="T8" s="241"/>
      <c r="U8" s="241"/>
      <c r="V8" s="241"/>
      <c r="W8" s="260">
        <v>65.7</v>
      </c>
      <c r="X8" s="260"/>
      <c r="Y8" s="260"/>
      <c r="AE8" s="231" t="s">
        <v>170</v>
      </c>
      <c r="AF8" s="231"/>
      <c r="AG8" s="231"/>
      <c r="AH8" s="134" t="s">
        <v>180</v>
      </c>
      <c r="AI8" s="245">
        <v>4.08</v>
      </c>
      <c r="AJ8" s="245"/>
      <c r="AK8" s="238"/>
      <c r="AL8" s="238"/>
      <c r="AM8" s="238"/>
      <c r="AN8" s="135" t="s">
        <v>180</v>
      </c>
      <c r="AO8" s="246">
        <v>4.8</v>
      </c>
      <c r="AP8" s="246"/>
      <c r="AQ8" s="238"/>
      <c r="AR8" s="238"/>
      <c r="AS8" s="238"/>
      <c r="AT8" s="242" t="s">
        <v>192</v>
      </c>
      <c r="AU8" s="242"/>
      <c r="AV8" s="242"/>
    </row>
    <row r="9" spans="2:48" ht="18.75" thickBot="1" x14ac:dyDescent="0.3">
      <c r="B9" s="225" t="s">
        <v>173</v>
      </c>
      <c r="C9" s="225"/>
      <c r="D9" s="225"/>
      <c r="E9" s="257">
        <v>43.3</v>
      </c>
      <c r="F9" s="257"/>
      <c r="G9" s="257"/>
      <c r="H9" s="238"/>
      <c r="I9" s="238"/>
      <c r="J9" s="238"/>
      <c r="K9" s="257">
        <v>44.9</v>
      </c>
      <c r="L9" s="257"/>
      <c r="M9" s="257"/>
      <c r="N9" s="238"/>
      <c r="O9" s="238"/>
      <c r="P9" s="238"/>
      <c r="Q9" s="257">
        <v>35.200000000000003</v>
      </c>
      <c r="R9" s="257"/>
      <c r="S9" s="257"/>
      <c r="T9" s="238"/>
      <c r="U9" s="238"/>
      <c r="V9" s="238"/>
      <c r="W9" s="257">
        <v>29.2</v>
      </c>
      <c r="X9" s="257"/>
      <c r="Y9" s="257"/>
      <c r="AE9" s="222" t="s">
        <v>175</v>
      </c>
      <c r="AF9" s="222"/>
      <c r="AG9" s="222"/>
      <c r="AH9" s="123" t="s">
        <v>180</v>
      </c>
      <c r="AI9" s="229">
        <v>4.57</v>
      </c>
      <c r="AJ9" s="229"/>
      <c r="AK9" s="241"/>
      <c r="AL9" s="241"/>
      <c r="AM9" s="241"/>
      <c r="AN9" s="120" t="s">
        <v>180</v>
      </c>
      <c r="AO9" s="230">
        <v>4.3499999999999996</v>
      </c>
      <c r="AP9" s="230"/>
      <c r="AQ9" s="241"/>
      <c r="AR9" s="241"/>
      <c r="AS9" s="241"/>
      <c r="AT9" s="217" t="s">
        <v>193</v>
      </c>
      <c r="AU9" s="217"/>
      <c r="AV9" s="217"/>
    </row>
    <row r="10" spans="2:48" ht="18.75" thickBot="1" x14ac:dyDescent="0.3">
      <c r="B10" s="258" t="s">
        <v>174</v>
      </c>
      <c r="C10" s="258"/>
      <c r="D10" s="258"/>
      <c r="E10" s="259">
        <v>118.1</v>
      </c>
      <c r="F10" s="259"/>
      <c r="G10" s="259"/>
      <c r="H10" s="241"/>
      <c r="I10" s="241"/>
      <c r="J10" s="241"/>
      <c r="K10" s="259">
        <v>116</v>
      </c>
      <c r="L10" s="259"/>
      <c r="M10" s="259"/>
      <c r="N10" s="241"/>
      <c r="O10" s="241"/>
      <c r="P10" s="241"/>
      <c r="Q10" s="259">
        <v>103.6</v>
      </c>
      <c r="R10" s="259"/>
      <c r="S10" s="259"/>
      <c r="T10" s="241"/>
      <c r="U10" s="241"/>
      <c r="V10" s="241"/>
      <c r="W10" s="259">
        <v>94.9</v>
      </c>
      <c r="X10" s="259"/>
      <c r="Y10" s="259"/>
      <c r="AE10" s="231" t="s">
        <v>194</v>
      </c>
      <c r="AF10" s="231"/>
      <c r="AG10" s="231"/>
      <c r="AH10" s="238"/>
      <c r="AI10" s="238"/>
      <c r="AJ10" s="238"/>
      <c r="AK10" s="238"/>
      <c r="AL10" s="238"/>
      <c r="AM10" s="238"/>
      <c r="AN10" s="238"/>
      <c r="AO10" s="238"/>
      <c r="AP10" s="238"/>
      <c r="AQ10" s="238"/>
      <c r="AR10" s="238"/>
      <c r="AS10" s="238"/>
      <c r="AT10" s="238"/>
      <c r="AU10" s="238"/>
      <c r="AV10" s="238"/>
    </row>
    <row r="11" spans="2:48" ht="19.45" thickTop="1" x14ac:dyDescent="0.25">
      <c r="B11" s="256"/>
      <c r="C11" s="256"/>
      <c r="D11" s="256"/>
      <c r="E11" s="255"/>
      <c r="F11" s="255"/>
      <c r="G11" s="255"/>
      <c r="H11" s="238"/>
      <c r="I11" s="238"/>
      <c r="J11" s="238"/>
      <c r="K11" s="255"/>
      <c r="L11" s="255"/>
      <c r="M11" s="255"/>
      <c r="N11" s="238"/>
      <c r="O11" s="238"/>
      <c r="P11" s="238"/>
      <c r="Q11" s="255"/>
      <c r="R11" s="255"/>
      <c r="S11" s="255"/>
      <c r="T11" s="238"/>
      <c r="U11" s="238"/>
      <c r="V11" s="238"/>
      <c r="W11" s="255"/>
      <c r="X11" s="255"/>
      <c r="Y11" s="255"/>
      <c r="AE11" s="214" t="s">
        <v>195</v>
      </c>
      <c r="AF11" s="214"/>
      <c r="AG11" s="214"/>
      <c r="AH11" s="123" t="s">
        <v>180</v>
      </c>
      <c r="AI11" s="229">
        <v>12.86</v>
      </c>
      <c r="AJ11" s="229"/>
      <c r="AK11" s="241"/>
      <c r="AL11" s="241"/>
      <c r="AM11" s="241"/>
      <c r="AN11" s="120" t="s">
        <v>180</v>
      </c>
      <c r="AO11" s="230">
        <v>12.24</v>
      </c>
      <c r="AP11" s="230"/>
      <c r="AQ11" s="241"/>
      <c r="AR11" s="241"/>
      <c r="AS11" s="241"/>
      <c r="AT11" s="217" t="s">
        <v>193</v>
      </c>
      <c r="AU11" s="217"/>
      <c r="AV11" s="217"/>
    </row>
    <row r="12" spans="2:48" ht="18.75" x14ac:dyDescent="0.25">
      <c r="B12" s="222" t="s">
        <v>175</v>
      </c>
      <c r="C12" s="222"/>
      <c r="D12" s="222"/>
      <c r="E12" s="217">
        <v>17.100000000000001</v>
      </c>
      <c r="F12" s="217"/>
      <c r="G12" s="217"/>
      <c r="H12" s="241"/>
      <c r="I12" s="241"/>
      <c r="J12" s="241"/>
      <c r="K12" s="217">
        <v>14.9</v>
      </c>
      <c r="L12" s="217"/>
      <c r="M12" s="217"/>
      <c r="N12" s="241"/>
      <c r="O12" s="241"/>
      <c r="P12" s="241"/>
      <c r="Q12" s="217">
        <v>13.8</v>
      </c>
      <c r="R12" s="217"/>
      <c r="S12" s="217"/>
      <c r="T12" s="241"/>
      <c r="U12" s="241"/>
      <c r="V12" s="241"/>
      <c r="W12" s="217">
        <v>12.1</v>
      </c>
      <c r="X12" s="217"/>
      <c r="Y12" s="217"/>
      <c r="AE12" s="218" t="s">
        <v>196</v>
      </c>
      <c r="AF12" s="218"/>
      <c r="AG12" s="218"/>
      <c r="AH12" s="136" t="s">
        <v>180</v>
      </c>
      <c r="AI12" s="249">
        <v>81.349999999999994</v>
      </c>
      <c r="AJ12" s="249"/>
      <c r="AK12" s="238"/>
      <c r="AL12" s="238"/>
      <c r="AM12" s="238"/>
      <c r="AN12" s="137" t="s">
        <v>180</v>
      </c>
      <c r="AO12" s="239">
        <v>67.239999999999995</v>
      </c>
      <c r="AP12" s="239"/>
      <c r="AQ12" s="238"/>
      <c r="AR12" s="238"/>
      <c r="AS12" s="238"/>
      <c r="AT12" s="221" t="s">
        <v>197</v>
      </c>
      <c r="AU12" s="221"/>
      <c r="AV12" s="221"/>
    </row>
    <row r="16" spans="2:48" ht="28.8" x14ac:dyDescent="0.25">
      <c r="B16" s="122"/>
      <c r="C16" s="122"/>
      <c r="D16" s="122"/>
      <c r="E16" s="122"/>
      <c r="F16" s="122"/>
      <c r="G16" s="122"/>
      <c r="H16" s="122"/>
      <c r="I16" s="122"/>
      <c r="J16" s="122"/>
      <c r="K16" s="122"/>
      <c r="L16" s="122"/>
      <c r="M16" s="122"/>
      <c r="N16" s="122"/>
      <c r="O16" s="122"/>
      <c r="P16" s="122"/>
      <c r="Q16" s="122"/>
      <c r="R16" s="122"/>
      <c r="S16" s="122"/>
      <c r="AE16" s="122"/>
      <c r="AF16" s="122"/>
      <c r="AG16" s="122"/>
      <c r="AH16" s="122" t="s">
        <v>226</v>
      </c>
      <c r="AI16" s="122"/>
      <c r="AJ16" s="122"/>
      <c r="AK16" s="122"/>
      <c r="AL16" s="122"/>
      <c r="AM16" s="122"/>
      <c r="AN16" s="122"/>
      <c r="AO16" s="122"/>
      <c r="AP16" s="122"/>
      <c r="AQ16" s="122"/>
      <c r="AR16" s="122"/>
      <c r="AS16" s="122"/>
      <c r="AT16" s="122"/>
      <c r="AU16" s="122"/>
      <c r="AV16" s="122"/>
    </row>
    <row r="17" spans="2:48" x14ac:dyDescent="0.25">
      <c r="AE17" s="240"/>
      <c r="AF17" s="240"/>
      <c r="AG17" s="240"/>
      <c r="AH17" s="235"/>
      <c r="AI17" s="235"/>
      <c r="AJ17" s="235"/>
      <c r="AK17" s="235"/>
      <c r="AL17" s="235"/>
      <c r="AM17" s="235"/>
      <c r="AN17" s="235"/>
      <c r="AO17" s="235"/>
      <c r="AP17" s="235"/>
      <c r="AQ17" s="235"/>
      <c r="AR17" s="235"/>
      <c r="AS17" s="235"/>
      <c r="AT17" s="233" t="s">
        <v>191</v>
      </c>
      <c r="AU17" s="233"/>
      <c r="AV17" s="233"/>
    </row>
    <row r="18" spans="2:48" x14ac:dyDescent="0.25">
      <c r="B18" s="254" t="s">
        <v>165</v>
      </c>
      <c r="C18" s="254"/>
      <c r="D18" s="254"/>
      <c r="E18" s="236">
        <v>2021</v>
      </c>
      <c r="F18" s="236"/>
      <c r="G18" s="236"/>
      <c r="H18" s="235"/>
      <c r="I18" s="235"/>
      <c r="J18" s="235"/>
      <c r="K18" s="233">
        <v>2020</v>
      </c>
      <c r="L18" s="233"/>
      <c r="M18" s="233"/>
      <c r="N18" s="235"/>
      <c r="O18" s="235"/>
      <c r="P18" s="235"/>
      <c r="Q18" s="233" t="s">
        <v>176</v>
      </c>
      <c r="R18" s="233"/>
      <c r="S18" s="233"/>
      <c r="AE18" s="240"/>
      <c r="AF18" s="240"/>
      <c r="AG18" s="240"/>
      <c r="AH18" s="235"/>
      <c r="AI18" s="235"/>
      <c r="AJ18" s="235"/>
      <c r="AK18" s="235"/>
      <c r="AL18" s="235"/>
      <c r="AM18" s="235"/>
      <c r="AN18" s="235"/>
      <c r="AO18" s="235"/>
      <c r="AP18" s="235"/>
      <c r="AQ18" s="235"/>
      <c r="AR18" s="235"/>
      <c r="AS18" s="235"/>
      <c r="AT18" s="233" t="s">
        <v>198</v>
      </c>
      <c r="AU18" s="233"/>
      <c r="AV18" s="233"/>
    </row>
    <row r="19" spans="2:48" x14ac:dyDescent="0.25">
      <c r="B19" s="254"/>
      <c r="C19" s="254"/>
      <c r="D19" s="254"/>
      <c r="E19" s="236"/>
      <c r="F19" s="236"/>
      <c r="G19" s="236"/>
      <c r="H19" s="235"/>
      <c r="I19" s="235"/>
      <c r="J19" s="235"/>
      <c r="K19" s="233"/>
      <c r="L19" s="233"/>
      <c r="M19" s="233"/>
      <c r="N19" s="235"/>
      <c r="O19" s="235"/>
      <c r="P19" s="235"/>
      <c r="Q19" s="233" t="s">
        <v>177</v>
      </c>
      <c r="R19" s="233"/>
      <c r="S19" s="233"/>
      <c r="AE19" s="235"/>
      <c r="AF19" s="235"/>
      <c r="AG19" s="235"/>
      <c r="AH19" s="236" t="s">
        <v>200</v>
      </c>
      <c r="AI19" s="236"/>
      <c r="AJ19" s="236"/>
      <c r="AK19" s="235"/>
      <c r="AL19" s="235"/>
      <c r="AM19" s="235"/>
      <c r="AN19" s="233" t="s">
        <v>169</v>
      </c>
      <c r="AO19" s="233"/>
      <c r="AP19" s="233"/>
      <c r="AQ19" s="235"/>
      <c r="AR19" s="235"/>
      <c r="AS19" s="235"/>
      <c r="AT19" s="233" t="s">
        <v>199</v>
      </c>
      <c r="AU19" s="233"/>
      <c r="AV19" s="233"/>
    </row>
    <row r="20" spans="2:48" ht="15.15" thickBot="1" x14ac:dyDescent="0.3">
      <c r="AE20" s="235"/>
      <c r="AF20" s="235"/>
      <c r="AG20" s="235"/>
      <c r="AH20" s="237">
        <v>2022</v>
      </c>
      <c r="AI20" s="237"/>
      <c r="AJ20" s="237"/>
      <c r="AK20" s="235"/>
      <c r="AL20" s="235"/>
      <c r="AM20" s="235"/>
      <c r="AN20" s="234">
        <v>2021</v>
      </c>
      <c r="AO20" s="234"/>
      <c r="AP20" s="234"/>
      <c r="AQ20" s="235"/>
      <c r="AR20" s="235"/>
      <c r="AS20" s="235"/>
      <c r="AT20" s="234"/>
      <c r="AU20" s="234"/>
      <c r="AV20" s="234"/>
    </row>
    <row r="21" spans="2:48" ht="25.95" customHeight="1" x14ac:dyDescent="0.25">
      <c r="B21" s="231" t="s">
        <v>178</v>
      </c>
      <c r="C21" s="231"/>
      <c r="D21" s="231"/>
      <c r="E21" s="232"/>
      <c r="F21" s="232"/>
      <c r="G21" s="232"/>
      <c r="H21" s="220"/>
      <c r="I21" s="220"/>
      <c r="J21" s="220"/>
      <c r="K21" s="232"/>
      <c r="L21" s="232"/>
      <c r="M21" s="232"/>
      <c r="N21" s="220"/>
      <c r="O21" s="220"/>
      <c r="P21" s="220"/>
      <c r="Q21" s="232"/>
      <c r="R21" s="232"/>
      <c r="S21" s="232"/>
      <c r="AE21" s="231" t="s">
        <v>170</v>
      </c>
      <c r="AF21" s="231"/>
      <c r="AG21" s="231"/>
      <c r="AH21" s="232"/>
      <c r="AI21" s="232"/>
      <c r="AJ21" s="232"/>
      <c r="AK21" s="220"/>
      <c r="AL21" s="220"/>
      <c r="AM21" s="220"/>
      <c r="AN21" s="232"/>
      <c r="AO21" s="232"/>
      <c r="AP21" s="232"/>
      <c r="AQ21" s="220"/>
      <c r="AR21" s="220"/>
      <c r="AS21" s="220"/>
      <c r="AT21" s="232"/>
      <c r="AU21" s="232"/>
      <c r="AV21" s="232"/>
    </row>
    <row r="22" spans="2:48" ht="15.15" x14ac:dyDescent="0.25">
      <c r="B22" s="228" t="s">
        <v>179</v>
      </c>
      <c r="C22" s="228"/>
      <c r="D22" s="228"/>
      <c r="E22" s="123" t="s">
        <v>180</v>
      </c>
      <c r="F22" s="124">
        <v>-9353</v>
      </c>
      <c r="G22" s="125" t="s">
        <v>181</v>
      </c>
      <c r="H22" s="216"/>
      <c r="I22" s="216"/>
      <c r="J22" s="216"/>
      <c r="K22" s="120" t="s">
        <v>180</v>
      </c>
      <c r="L22" s="126">
        <v>-8538</v>
      </c>
      <c r="M22" s="121" t="s">
        <v>181</v>
      </c>
      <c r="N22" s="216"/>
      <c r="O22" s="216"/>
      <c r="P22" s="216"/>
      <c r="Q22" s="217" t="s">
        <v>182</v>
      </c>
      <c r="R22" s="217"/>
      <c r="S22" s="217"/>
      <c r="AE22" s="228" t="s">
        <v>201</v>
      </c>
      <c r="AF22" s="228"/>
      <c r="AG22" s="228"/>
      <c r="AH22" s="123" t="s">
        <v>180</v>
      </c>
      <c r="AI22" s="229" t="s">
        <v>202</v>
      </c>
      <c r="AJ22" s="229"/>
      <c r="AK22" s="216"/>
      <c r="AL22" s="216"/>
      <c r="AM22" s="216"/>
      <c r="AN22" s="120" t="s">
        <v>180</v>
      </c>
      <c r="AO22" s="230" t="s">
        <v>203</v>
      </c>
      <c r="AP22" s="230"/>
      <c r="AQ22" s="216"/>
      <c r="AR22" s="216"/>
      <c r="AS22" s="216"/>
      <c r="AT22" s="217" t="s">
        <v>204</v>
      </c>
      <c r="AU22" s="217"/>
      <c r="AV22" s="217"/>
    </row>
    <row r="23" spans="2:48" ht="25.95" customHeight="1" thickBot="1" x14ac:dyDescent="0.3">
      <c r="B23" s="225" t="s">
        <v>183</v>
      </c>
      <c r="C23" s="225"/>
      <c r="D23" s="225"/>
      <c r="E23" s="250">
        <v>-2767</v>
      </c>
      <c r="F23" s="250"/>
      <c r="G23" s="127"/>
      <c r="H23" s="220"/>
      <c r="I23" s="220"/>
      <c r="J23" s="220"/>
      <c r="K23" s="251">
        <v>-2605</v>
      </c>
      <c r="L23" s="251"/>
      <c r="M23" s="127"/>
      <c r="N23" s="220"/>
      <c r="O23" s="220"/>
      <c r="P23" s="220"/>
      <c r="Q23" s="221" t="s">
        <v>184</v>
      </c>
      <c r="R23" s="221"/>
      <c r="S23" s="221"/>
      <c r="AE23" s="227" t="s">
        <v>205</v>
      </c>
      <c r="AF23" s="227"/>
      <c r="AG23" s="227"/>
      <c r="AH23" s="219" t="s">
        <v>206</v>
      </c>
      <c r="AI23" s="219"/>
      <c r="AJ23" s="219"/>
      <c r="AK23" s="220"/>
      <c r="AL23" s="220"/>
      <c r="AM23" s="220"/>
      <c r="AN23" s="221" t="s">
        <v>207</v>
      </c>
      <c r="AO23" s="221"/>
      <c r="AP23" s="221"/>
      <c r="AQ23" s="220"/>
      <c r="AR23" s="220"/>
      <c r="AS23" s="220"/>
      <c r="AT23" s="221" t="s">
        <v>208</v>
      </c>
      <c r="AU23" s="221"/>
      <c r="AV23" s="221"/>
    </row>
    <row r="24" spans="2:48" ht="25.95" customHeight="1" x14ac:dyDescent="0.25">
      <c r="B24" s="222" t="s">
        <v>185</v>
      </c>
      <c r="C24" s="222"/>
      <c r="D24" s="222"/>
      <c r="E24" s="252">
        <v>-12120</v>
      </c>
      <c r="F24" s="252"/>
      <c r="G24" s="128"/>
      <c r="H24" s="216"/>
      <c r="I24" s="216"/>
      <c r="J24" s="216"/>
      <c r="K24" s="253">
        <v>-11143</v>
      </c>
      <c r="L24" s="253"/>
      <c r="M24" s="128"/>
      <c r="N24" s="216"/>
      <c r="O24" s="216"/>
      <c r="P24" s="216"/>
      <c r="Q24" s="217" t="s">
        <v>186</v>
      </c>
      <c r="R24" s="217"/>
      <c r="S24" s="217"/>
      <c r="AE24" s="223" t="s">
        <v>209</v>
      </c>
      <c r="AF24" s="223"/>
      <c r="AG24" s="223"/>
      <c r="AH24" s="226" t="s">
        <v>210</v>
      </c>
      <c r="AI24" s="226"/>
      <c r="AJ24" s="226"/>
      <c r="AK24" s="216"/>
      <c r="AL24" s="216"/>
      <c r="AM24" s="216"/>
      <c r="AN24" s="217" t="s">
        <v>211</v>
      </c>
      <c r="AO24" s="217"/>
      <c r="AP24" s="217"/>
      <c r="AQ24" s="216"/>
      <c r="AR24" s="216"/>
      <c r="AS24" s="216"/>
      <c r="AT24" s="217" t="s">
        <v>212</v>
      </c>
      <c r="AU24" s="217"/>
      <c r="AV24" s="217"/>
    </row>
    <row r="25" spans="2:48" ht="15.85" thickBot="1" x14ac:dyDescent="0.3">
      <c r="B25" s="231" t="s">
        <v>187</v>
      </c>
      <c r="C25" s="231"/>
      <c r="D25" s="231"/>
      <c r="E25" s="250">
        <v>-3139</v>
      </c>
      <c r="F25" s="250"/>
      <c r="G25" s="127"/>
      <c r="H25" s="220"/>
      <c r="I25" s="220"/>
      <c r="J25" s="220"/>
      <c r="K25" s="251">
        <v>-2693</v>
      </c>
      <c r="L25" s="251"/>
      <c r="M25" s="127"/>
      <c r="N25" s="220"/>
      <c r="O25" s="220"/>
      <c r="P25" s="220"/>
      <c r="Q25" s="221" t="s">
        <v>188</v>
      </c>
      <c r="R25" s="221"/>
      <c r="S25" s="221"/>
      <c r="AE25" s="225" t="s">
        <v>173</v>
      </c>
      <c r="AF25" s="225"/>
      <c r="AG25" s="225"/>
      <c r="AH25" s="219" t="s">
        <v>213</v>
      </c>
      <c r="AI25" s="219"/>
      <c r="AJ25" s="219"/>
      <c r="AK25" s="220"/>
      <c r="AL25" s="220"/>
      <c r="AM25" s="220"/>
      <c r="AN25" s="221" t="s">
        <v>214</v>
      </c>
      <c r="AO25" s="221"/>
      <c r="AP25" s="221"/>
      <c r="AQ25" s="220"/>
      <c r="AR25" s="220"/>
      <c r="AS25" s="220"/>
      <c r="AT25" s="221" t="s">
        <v>193</v>
      </c>
      <c r="AU25" s="221"/>
      <c r="AV25" s="221"/>
    </row>
    <row r="26" spans="2:48" ht="15.15" x14ac:dyDescent="0.25">
      <c r="B26" s="216"/>
      <c r="C26" s="216"/>
      <c r="D26" s="216"/>
      <c r="E26" s="252">
        <v>-15259</v>
      </c>
      <c r="F26" s="252"/>
      <c r="G26" s="128"/>
      <c r="H26" s="216"/>
      <c r="I26" s="216"/>
      <c r="J26" s="216"/>
      <c r="K26" s="253">
        <v>-13836</v>
      </c>
      <c r="L26" s="253"/>
      <c r="M26" s="128"/>
      <c r="N26" s="216"/>
      <c r="O26" s="216"/>
      <c r="P26" s="216"/>
      <c r="Q26" s="217" t="s">
        <v>182</v>
      </c>
      <c r="R26" s="217"/>
      <c r="S26" s="217"/>
      <c r="AE26" s="223" t="s">
        <v>170</v>
      </c>
      <c r="AF26" s="223"/>
      <c r="AG26" s="223"/>
      <c r="AH26" s="224" t="s">
        <v>215</v>
      </c>
      <c r="AI26" s="224"/>
      <c r="AJ26" s="224"/>
      <c r="AK26" s="216"/>
      <c r="AL26" s="216"/>
      <c r="AM26" s="216"/>
      <c r="AN26" s="217" t="s">
        <v>216</v>
      </c>
      <c r="AO26" s="217"/>
      <c r="AP26" s="217"/>
      <c r="AQ26" s="216"/>
      <c r="AR26" s="216"/>
      <c r="AS26" s="216"/>
      <c r="AT26" s="217" t="s">
        <v>217</v>
      </c>
      <c r="AU26" s="217"/>
      <c r="AV26" s="217"/>
    </row>
    <row r="27" spans="2:48" ht="15.15" thickBot="1" x14ac:dyDescent="0.3">
      <c r="B27" s="231" t="s">
        <v>189</v>
      </c>
      <c r="C27" s="231"/>
      <c r="D27" s="231"/>
      <c r="E27" s="250">
        <v>-1549</v>
      </c>
      <c r="F27" s="250"/>
      <c r="G27" s="127"/>
      <c r="H27" s="220"/>
      <c r="I27" s="220"/>
      <c r="J27" s="220"/>
      <c r="K27" s="251">
        <v>-1473</v>
      </c>
      <c r="L27" s="251"/>
      <c r="M27" s="127"/>
      <c r="N27" s="220"/>
      <c r="O27" s="220"/>
      <c r="P27" s="220"/>
      <c r="Q27" s="221" t="s">
        <v>190</v>
      </c>
      <c r="R27" s="221"/>
      <c r="S27" s="221"/>
      <c r="AE27" s="220"/>
      <c r="AF27" s="220"/>
      <c r="AG27" s="220"/>
      <c r="AH27" s="220"/>
      <c r="AI27" s="220"/>
      <c r="AJ27" s="220"/>
      <c r="AK27" s="220"/>
      <c r="AL27" s="220"/>
      <c r="AM27" s="220"/>
      <c r="AN27" s="220"/>
      <c r="AO27" s="220"/>
      <c r="AP27" s="220"/>
      <c r="AQ27" s="220"/>
      <c r="AR27" s="220"/>
      <c r="AS27" s="220"/>
      <c r="AT27" s="220"/>
      <c r="AU27" s="220"/>
      <c r="AV27" s="220"/>
    </row>
    <row r="28" spans="2:48" ht="15.15" thickBot="1" x14ac:dyDescent="0.3">
      <c r="B28" s="216"/>
      <c r="C28" s="216"/>
      <c r="D28" s="216"/>
      <c r="E28" s="129" t="s">
        <v>180</v>
      </c>
      <c r="F28" s="130">
        <v>-16808</v>
      </c>
      <c r="G28" s="131"/>
      <c r="H28" s="216"/>
      <c r="I28" s="216"/>
      <c r="J28" s="216"/>
      <c r="K28" s="132" t="s">
        <v>180</v>
      </c>
      <c r="L28" s="133">
        <v>-15309</v>
      </c>
      <c r="M28" s="131"/>
      <c r="N28" s="216"/>
      <c r="O28" s="216"/>
      <c r="P28" s="216"/>
      <c r="Q28" s="217" t="s">
        <v>182</v>
      </c>
      <c r="R28" s="217"/>
      <c r="S28" s="217"/>
      <c r="AE28" s="222" t="s">
        <v>175</v>
      </c>
      <c r="AF28" s="222"/>
      <c r="AG28" s="222"/>
      <c r="AH28" s="215" t="s">
        <v>218</v>
      </c>
      <c r="AI28" s="215"/>
      <c r="AJ28" s="215"/>
      <c r="AK28" s="216"/>
      <c r="AL28" s="216"/>
      <c r="AM28" s="216"/>
      <c r="AN28" s="217" t="s">
        <v>219</v>
      </c>
      <c r="AO28" s="217"/>
      <c r="AP28" s="217"/>
      <c r="AQ28" s="216"/>
      <c r="AR28" s="216"/>
      <c r="AS28" s="216"/>
      <c r="AT28" s="217" t="s">
        <v>204</v>
      </c>
      <c r="AU28" s="217"/>
      <c r="AV28" s="217"/>
    </row>
    <row r="29" spans="2:48" ht="15.15" thickTop="1" x14ac:dyDescent="0.25">
      <c r="AE29" s="220"/>
      <c r="AF29" s="220"/>
      <c r="AG29" s="220"/>
      <c r="AH29" s="220"/>
      <c r="AI29" s="220"/>
      <c r="AJ29" s="220"/>
      <c r="AK29" s="220"/>
      <c r="AL29" s="220"/>
      <c r="AM29" s="220"/>
      <c r="AN29" s="220"/>
      <c r="AO29" s="220"/>
      <c r="AP29" s="220"/>
      <c r="AQ29" s="220"/>
      <c r="AR29" s="220"/>
      <c r="AS29" s="220"/>
      <c r="AT29" s="220"/>
      <c r="AU29" s="220"/>
      <c r="AV29" s="220"/>
    </row>
    <row r="30" spans="2:48" x14ac:dyDescent="0.25">
      <c r="AE30" s="222" t="s">
        <v>194</v>
      </c>
      <c r="AF30" s="222"/>
      <c r="AG30" s="222"/>
      <c r="AH30" s="216"/>
      <c r="AI30" s="216"/>
      <c r="AJ30" s="216"/>
      <c r="AK30" s="216"/>
      <c r="AL30" s="216"/>
      <c r="AM30" s="216"/>
      <c r="AN30" s="216"/>
      <c r="AO30" s="216"/>
      <c r="AP30" s="216"/>
      <c r="AQ30" s="216"/>
      <c r="AR30" s="216"/>
      <c r="AS30" s="216"/>
      <c r="AT30" s="216"/>
      <c r="AU30" s="216"/>
      <c r="AV30" s="216"/>
    </row>
    <row r="31" spans="2:48" x14ac:dyDescent="0.25">
      <c r="AE31" s="218" t="s">
        <v>195</v>
      </c>
      <c r="AF31" s="218"/>
      <c r="AG31" s="218"/>
      <c r="AH31" s="219" t="s">
        <v>220</v>
      </c>
      <c r="AI31" s="219"/>
      <c r="AJ31" s="219"/>
      <c r="AK31" s="220"/>
      <c r="AL31" s="220"/>
      <c r="AM31" s="220"/>
      <c r="AN31" s="221" t="s">
        <v>221</v>
      </c>
      <c r="AO31" s="221"/>
      <c r="AP31" s="221"/>
      <c r="AQ31" s="220"/>
      <c r="AR31" s="220"/>
      <c r="AS31" s="220"/>
      <c r="AT31" s="221" t="s">
        <v>222</v>
      </c>
      <c r="AU31" s="221"/>
      <c r="AV31" s="221"/>
    </row>
    <row r="32" spans="2:48" x14ac:dyDescent="0.25">
      <c r="AE32" s="214" t="s">
        <v>196</v>
      </c>
      <c r="AF32" s="214"/>
      <c r="AG32" s="214"/>
      <c r="AH32" s="215" t="s">
        <v>223</v>
      </c>
      <c r="AI32" s="215"/>
      <c r="AJ32" s="215"/>
      <c r="AK32" s="216"/>
      <c r="AL32" s="216"/>
      <c r="AM32" s="216"/>
      <c r="AN32" s="217" t="s">
        <v>224</v>
      </c>
      <c r="AO32" s="217"/>
      <c r="AP32" s="217"/>
      <c r="AQ32" s="216"/>
      <c r="AR32" s="216"/>
      <c r="AS32" s="216"/>
      <c r="AT32" s="217" t="s">
        <v>225</v>
      </c>
      <c r="AU32" s="217"/>
      <c r="AV32" s="217"/>
    </row>
  </sheetData>
  <mergeCells count="250">
    <mergeCell ref="N3:P4"/>
    <mergeCell ref="Q3:S3"/>
    <mergeCell ref="Q4:S4"/>
    <mergeCell ref="T3:V4"/>
    <mergeCell ref="W3:Y3"/>
    <mergeCell ref="W4:Y4"/>
    <mergeCell ref="B3:D4"/>
    <mergeCell ref="E3:G3"/>
    <mergeCell ref="E4:G4"/>
    <mergeCell ref="H3:J4"/>
    <mergeCell ref="K3:M3"/>
    <mergeCell ref="K4:M4"/>
    <mergeCell ref="T5:V5"/>
    <mergeCell ref="W5:Y5"/>
    <mergeCell ref="B6:D6"/>
    <mergeCell ref="E6:G6"/>
    <mergeCell ref="H6:J6"/>
    <mergeCell ref="K6:M6"/>
    <mergeCell ref="N6:P6"/>
    <mergeCell ref="Q6:S6"/>
    <mergeCell ref="T6:V6"/>
    <mergeCell ref="W6:Y6"/>
    <mergeCell ref="B5:D5"/>
    <mergeCell ref="E5:G5"/>
    <mergeCell ref="H5:J5"/>
    <mergeCell ref="K5:M5"/>
    <mergeCell ref="N5:P5"/>
    <mergeCell ref="Q5:S5"/>
    <mergeCell ref="T7:V7"/>
    <mergeCell ref="W7:Y7"/>
    <mergeCell ref="B8:D8"/>
    <mergeCell ref="E8:G8"/>
    <mergeCell ref="H8:J8"/>
    <mergeCell ref="K8:M8"/>
    <mergeCell ref="N8:P8"/>
    <mergeCell ref="Q8:S8"/>
    <mergeCell ref="T8:V8"/>
    <mergeCell ref="W8:Y8"/>
    <mergeCell ref="B7:D7"/>
    <mergeCell ref="E7:G7"/>
    <mergeCell ref="H7:J7"/>
    <mergeCell ref="K7:M7"/>
    <mergeCell ref="N7:P7"/>
    <mergeCell ref="Q7:S7"/>
    <mergeCell ref="T9:V9"/>
    <mergeCell ref="W9:Y9"/>
    <mergeCell ref="B10:D10"/>
    <mergeCell ref="E10:G10"/>
    <mergeCell ref="H10:J10"/>
    <mergeCell ref="K10:M10"/>
    <mergeCell ref="N10:P10"/>
    <mergeCell ref="Q10:S10"/>
    <mergeCell ref="T10:V10"/>
    <mergeCell ref="W10:Y10"/>
    <mergeCell ref="B9:D9"/>
    <mergeCell ref="E9:G9"/>
    <mergeCell ref="H9:J9"/>
    <mergeCell ref="K9:M9"/>
    <mergeCell ref="N9:P9"/>
    <mergeCell ref="Q9:S9"/>
    <mergeCell ref="T11:V11"/>
    <mergeCell ref="W11:Y11"/>
    <mergeCell ref="B12:D12"/>
    <mergeCell ref="E12:G12"/>
    <mergeCell ref="H12:J12"/>
    <mergeCell ref="K12:M12"/>
    <mergeCell ref="N12:P12"/>
    <mergeCell ref="Q12:S12"/>
    <mergeCell ref="T12:V12"/>
    <mergeCell ref="W12:Y12"/>
    <mergeCell ref="B11:D11"/>
    <mergeCell ref="E11:G11"/>
    <mergeCell ref="H11:J11"/>
    <mergeCell ref="K11:M11"/>
    <mergeCell ref="N11:P11"/>
    <mergeCell ref="Q11:S11"/>
    <mergeCell ref="B21:D21"/>
    <mergeCell ref="E21:G21"/>
    <mergeCell ref="H21:J21"/>
    <mergeCell ref="K21:M21"/>
    <mergeCell ref="N21:P21"/>
    <mergeCell ref="Q21:S21"/>
    <mergeCell ref="B18:D19"/>
    <mergeCell ref="E18:G19"/>
    <mergeCell ref="H18:J19"/>
    <mergeCell ref="K18:M19"/>
    <mergeCell ref="N18:P19"/>
    <mergeCell ref="Q18:S18"/>
    <mergeCell ref="Q19:S19"/>
    <mergeCell ref="B22:D22"/>
    <mergeCell ref="H22:J22"/>
    <mergeCell ref="N22:P22"/>
    <mergeCell ref="Q22:S22"/>
    <mergeCell ref="B23:D23"/>
    <mergeCell ref="E23:F23"/>
    <mergeCell ref="H23:J23"/>
    <mergeCell ref="K23:L23"/>
    <mergeCell ref="N23:P23"/>
    <mergeCell ref="Q23:S23"/>
    <mergeCell ref="H25:J25"/>
    <mergeCell ref="K25:L25"/>
    <mergeCell ref="N25:P25"/>
    <mergeCell ref="Q25:S25"/>
    <mergeCell ref="B24:D24"/>
    <mergeCell ref="E24:F24"/>
    <mergeCell ref="H24:J24"/>
    <mergeCell ref="K24:L24"/>
    <mergeCell ref="N24:P24"/>
    <mergeCell ref="Q24:S24"/>
    <mergeCell ref="B28:D28"/>
    <mergeCell ref="H28:J28"/>
    <mergeCell ref="N28:P28"/>
    <mergeCell ref="Q28:S28"/>
    <mergeCell ref="AE6:AG7"/>
    <mergeCell ref="AH6:AJ7"/>
    <mergeCell ref="AE10:AG10"/>
    <mergeCell ref="AH10:AJ10"/>
    <mergeCell ref="AE12:AG12"/>
    <mergeCell ref="AI12:AJ12"/>
    <mergeCell ref="B27:D27"/>
    <mergeCell ref="E27:F27"/>
    <mergeCell ref="H27:J27"/>
    <mergeCell ref="K27:L27"/>
    <mergeCell ref="N27:P27"/>
    <mergeCell ref="Q27:S27"/>
    <mergeCell ref="B26:D26"/>
    <mergeCell ref="E26:F26"/>
    <mergeCell ref="H26:J26"/>
    <mergeCell ref="K26:L26"/>
    <mergeCell ref="N26:P26"/>
    <mergeCell ref="Q26:S26"/>
    <mergeCell ref="B25:D25"/>
    <mergeCell ref="E25:F25"/>
    <mergeCell ref="AT8:AV8"/>
    <mergeCell ref="AE9:AG9"/>
    <mergeCell ref="AI9:AJ9"/>
    <mergeCell ref="AK9:AM9"/>
    <mergeCell ref="AO9:AP9"/>
    <mergeCell ref="AQ9:AS9"/>
    <mergeCell ref="AT9:AV9"/>
    <mergeCell ref="AK6:AM7"/>
    <mergeCell ref="AN6:AP7"/>
    <mergeCell ref="AQ6:AS7"/>
    <mergeCell ref="AT6:AV6"/>
    <mergeCell ref="AT7:AV7"/>
    <mergeCell ref="AE8:AG8"/>
    <mergeCell ref="AI8:AJ8"/>
    <mergeCell ref="AK8:AM8"/>
    <mergeCell ref="AO8:AP8"/>
    <mergeCell ref="AQ8:AS8"/>
    <mergeCell ref="AK10:AM10"/>
    <mergeCell ref="AN10:AP10"/>
    <mergeCell ref="AQ10:AS10"/>
    <mergeCell ref="AT10:AV10"/>
    <mergeCell ref="AE11:AG11"/>
    <mergeCell ref="AI11:AJ11"/>
    <mergeCell ref="AK11:AM11"/>
    <mergeCell ref="AO11:AP11"/>
    <mergeCell ref="AQ11:AS11"/>
    <mergeCell ref="AT11:AV11"/>
    <mergeCell ref="AK12:AM12"/>
    <mergeCell ref="AO12:AP12"/>
    <mergeCell ref="AQ12:AS12"/>
    <mergeCell ref="AT12:AV12"/>
    <mergeCell ref="AE17:AG18"/>
    <mergeCell ref="AH17:AP18"/>
    <mergeCell ref="AQ17:AS18"/>
    <mergeCell ref="AT17:AV17"/>
    <mergeCell ref="AT18:AV18"/>
    <mergeCell ref="AT19:AV19"/>
    <mergeCell ref="AT20:AV20"/>
    <mergeCell ref="AE19:AG20"/>
    <mergeCell ref="AH19:AJ19"/>
    <mergeCell ref="AH20:AJ20"/>
    <mergeCell ref="AK19:AM20"/>
    <mergeCell ref="AN19:AP19"/>
    <mergeCell ref="AN20:AP20"/>
    <mergeCell ref="AQ19:AS20"/>
    <mergeCell ref="AE22:AG22"/>
    <mergeCell ref="AI22:AJ22"/>
    <mergeCell ref="AK22:AM22"/>
    <mergeCell ref="AO22:AP22"/>
    <mergeCell ref="AQ22:AS22"/>
    <mergeCell ref="AT22:AV22"/>
    <mergeCell ref="AE21:AG21"/>
    <mergeCell ref="AH21:AJ21"/>
    <mergeCell ref="AK21:AM21"/>
    <mergeCell ref="AN21:AP21"/>
    <mergeCell ref="AQ21:AS21"/>
    <mergeCell ref="AT21:AV21"/>
    <mergeCell ref="AE24:AG24"/>
    <mergeCell ref="AH24:AJ24"/>
    <mergeCell ref="AK24:AM24"/>
    <mergeCell ref="AN24:AP24"/>
    <mergeCell ref="AQ24:AS24"/>
    <mergeCell ref="AT24:AV24"/>
    <mergeCell ref="AE23:AG23"/>
    <mergeCell ref="AH23:AJ23"/>
    <mergeCell ref="AK23:AM23"/>
    <mergeCell ref="AN23:AP23"/>
    <mergeCell ref="AQ23:AS23"/>
    <mergeCell ref="AT23:AV23"/>
    <mergeCell ref="AE26:AG26"/>
    <mergeCell ref="AH26:AJ26"/>
    <mergeCell ref="AK26:AM26"/>
    <mergeCell ref="AN26:AP26"/>
    <mergeCell ref="AQ26:AS26"/>
    <mergeCell ref="AT26:AV26"/>
    <mergeCell ref="AE25:AG25"/>
    <mergeCell ref="AH25:AJ25"/>
    <mergeCell ref="AK25:AM25"/>
    <mergeCell ref="AN25:AP25"/>
    <mergeCell ref="AQ25:AS25"/>
    <mergeCell ref="AT25:AV25"/>
    <mergeCell ref="AE28:AG28"/>
    <mergeCell ref="AH28:AJ28"/>
    <mergeCell ref="AK28:AM28"/>
    <mergeCell ref="AN28:AP28"/>
    <mergeCell ref="AQ28:AS28"/>
    <mergeCell ref="AT28:AV28"/>
    <mergeCell ref="AE27:AG27"/>
    <mergeCell ref="AH27:AJ27"/>
    <mergeCell ref="AK27:AM27"/>
    <mergeCell ref="AN27:AP27"/>
    <mergeCell ref="AQ27:AS27"/>
    <mergeCell ref="AT27:AV27"/>
    <mergeCell ref="AE30:AG30"/>
    <mergeCell ref="AH30:AJ30"/>
    <mergeCell ref="AK30:AM30"/>
    <mergeCell ref="AN30:AP30"/>
    <mergeCell ref="AQ30:AS30"/>
    <mergeCell ref="AT30:AV30"/>
    <mergeCell ref="AE29:AG29"/>
    <mergeCell ref="AH29:AJ29"/>
    <mergeCell ref="AK29:AM29"/>
    <mergeCell ref="AN29:AP29"/>
    <mergeCell ref="AQ29:AS29"/>
    <mergeCell ref="AT29:AV29"/>
    <mergeCell ref="AE32:AG32"/>
    <mergeCell ref="AH32:AJ32"/>
    <mergeCell ref="AK32:AM32"/>
    <mergeCell ref="AN32:AP32"/>
    <mergeCell ref="AQ32:AS32"/>
    <mergeCell ref="AT32:AV32"/>
    <mergeCell ref="AE31:AG31"/>
    <mergeCell ref="AH31:AJ31"/>
    <mergeCell ref="AK31:AM31"/>
    <mergeCell ref="AN31:AP31"/>
    <mergeCell ref="AQ31:AS31"/>
    <mergeCell ref="AT31:AV3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1590-F897-43D9-8E06-6CCC0DD7207B}">
  <dimension ref="B2:Z52"/>
  <sheetViews>
    <sheetView topLeftCell="A19" workbookViewId="0">
      <selection activeCell="B33" sqref="B33"/>
    </sheetView>
  </sheetViews>
  <sheetFormatPr defaultRowHeight="14.4" x14ac:dyDescent="0.25"/>
  <cols>
    <col min="1" max="1" width="2.85546875" customWidth="1"/>
    <col min="2" max="2" width="11.7109375" customWidth="1"/>
  </cols>
  <sheetData>
    <row r="2" spans="2:9" x14ac:dyDescent="0.25">
      <c r="B2" t="s">
        <v>121</v>
      </c>
    </row>
    <row r="4" spans="2:9" x14ac:dyDescent="0.25">
      <c r="B4" t="s">
        <v>117</v>
      </c>
    </row>
    <row r="6" spans="2:9" x14ac:dyDescent="0.25">
      <c r="B6" t="s">
        <v>118</v>
      </c>
    </row>
    <row r="8" spans="2:9" x14ac:dyDescent="0.25">
      <c r="B8" s="118" t="s">
        <v>119</v>
      </c>
      <c r="C8" s="118"/>
      <c r="D8" s="118"/>
      <c r="E8" s="118"/>
      <c r="F8" s="118"/>
      <c r="G8" s="118"/>
      <c r="H8" s="118"/>
      <c r="I8" s="118"/>
    </row>
    <row r="10" spans="2:9" x14ac:dyDescent="0.25">
      <c r="B10" t="s">
        <v>120</v>
      </c>
    </row>
    <row r="12" spans="2:9" x14ac:dyDescent="0.25">
      <c r="B12" t="s">
        <v>122</v>
      </c>
    </row>
    <row r="14" spans="2:9" x14ac:dyDescent="0.25">
      <c r="B14" t="s">
        <v>123</v>
      </c>
    </row>
    <row r="15" spans="2:9" x14ac:dyDescent="0.25">
      <c r="B15" t="s">
        <v>124</v>
      </c>
    </row>
    <row r="17" spans="2:20" x14ac:dyDescent="0.25">
      <c r="B17" t="s">
        <v>125</v>
      </c>
    </row>
    <row r="19" spans="2:20" x14ac:dyDescent="0.25">
      <c r="B19" t="s">
        <v>126</v>
      </c>
    </row>
    <row r="21" spans="2:20" x14ac:dyDescent="0.25">
      <c r="B21" t="s">
        <v>127</v>
      </c>
    </row>
    <row r="23" spans="2:20" x14ac:dyDescent="0.25">
      <c r="B23" s="118" t="s">
        <v>128</v>
      </c>
      <c r="C23" s="118"/>
      <c r="D23" s="118"/>
      <c r="E23" s="118"/>
      <c r="F23" s="118"/>
      <c r="G23" s="118"/>
      <c r="H23" s="118"/>
      <c r="I23" s="118"/>
      <c r="J23" s="118"/>
      <c r="K23" s="118"/>
      <c r="L23" s="118"/>
      <c r="M23" s="118"/>
      <c r="N23" s="118"/>
      <c r="O23" s="118"/>
      <c r="P23" s="118"/>
      <c r="Q23" s="118"/>
      <c r="R23" s="118"/>
      <c r="S23" s="118"/>
      <c r="T23" s="118"/>
    </row>
    <row r="25" spans="2:20" x14ac:dyDescent="0.25">
      <c r="B25" t="s">
        <v>129</v>
      </c>
    </row>
    <row r="27" spans="2:20" x14ac:dyDescent="0.25">
      <c r="B27" t="s">
        <v>130</v>
      </c>
    </row>
    <row r="29" spans="2:20" x14ac:dyDescent="0.25">
      <c r="B29" s="118" t="s">
        <v>131</v>
      </c>
      <c r="C29" s="118"/>
      <c r="D29" s="118"/>
      <c r="E29" s="118"/>
      <c r="F29" s="118"/>
      <c r="G29" s="118"/>
      <c r="H29" s="118"/>
      <c r="I29" s="118"/>
      <c r="J29" s="118"/>
      <c r="K29" s="118"/>
      <c r="L29" s="118"/>
      <c r="M29" s="118"/>
      <c r="N29" s="118"/>
    </row>
    <row r="31" spans="2:20" x14ac:dyDescent="0.25">
      <c r="B31" t="s">
        <v>132</v>
      </c>
    </row>
    <row r="33" spans="2:26" x14ac:dyDescent="0.25">
      <c r="B33" s="118" t="s">
        <v>133</v>
      </c>
      <c r="C33" s="118"/>
      <c r="D33" s="118"/>
      <c r="E33" s="118"/>
      <c r="F33" s="118"/>
      <c r="G33" s="118"/>
      <c r="H33" s="118"/>
      <c r="I33" s="118"/>
    </row>
    <row r="35" spans="2:26" x14ac:dyDescent="0.25">
      <c r="B35" s="118" t="s">
        <v>134</v>
      </c>
      <c r="C35" s="118"/>
      <c r="D35" s="118"/>
      <c r="E35" s="118"/>
      <c r="F35" s="118"/>
      <c r="G35" s="118"/>
      <c r="H35" s="118"/>
      <c r="I35" s="118"/>
      <c r="J35" s="118"/>
    </row>
    <row r="37" spans="2:26" x14ac:dyDescent="0.25">
      <c r="B37" t="s">
        <v>135</v>
      </c>
    </row>
    <row r="39" spans="2:26" x14ac:dyDescent="0.25">
      <c r="B39" t="s">
        <v>136</v>
      </c>
    </row>
    <row r="41" spans="2:26" x14ac:dyDescent="0.25">
      <c r="B41" s="118" t="s">
        <v>137</v>
      </c>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spans="2:26" x14ac:dyDescent="0.25">
      <c r="B42" s="118" t="s">
        <v>138</v>
      </c>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4" spans="2:26" x14ac:dyDescent="0.25">
      <c r="B44" s="118" t="s">
        <v>139</v>
      </c>
      <c r="C44" s="118"/>
      <c r="D44" s="118"/>
      <c r="E44" s="118"/>
      <c r="F44" s="118"/>
      <c r="G44" s="118"/>
      <c r="H44" s="118"/>
      <c r="I44" s="118"/>
      <c r="J44" s="118"/>
      <c r="K44" s="118"/>
      <c r="L44" s="118"/>
    </row>
    <row r="46" spans="2:26" x14ac:dyDescent="0.25">
      <c r="B46" t="s">
        <v>140</v>
      </c>
    </row>
    <row r="47" spans="2:26" x14ac:dyDescent="0.25">
      <c r="B47" t="s">
        <v>141</v>
      </c>
    </row>
    <row r="48" spans="2:26" x14ac:dyDescent="0.25">
      <c r="B48" t="s">
        <v>142</v>
      </c>
    </row>
    <row r="49" spans="2:2" x14ac:dyDescent="0.25">
      <c r="B49" t="s">
        <v>143</v>
      </c>
    </row>
    <row r="50" spans="2:2" x14ac:dyDescent="0.25">
      <c r="B50" t="s">
        <v>144</v>
      </c>
    </row>
    <row r="52" spans="2:2" x14ac:dyDescent="0.25">
      <c r="B52" t="s">
        <v>145</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DiscountedNetIncome</vt:lpstr>
      <vt:lpstr>Sheet4</vt:lpstr>
      <vt:lpstr>WTF is going on in the DCF</vt:lpstr>
      <vt:lpstr>Val</vt:lpstr>
      <vt:lpstr>DCF TRUE</vt:lpstr>
      <vt:lpstr>Notes</vt:lpstr>
      <vt:lpstr>Segments</vt:lpstr>
      <vt:lpstr>Average Sub</vt:lpstr>
      <vt:lpstr>Transcript Earnngs Call Q122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Halis Karic</dc:creator>
  <cp:lastModifiedBy>Karic, Halis</cp:lastModifiedBy>
  <dcterms:created xsi:type="dcterms:W3CDTF">2022-03-18T14:32:23Z</dcterms:created>
  <dcterms:modified xsi:type="dcterms:W3CDTF">2022-04-14T17:44:55Z</dcterms:modified>
</cp:coreProperties>
</file>