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340" windowHeight="2730" tabRatio="726" firstSheet="2" activeTab="6"/>
  </bookViews>
  <sheets>
    <sheet name="Sheet1" sheetId="1" r:id="rId1"/>
    <sheet name="comet pull gravity" sheetId="2" r:id="rId2"/>
    <sheet name="rocket gym" sheetId="3" r:id="rId3"/>
    <sheet name="gravity vs. centripetal acc." sheetId="4" r:id="rId4"/>
    <sheet name="rocket speed calcs" sheetId="5" r:id="rId5"/>
    <sheet name="thule's speed" sheetId="6" r:id="rId6"/>
    <sheet name="hypervelocity" sheetId="7" r:id="rId7"/>
    <sheet name="Thule's brightness" sheetId="8" r:id="rId8"/>
    <sheet name="Traveling on Thule" sheetId="9" r:id="rId9"/>
    <sheet name="ship time vs. thule time" sheetId="10" r:id="rId10"/>
    <sheet name="radiation dose" sheetId="11" r:id="rId11"/>
    <sheet name="escape velocity" sheetId="12" r:id="rId12"/>
  </sheets>
  <calcPr calcId="125725"/>
</workbook>
</file>

<file path=xl/calcChain.xml><?xml version="1.0" encoding="utf-8"?>
<calcChain xmlns="http://schemas.openxmlformats.org/spreadsheetml/2006/main">
  <c r="H12" i="1"/>
  <c r="G12"/>
  <c r="E12"/>
  <c r="G9"/>
  <c r="G8"/>
  <c r="B7" i="12"/>
  <c r="B8"/>
  <c r="B6"/>
  <c r="I7" i="10"/>
  <c r="F9" i="9"/>
  <c r="D7"/>
  <c r="D5"/>
  <c r="U6" i="1"/>
  <c r="C25" i="8"/>
  <c r="B4"/>
  <c r="U5" i="1"/>
  <c r="U4"/>
  <c r="O4"/>
  <c r="K21" i="6"/>
  <c r="D20"/>
  <c r="D19"/>
  <c r="K45" i="5"/>
  <c r="I45"/>
  <c r="M43"/>
  <c r="K43"/>
  <c r="F43"/>
  <c r="D43"/>
  <c r="I42"/>
  <c r="E42"/>
  <c r="A42"/>
  <c r="D10" i="7"/>
  <c r="B6"/>
  <c r="C32" i="1"/>
  <c r="E30"/>
  <c r="E29"/>
  <c r="C65" i="4"/>
  <c r="C64"/>
  <c r="C52"/>
  <c r="E54" s="1"/>
  <c r="F50"/>
  <c r="D47"/>
  <c r="C22"/>
  <c r="B21"/>
  <c r="F8"/>
  <c r="C33"/>
  <c r="B31"/>
  <c r="G16"/>
  <c r="H15"/>
  <c r="C38"/>
  <c r="E37"/>
  <c r="D13"/>
  <c r="B20"/>
  <c r="D17" s="1"/>
  <c r="J16" s="1"/>
  <c r="L18" s="1"/>
  <c r="L19" s="1"/>
  <c r="F7"/>
  <c r="D7"/>
  <c r="D8" i="5"/>
  <c r="D35"/>
  <c r="D38" s="1"/>
  <c r="E32"/>
  <c r="D29"/>
  <c r="D23"/>
  <c r="D17"/>
  <c r="D10"/>
  <c r="D11" s="1"/>
  <c r="C5" i="4"/>
  <c r="E10" s="1"/>
  <c r="G6" i="3"/>
  <c r="L11" i="2"/>
  <c r="K10"/>
  <c r="A13"/>
  <c r="A10"/>
  <c r="E3"/>
  <c r="C4" s="1"/>
  <c r="E4" s="1"/>
  <c r="L20" i="1"/>
  <c r="N20" s="1"/>
  <c r="G22"/>
  <c r="I19"/>
  <c r="W46"/>
  <c r="Q71"/>
  <c r="P70"/>
  <c r="U63"/>
  <c r="Q61"/>
  <c r="P54"/>
  <c r="P56" s="1"/>
  <c r="P49"/>
  <c r="P51" s="1"/>
  <c r="L45"/>
  <c r="G18"/>
  <c r="K14"/>
  <c r="AC14" s="1"/>
  <c r="R14"/>
  <c r="S15" s="1"/>
  <c r="P14"/>
  <c r="O14"/>
  <c r="P18" s="1"/>
  <c r="P21" s="1"/>
  <c r="C15"/>
  <c r="B15"/>
  <c r="J9"/>
  <c r="N9" s="1"/>
  <c r="P9" s="1"/>
  <c r="X9" s="1"/>
  <c r="J8"/>
  <c r="N8" s="1"/>
  <c r="P8" s="1"/>
  <c r="X8" s="1"/>
  <c r="K7"/>
  <c r="L36"/>
  <c r="B4"/>
  <c r="L47" s="1"/>
  <c r="K29"/>
  <c r="K28"/>
  <c r="F5"/>
  <c r="C4"/>
  <c r="K58" i="4" l="1"/>
  <c r="D59" s="1"/>
  <c r="G61"/>
  <c r="G62" s="1"/>
  <c r="B10" i="12"/>
  <c r="V51" i="1"/>
  <c r="W51" s="1"/>
  <c r="F4"/>
  <c r="L31"/>
  <c r="M25" s="1"/>
  <c r="E15"/>
  <c r="C19" s="1"/>
  <c r="C22" s="1"/>
  <c r="Q22"/>
  <c r="L34"/>
  <c r="N33" s="1"/>
  <c r="C8"/>
  <c r="C11" s="1"/>
  <c r="M21" l="1"/>
  <c r="P23" s="1"/>
  <c r="S23"/>
  <c r="E20"/>
  <c r="E22"/>
  <c r="I17"/>
  <c r="F16"/>
  <c r="L46"/>
  <c r="L49" s="1"/>
  <c r="L50" s="1"/>
  <c r="C3" i="4" l="1"/>
  <c r="U25" i="1"/>
  <c r="U26" s="1"/>
  <c r="I12"/>
  <c r="M17"/>
</calcChain>
</file>

<file path=xl/sharedStrings.xml><?xml version="1.0" encoding="utf-8"?>
<sst xmlns="http://schemas.openxmlformats.org/spreadsheetml/2006/main" count="480" uniqueCount="333">
  <si>
    <t>Msun</t>
  </si>
  <si>
    <t>DV squared</t>
  </si>
  <si>
    <t>Comet Pull Delta V:</t>
  </si>
  <si>
    <t>distance to horizon on Thule:</t>
  </si>
  <si>
    <t>Thule's radius:</t>
  </si>
  <si>
    <t>height of person:</t>
  </si>
  <si>
    <t>height of rocket:</t>
  </si>
  <si>
    <t>0.72 AU = how far the comet drops the ship off from Thule</t>
  </si>
  <si>
    <t>=</t>
  </si>
  <si>
    <t>km</t>
  </si>
  <si>
    <t xml:space="preserve">Rthule - Rearth = </t>
  </si>
  <si>
    <t>m</t>
  </si>
  <si>
    <t>Rearth (m)</t>
  </si>
  <si>
    <t>Rthule (m)</t>
  </si>
  <si>
    <t>m/s</t>
  </si>
  <si>
    <t>DV (m/s)</t>
  </si>
  <si>
    <t xml:space="preserve">If a journey this long took 1 week, </t>
  </si>
  <si>
    <t xml:space="preserve"># of seconds in 1 week = </t>
  </si>
  <si>
    <t xml:space="preserve">They would need to go this fast:  </t>
  </si>
  <si>
    <t>km/s</t>
  </si>
  <si>
    <t xml:space="preserve">Say with payload, Eurockot's 2nd stage has total mass of </t>
  </si>
  <si>
    <t>kg</t>
  </si>
  <si>
    <t xml:space="preserve">and a rocket thrust of </t>
  </si>
  <si>
    <t>N</t>
  </si>
  <si>
    <t xml:space="preserve">with a burn time of </t>
  </si>
  <si>
    <t>s</t>
  </si>
  <si>
    <t xml:space="preserve">That rocket will get up to </t>
  </si>
  <si>
    <t>or 2.5 km/s--not fast enough!!</t>
  </si>
  <si>
    <t xml:space="preserve">Say with payload, Eurockot's 1st stage has total mass of </t>
  </si>
  <si>
    <t>or 2.8 km/s--not fast enough!!</t>
  </si>
  <si>
    <t xml:space="preserve">Say with payload, Titan IV's Centaur stage has total mass of </t>
  </si>
  <si>
    <t xml:space="preserve"># of seconds in 4 weeks = </t>
  </si>
  <si>
    <t>to get there in 4 weeks, need to go:</t>
  </si>
  <si>
    <t>or 2 km/s--not fast enough!!</t>
  </si>
  <si>
    <t xml:space="preserve">km, or </t>
  </si>
  <si>
    <t>0.012 AU.</t>
  </si>
  <si>
    <t xml:space="preserve">Traveling a week at 3 km/s gets a person:  </t>
  </si>
  <si>
    <t>(Titan IV Centaur (optional upper rocket stage) is ~9 m long)</t>
  </si>
  <si>
    <t xml:space="preserve">Say with payload, Titan IV's 1st stage has total mass of </t>
  </si>
  <si>
    <t>(Titan IV 1st stage is ~26 m long)</t>
  </si>
  <si>
    <t>R = Thule's radius</t>
  </si>
  <si>
    <t>M = Thule's mass</t>
  </si>
  <si>
    <t xml:space="preserve">Hilda's mass = 1.5*10^15 kg, and radius = 170.6 km, so its density  = </t>
  </si>
  <si>
    <t xml:space="preserve">density = </t>
  </si>
  <si>
    <t>kg/m^3</t>
  </si>
  <si>
    <t>???</t>
  </si>
  <si>
    <t>if Thule's density matche's Hilda's, then it's mass would be:</t>
  </si>
  <si>
    <t xml:space="preserve">Julian's mass = m = </t>
  </si>
  <si>
    <t>G (m^3/(kg*s^2))</t>
  </si>
  <si>
    <t>Ceres R =</t>
  </si>
  <si>
    <t>(not used-&gt;)</t>
  </si>
  <si>
    <t xml:space="preserve">Ceres M = </t>
  </si>
  <si>
    <t xml:space="preserve">gravity on Ceres:  f= </t>
  </si>
  <si>
    <t>1 newton = 0.224808943 pounds force</t>
  </si>
  <si>
    <t>lbs</t>
  </si>
  <si>
    <t xml:space="preserve">N,    or </t>
  </si>
  <si>
    <t>1 kilogram = 2.20462262 pounds</t>
  </si>
  <si>
    <t>circumference of Thule:</t>
  </si>
  <si>
    <t>R/(R+h) =</t>
  </si>
  <si>
    <t xml:space="preserve">for Julian's h, then theta = </t>
  </si>
  <si>
    <t xml:space="preserve">and this is </t>
  </si>
  <si>
    <t xml:space="preserve">of a whole circle, so multiply that by the circumference to get an arc length of: </t>
  </si>
  <si>
    <t xml:space="preserve">for ship's h of 20 m, theta = </t>
  </si>
  <si>
    <t>Earth to Thule</t>
  </si>
  <si>
    <t>RJupiter (m)</t>
  </si>
  <si>
    <t>1 AU =</t>
  </si>
  <si>
    <t>Earth to Saturn (furthest)</t>
  </si>
  <si>
    <t>Earth to Jupiter (Jupiter at apehelion, furthest out)</t>
  </si>
  <si>
    <t xml:space="preserve">RJupiter - Rearth = </t>
  </si>
  <si>
    <t xml:space="preserve">RSaturn - Rearth = </t>
  </si>
  <si>
    <t>velocity necessary to go from Ganymede to Ceres in 2 months:</t>
  </si>
  <si>
    <t>Sun to Ceres (a):</t>
  </si>
  <si>
    <t>Sun to Jupiter (a):</t>
  </si>
  <si>
    <t>AU</t>
  </si>
  <si>
    <t>velocity vs.radius from sun on eliptical orbit:</t>
  </si>
  <si>
    <t xml:space="preserve">r = </t>
  </si>
  <si>
    <t xml:space="preserve">if v = </t>
  </si>
  <si>
    <t xml:space="preserve">and a = </t>
  </si>
  <si>
    <t>(comet speed at earth that was going 80 km/s at Jupiter)</t>
  </si>
  <si>
    <t xml:space="preserve">m </t>
  </si>
  <si>
    <t>(Jupiter's semimajor axis)</t>
  </si>
  <si>
    <t>Then</t>
  </si>
  <si>
    <t xml:space="preserve">and mu = </t>
  </si>
  <si>
    <t xml:space="preserve">r in AU = </t>
  </si>
  <si>
    <t>wattage required for slowest deceleration from 76km/s to zero:</t>
  </si>
  <si>
    <t>W</t>
  </si>
  <si>
    <t>W/kg</t>
  </si>
  <si>
    <t>Thrust to do this deceleration over this time period is:</t>
  </si>
  <si>
    <t>kg*m/s^2</t>
  </si>
  <si>
    <t>Assuming we have a Quiescent E-field of ~10^7 V/m, we'll need an ion thruster of area:</t>
  </si>
  <si>
    <t>m^2</t>
  </si>
  <si>
    <t>this moves only the "block of rock" thorium power supply, not any additional ship weight (or even the weight of the thruster itself)</t>
  </si>
  <si>
    <t>if calamatite is lightweight, and can be used as a major component, it might be lower weight than standard components used for these purposes (how could it be lighter weight than tubes?  --but N52 a lightweight insulator…???  Lighter weight than oxides?  what does it have to beat?), then it could be very very valuable as a way to make travel across the system faster, or require less power (nuclear fuel/infrastructure/etc.)</t>
  </si>
  <si>
    <t>chemical rocket thrust is more like 240,000 Newtons…</t>
  </si>
  <si>
    <t xml:space="preserve">sqrt of 5 = </t>
  </si>
  <si>
    <t>To get 5000 N thrust (twice the above), would need an ion engine area of 5 m^2</t>
  </si>
  <si>
    <t>over 1 week, 3000 N would accelerate 100,000 kg (ship weight?) to this velocity:</t>
  </si>
  <si>
    <t>over half that time, max velocity would be ~9km/s, avg. velocity would be 4.5km/s</t>
  </si>
  <si>
    <t>time for comet pull:</t>
  </si>
  <si>
    <t>to get to 42km/s, would have to accelerate at Xm/s^2 for 3 hrs:</t>
  </si>
  <si>
    <t>accel =</t>
  </si>
  <si>
    <t>m/s^2</t>
  </si>
  <si>
    <t xml:space="preserve">for 2 hrs., accel = </t>
  </si>
  <si>
    <t>days</t>
  </si>
  <si>
    <t>Earth to Thule time at 100 km/s:</t>
  </si>
  <si>
    <t>Earth to Ceres time at 100 km/s:</t>
  </si>
  <si>
    <t>Earth to Ceres time at 41.8 km/s:</t>
  </si>
  <si>
    <t>Rceres(m)</t>
  </si>
  <si>
    <t>Ceres to Thule at 4 km/s:</t>
  </si>
  <si>
    <t xml:space="preserve">days, or </t>
  </si>
  <si>
    <t>years</t>
  </si>
  <si>
    <t>gravity on comet pull:</t>
  </si>
  <si>
    <t xml:space="preserve">velocity change:  </t>
  </si>
  <si>
    <t>over time period:</t>
  </si>
  <si>
    <t>days, =</t>
  </si>
  <si>
    <t>seconds</t>
  </si>
  <si>
    <t xml:space="preserve">average acceleration: </t>
  </si>
  <si>
    <t xml:space="preserve">m/s, = </t>
  </si>
  <si>
    <t>earth-g's</t>
  </si>
  <si>
    <t>Earth to Thule time at 40 km/s:</t>
  </si>
  <si>
    <t xml:space="preserve">days, = </t>
  </si>
  <si>
    <t>(40 km/s to 100 km/s)</t>
  </si>
  <si>
    <t>Gravity on Thule:   f = GMm/R^2,   =</t>
  </si>
  <si>
    <t>Newtons</t>
  </si>
  <si>
    <t xml:space="preserve">gravity on Thule in pounds: </t>
  </si>
  <si>
    <t>getting onto the comet:  acceleration:</t>
  </si>
  <si>
    <t>5-g for twenty minutes and 1 g for forty gives:</t>
  </si>
  <si>
    <t>m/s end velocity</t>
  </si>
  <si>
    <t>5-g for ten minutes and 1 g for thirty gives:</t>
  </si>
  <si>
    <t>Earth to Jupiter time at 100 km/s:</t>
  </si>
  <si>
    <t>distance travelled after comet pull</t>
  </si>
  <si>
    <t>after 50km/s, for one week:</t>
  </si>
  <si>
    <t>light takes this long to go that far:</t>
  </si>
  <si>
    <t>sec</t>
  </si>
  <si>
    <t>acceleration due to gravity on Thule = GM/R^2</t>
  </si>
  <si>
    <t>m/s/s</t>
  </si>
  <si>
    <t>time to fall a meter on Thule:</t>
  </si>
  <si>
    <t>minutes</t>
  </si>
  <si>
    <t>The Rotating Gym:</t>
  </si>
  <si>
    <t>On The Rocket</t>
  </si>
  <si>
    <t>~10 m diameter, how fast does it need to go to have 5 m/s/s of centripetal acceleration?</t>
  </si>
  <si>
    <t>a=omega^2*r</t>
  </si>
  <si>
    <t xml:space="preserve">&gt;&gt; </t>
  </si>
  <si>
    <t xml:space="preserve">omega = </t>
  </si>
  <si>
    <t>cycle/sec</t>
  </si>
  <si>
    <t>r = (in m)</t>
  </si>
  <si>
    <t>a = (in m/s/s)</t>
  </si>
  <si>
    <t>why not just set the rocket itself spinning?  Or would that disturb the engine somehow?</t>
  </si>
  <si>
    <t>maybe only use a quarter gravity?</t>
  </si>
  <si>
    <t>Thule gravity vs. rotational acceleration'</t>
  </si>
  <si>
    <t>Thule gravity =</t>
  </si>
  <si>
    <t xml:space="preserve">Thule's radius = </t>
  </si>
  <si>
    <t>m =</t>
  </si>
  <si>
    <t xml:space="preserve">Thule's rotational period = </t>
  </si>
  <si>
    <t>Speed Calculations for Various Rocket Engine + Payload combos</t>
  </si>
  <si>
    <t>cycles/second</t>
  </si>
  <si>
    <t>hours, or</t>
  </si>
  <si>
    <t>source:  http://articles.adsabs.harvard.edu/full/2010MPBu...37..168W</t>
  </si>
  <si>
    <t>=omega</t>
  </si>
  <si>
    <t>centripetal acceleration = r*(omega^2)</t>
  </si>
  <si>
    <t>m (wrong!)</t>
  </si>
  <si>
    <t>But with thisdensity and rotation rate, Thule doesn't have enough gravity to hold it's dust on!</t>
  </si>
  <si>
    <t>How high does the density have to be to just equalize the gravity and the centripetal acceleration, i.e., just barely keep the dust from flying away?</t>
  </si>
  <si>
    <t>we need r*omega^2 = GM/r^2</t>
  </si>
  <si>
    <t xml:space="preserve">G = </t>
  </si>
  <si>
    <t xml:space="preserve">So Thule's M = </t>
  </si>
  <si>
    <t xml:space="preserve">With this M, gravity on Thule = </t>
  </si>
  <si>
    <t>to get this, M must = r^3*omega^/G</t>
  </si>
  <si>
    <t xml:space="preserve">&gt;&gt;&gt; Thule's rotational frequency =  2*pi/T = </t>
  </si>
  <si>
    <t xml:space="preserve">source:  </t>
  </si>
  <si>
    <t>radius=</t>
  </si>
  <si>
    <t>Hektor:</t>
  </si>
  <si>
    <t>source:  http://en.wikipedia.org/wiki/624_Hektor</t>
  </si>
  <si>
    <t xml:space="preserve">Dimensions 370 km × 195 km × 195 km[3] 
Mass ~1.4×1019 kg 
</t>
  </si>
  <si>
    <t xml:space="preserve">so Hektor's density = </t>
  </si>
  <si>
    <t>using this density for Thule, we get a mass for Thule of :</t>
  </si>
  <si>
    <t xml:space="preserve">Then Thule's gravity is = </t>
  </si>
  <si>
    <t>Another D-type asteroid</t>
  </si>
  <si>
    <t xml:space="preserve">&gt;&gt;&gt;falling one meter would take </t>
  </si>
  <si>
    <t>Thule's average speed, from wikipedia page = 14.4 km/s</t>
  </si>
  <si>
    <t>source: http://en.wikipedia.org/wiki/279_Thule</t>
  </si>
  <si>
    <t>source:  http://searchcio-midmarket.techtarget.com/definition/Earths-mean-orbital-speed</t>
  </si>
  <si>
    <t>and http://en.wikipedia.org/wiki/Earth</t>
  </si>
  <si>
    <t xml:space="preserve">Earth's average orbital speed  = ~30km/s   </t>
  </si>
  <si>
    <t xml:space="preserve"> </t>
  </si>
  <si>
    <t>=~0.2% of earth's gravity</t>
  </si>
  <si>
    <t>&gt;&gt;gravity is much higher than centripetal acceleration necessary to hold dust on!</t>
  </si>
  <si>
    <t xml:space="preserve">How much does Julian weigh in this gravity?  Call him 100kg with suit, and he weighs 100kg*(thule's g) = </t>
  </si>
  <si>
    <t>Newtons,</t>
  </si>
  <si>
    <t xml:space="preserve">or </t>
  </si>
  <si>
    <t xml:space="preserve">1 newton = </t>
  </si>
  <si>
    <t>pounds force</t>
  </si>
  <si>
    <t>pounds</t>
  </si>
  <si>
    <t>1 kilogram =</t>
  </si>
  <si>
    <t xml:space="preserve">With 200kg weight Julian + suit, he weighs </t>
  </si>
  <si>
    <t>"Julian's" max possible speed after being blown out of airlock:</t>
  </si>
  <si>
    <t>if Thule's density matches Hilda's, then it's mass would be:</t>
  </si>
  <si>
    <t xml:space="preserve">circumference of orbit at 3AU:  2*pi*r </t>
  </si>
  <si>
    <t>or</t>
  </si>
  <si>
    <t xml:space="preserve">So, to make a full orbit in 2 years, need to go at least </t>
  </si>
  <si>
    <t>min. speed</t>
  </si>
  <si>
    <t>ouch!!  Too fast</t>
  </si>
  <si>
    <t>--but, at a tenth that speed (achievable in the Chance easily),</t>
  </si>
  <si>
    <t>could survey ~10%  of the asteroids….</t>
  </si>
  <si>
    <t xml:space="preserve">v = </t>
  </si>
  <si>
    <t>kps</t>
  </si>
  <si>
    <t>mass=</t>
  </si>
  <si>
    <t>If each object has:</t>
  </si>
  <si>
    <t>radius =</t>
  </si>
  <si>
    <t>Then the pressure (stress) upon impact would be (averaged over the hemi-spherical surface area) is:</t>
  </si>
  <si>
    <t>hemispherical surface area =</t>
  </si>
  <si>
    <t>or should I estimate based on sphere's cross sectional area = pi*R^2</t>
  </si>
  <si>
    <t xml:space="preserve">If one object fully decelerates w/in the radius R of the other (they smash flat together, </t>
  </si>
  <si>
    <t>but the center of mass is unmoving), estimate the distance overwhich they decelerate as R</t>
  </si>
  <si>
    <t xml:space="preserve">Say Chance's thrust is 5X Titan's 1st stage at </t>
  </si>
  <si>
    <t>which makes Chance's thrust</t>
  </si>
  <si>
    <t xml:space="preserve">but leave its mass at </t>
  </si>
  <si>
    <t>like Titan's</t>
  </si>
  <si>
    <t xml:space="preserve">so it will get up to ~10km/s in about </t>
  </si>
  <si>
    <t>F = ma, a = F/m</t>
  </si>
  <si>
    <t xml:space="preserve">s or </t>
  </si>
  <si>
    <t>minutes, with an acceleration of</t>
  </si>
  <si>
    <t>m/s/s, or ~</t>
  </si>
  <si>
    <t>g.</t>
  </si>
  <si>
    <t>So, to go at more like 1 g, the Chance would have to burn at 1/7th power, for 7 times as long ,  or</t>
  </si>
  <si>
    <t xml:space="preserve">seconds = </t>
  </si>
  <si>
    <t xml:space="preserve">Thule's orbital radius = </t>
  </si>
  <si>
    <t xml:space="preserve">thule orbits once in 8 years = </t>
  </si>
  <si>
    <t>seconds per orbit</t>
  </si>
  <si>
    <t xml:space="preserve">so its orbital speed = </t>
  </si>
  <si>
    <t>Thule's diameter:</t>
  </si>
  <si>
    <t>at 20,000 km away, 126.6 km subtends:</t>
  </si>
  <si>
    <t>=0.1% of the 360 degree field of view</t>
  </si>
  <si>
    <t>at 1,000 km away, thule subtends:</t>
  </si>
  <si>
    <t>=2% of the full field of view, or 4% of a hemisphere</t>
  </si>
  <si>
    <t>how big Thule looks from certain distances away as they approach:</t>
  </si>
  <si>
    <t>it is</t>
  </si>
  <si>
    <t>times less bright than Vesta</t>
  </si>
  <si>
    <t>Gaspra (discovered in 1916) magnitude = 11</t>
  </si>
  <si>
    <t xml:space="preserve">Julian's mass = </t>
  </si>
  <si>
    <t>(discovered in 1888)</t>
  </si>
  <si>
    <t>(slightly brighter than Thule, diameter ~170 km, so about the same size)</t>
  </si>
  <si>
    <t>(all numbers acquired from JPL small body database website, http://ssd.jpl.nasa.gov/sbdb.cgi#top)</t>
  </si>
  <si>
    <t>Hektor's (discovered 1907) magnitude = 7.49  (also a D-type)</t>
  </si>
  <si>
    <t>-- about 2.5 times brighter than Thule</t>
  </si>
  <si>
    <t>Itokawa (discovered in 1998) magnitude = 19  (SMASSII spectral type S(IV)</t>
  </si>
  <si>
    <t xml:space="preserve">Thule's magnitude = 8.57  </t>
  </si>
  <si>
    <t>(tholen spectral type D, SMASSI spectral type X)</t>
  </si>
  <si>
    <t>Hilda (discovered in 1875) magnitude = 7.48  (Tholen P-type, SMASSII X-type))</t>
  </si>
  <si>
    <t>Hidalgo (discovered in 1920, also in outer belt) magnitude = 10.77  (tholen type D)</t>
  </si>
  <si>
    <t xml:space="preserve">Luminosity L of Sun = </t>
  </si>
  <si>
    <t>watts</t>
  </si>
  <si>
    <t xml:space="preserve">Brightness at Earth = </t>
  </si>
  <si>
    <t>from equations in:  "InvSquareLaw.pdf" from bccp.lbl.gov/Academy/pdfs/InvSquareLaw.pdf (downloaded from google cache on 5/2/12--original not in that location anymore)</t>
  </si>
  <si>
    <t>w/m^2</t>
  </si>
  <si>
    <t>brightness at Thule=</t>
  </si>
  <si>
    <t>--so the sun's brightness at Thule is less than a tenth what it is at Earth….</t>
  </si>
  <si>
    <t xml:space="preserve">according to http://en.wikipedia.org/wiki/Lux, </t>
  </si>
  <si>
    <t>full sunlight  =</t>
  </si>
  <si>
    <t>Lux</t>
  </si>
  <si>
    <t>at least (up to 130,000 Lux)</t>
  </si>
  <si>
    <t xml:space="preserve">Overcast day = </t>
  </si>
  <si>
    <t>sunrise/set, clear day=</t>
  </si>
  <si>
    <t>Full moon, clear sky =</t>
  </si>
  <si>
    <t xml:space="preserve">office lighting = </t>
  </si>
  <si>
    <t>(up to 500 Lux)</t>
  </si>
  <si>
    <t>--so the brightest it ever gets on Thule is something around an overcast day on Earth….</t>
  </si>
  <si>
    <t>Dark overcast day=</t>
  </si>
  <si>
    <t>(at tropical latitudes)</t>
  </si>
  <si>
    <t>at 100 km away, thule subtends:</t>
  </si>
  <si>
    <t>= 20% of the 360 degree field of view, 40% of a hemisphere</t>
  </si>
  <si>
    <t>see gravity vs. cetripital acc. Page for thule gravity…</t>
  </si>
  <si>
    <t>Thule 's circumference=</t>
  </si>
  <si>
    <t>1/4 of Thule's circumference =</t>
  </si>
  <si>
    <t xml:space="preserve">speed if flying 1/4 circumference in 15 minutes = </t>
  </si>
  <si>
    <t xml:space="preserve">small thruster exhaust velocity = </t>
  </si>
  <si>
    <t>thule time</t>
  </si>
  <si>
    <t>day #</t>
  </si>
  <si>
    <t>time</t>
  </si>
  <si>
    <t>noon</t>
  </si>
  <si>
    <t>4pm</t>
  </si>
  <si>
    <t>dusk</t>
  </si>
  <si>
    <t>8pm</t>
  </si>
  <si>
    <t>midnight</t>
  </si>
  <si>
    <t>dawn</t>
  </si>
  <si>
    <t>4am</t>
  </si>
  <si>
    <t>8am</t>
  </si>
  <si>
    <t>2 ship days = 3 thule days</t>
  </si>
  <si>
    <t>Sam's is 135 degrees east of the Chance</t>
  </si>
  <si>
    <t>--&gt;if 180 degrees is 8 hrs, and 90 degrees is 4 hrs, then 135 degrees is 6 hrs</t>
  </si>
  <si>
    <t>--&gt;Sam's is 6 hrs ahead of the Chance in Thule time</t>
  </si>
  <si>
    <t>time for Thule 15.9 hr day to precess away from this 2:3 ship:thule day ratio:  0.1 days*X = 4 hrs  X=4/0.1=</t>
  </si>
  <si>
    <t>= 0.1 hrs*X = 4 hrs  X=4/0.1=</t>
  </si>
  <si>
    <t xml:space="preserve">thus, after about a month, the thule side of the list will have moved </t>
  </si>
  <si>
    <t>up close to one, so that dusk on Thule will be ship time noon on day 1.</t>
  </si>
  <si>
    <t>Radiation Dosages in space</t>
  </si>
  <si>
    <t>"Shielded Dosage" (from R.A. Mewaldt, 29th International Cosmic Ray Conference Pune (2005) 00, 101-104, http://www.srl.caltech.edu/ACE/ASC/DATA/bibliography/ICRC2005/usa-mewaldt-RA-abs1-sh35-oral.pdf</t>
  </si>
  <si>
    <t>=27-50 cSv/yr</t>
  </si>
  <si>
    <t>(some estimates as high as 114 cSv/yr)</t>
  </si>
  <si>
    <t>Max. NASA Astronaut career dosage = 1-4 Sv (age and gender dependent)</t>
  </si>
  <si>
    <t>radiation from 1 chest X-ray = 10 mrem</t>
  </si>
  <si>
    <t>radiation limit for radiation workers: 5,000 mrem/yr</t>
  </si>
  <si>
    <t>1 mSv = 100 mrem</t>
  </si>
  <si>
    <t>from http://www.new.ans.org/pi/resources/dosechart/:</t>
  </si>
  <si>
    <t>(from Health Physics Society website)</t>
  </si>
  <si>
    <t>Max. Astronaut dosage for 1 yr = 50 cSv=500mSv</t>
  </si>
  <si>
    <t>500mSv = 50,000mrem=dose received in shielded environment in space for 1 yr = 0.5 Sv</t>
  </si>
  <si>
    <t>GMT (ship time)</t>
  </si>
  <si>
    <t xml:space="preserve">Ve = </t>
  </si>
  <si>
    <t>Ve = sqrt (2G*M/r)</t>
  </si>
  <si>
    <t xml:space="preserve">M = </t>
  </si>
  <si>
    <t>r =</t>
  </si>
  <si>
    <t xml:space="preserve"> m^3/(kg*s^2)</t>
  </si>
  <si>
    <t>Escape velocity on Thule (cross reference:  chapter 25)</t>
  </si>
  <si>
    <t>how fast could Julian propell himself upward?</t>
  </si>
  <si>
    <t>By exerting about 20lbs of force over about a second, he could send himself at up to 0.52 m/sec</t>
  </si>
  <si>
    <t>distance from earth to thule:</t>
  </si>
  <si>
    <t>in AU:</t>
  </si>
  <si>
    <t>hours to get there at space shuttle top speed:</t>
  </si>
  <si>
    <t>days:</t>
  </si>
  <si>
    <t>Two thule-like objects colliding:</t>
  </si>
  <si>
    <t>so, the force of the objects decelerating is</t>
  </si>
  <si>
    <r>
      <t xml:space="preserve">= "most probable impact velocity" from  "Velocity Distributions among Colliding Asteroids", W. F. Bottke, et al., </t>
    </r>
    <r>
      <rPr>
        <i/>
        <sz val="11"/>
        <color theme="1"/>
        <rFont val="Calibri"/>
        <family val="2"/>
        <scheme val="minor"/>
      </rPr>
      <t>Icarus</t>
    </r>
    <r>
      <rPr>
        <sz val="11"/>
        <color theme="1"/>
        <rFont val="Calibri"/>
        <family val="2"/>
        <scheme val="minor"/>
      </rPr>
      <t xml:space="preserve"> (1994)</t>
    </r>
    <r>
      <rPr>
        <i/>
        <sz val="11"/>
        <color theme="1"/>
        <rFont val="Calibri"/>
        <family val="2"/>
        <scheme val="minor"/>
      </rPr>
      <t>.</t>
    </r>
  </si>
  <si>
    <t>--also from this article:  mean time between asteroid collisions: 10^6 years</t>
  </si>
  <si>
    <t>--relative velocity, though, can be as high as 20kps or more, due to changing speed of asteroids around their orbits, etc.</t>
  </si>
  <si>
    <t>F = ma</t>
  </si>
  <si>
    <t>=(thule's mass X 2)*(change in velocity/time)</t>
  </si>
  <si>
    <t>how long would collision last?</t>
  </si>
  <si>
    <t>or,</t>
  </si>
  <si>
    <t>F = momentum/time</t>
  </si>
  <si>
    <t>the energy released "into" the asteroids is equal to the kinetic energies of both asteroids before the collision, minus the kinetic energy of the asteroid(s) after the collision…..</t>
  </si>
  <si>
    <t xml:space="preserve">In Thule's calamatite-forming collision, what happened to the 2nd asteroid?  </t>
  </si>
  <si>
    <t>--&gt; need the force of the colliding/decelerating asteroids to get pressure (P = F/A)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</si>
</sst>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5.15"/>
      <color rgb="FF000000"/>
      <name val="Arial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71"/>
  <sheetViews>
    <sheetView topLeftCell="D16" zoomScale="80" zoomScaleNormal="80" workbookViewId="0">
      <selection activeCell="M25" sqref="M25"/>
    </sheetView>
  </sheetViews>
  <sheetFormatPr defaultRowHeight="15"/>
  <cols>
    <col min="3" max="3" width="11.7109375" bestFit="1" customWidth="1"/>
    <col min="5" max="6" width="13" bestFit="1" customWidth="1"/>
    <col min="7" max="8" width="9.28515625" bestFit="1" customWidth="1"/>
    <col min="11" max="11" width="13" bestFit="1" customWidth="1"/>
    <col min="12" max="12" width="13.5703125" bestFit="1" customWidth="1"/>
    <col min="13" max="13" width="13" bestFit="1" customWidth="1"/>
    <col min="16" max="16" width="13" bestFit="1" customWidth="1"/>
    <col min="17" max="17" width="12" bestFit="1" customWidth="1"/>
    <col min="19" max="19" width="13" bestFit="1" customWidth="1"/>
    <col min="21" max="21" width="13" bestFit="1" customWidth="1"/>
    <col min="29" max="29" width="13" bestFit="1" customWidth="1"/>
  </cols>
  <sheetData>
    <row r="2" spans="1:30">
      <c r="A2" t="s">
        <v>2</v>
      </c>
      <c r="C2" t="s">
        <v>63</v>
      </c>
      <c r="I2" t="s">
        <v>3</v>
      </c>
      <c r="M2" t="s">
        <v>235</v>
      </c>
    </row>
    <row r="3" spans="1:30">
      <c r="B3" t="s">
        <v>48</v>
      </c>
      <c r="C3" t="s">
        <v>0</v>
      </c>
      <c r="D3" t="s">
        <v>12</v>
      </c>
      <c r="E3" t="s">
        <v>13</v>
      </c>
      <c r="F3" t="s">
        <v>107</v>
      </c>
    </row>
    <row r="4" spans="1:30">
      <c r="B4">
        <f>6.673*10^(-11)</f>
        <v>6.6729999999999999E-11</v>
      </c>
      <c r="C4">
        <f>2E+30</f>
        <v>2E+30</v>
      </c>
      <c r="D4" s="1">
        <v>149600000000</v>
      </c>
      <c r="E4" s="1">
        <v>638000000000</v>
      </c>
      <c r="F4">
        <f>2.7675*K14</f>
        <v>414012105225</v>
      </c>
      <c r="I4" t="s">
        <v>4</v>
      </c>
      <c r="K4">
        <v>63.3</v>
      </c>
      <c r="L4" t="s">
        <v>9</v>
      </c>
      <c r="M4" t="s">
        <v>230</v>
      </c>
      <c r="O4">
        <f>K4*2</f>
        <v>126.6</v>
      </c>
      <c r="P4" t="s">
        <v>9</v>
      </c>
      <c r="Q4" t="s">
        <v>231</v>
      </c>
      <c r="U4">
        <f>O4/(2*3.1459*20000)</f>
        <v>1.0060713945134938E-3</v>
      </c>
      <c r="V4" s="9" t="s">
        <v>232</v>
      </c>
    </row>
    <row r="5" spans="1:30">
      <c r="D5" t="s">
        <v>10</v>
      </c>
      <c r="F5" s="1">
        <f>E4-D4</f>
        <v>488400000000</v>
      </c>
      <c r="G5" t="s">
        <v>11</v>
      </c>
      <c r="I5" t="s">
        <v>5</v>
      </c>
      <c r="K5">
        <v>2</v>
      </c>
      <c r="L5" t="s">
        <v>11</v>
      </c>
      <c r="Q5" t="s">
        <v>233</v>
      </c>
      <c r="U5">
        <f>O4/(2*3.1459*1000)</f>
        <v>2.0121427890269872E-2</v>
      </c>
      <c r="V5" s="9" t="s">
        <v>234</v>
      </c>
    </row>
    <row r="6" spans="1:30">
      <c r="I6" t="s">
        <v>6</v>
      </c>
      <c r="K6">
        <v>10</v>
      </c>
      <c r="L6" t="s">
        <v>11</v>
      </c>
      <c r="Q6" t="s">
        <v>269</v>
      </c>
      <c r="U6">
        <f>O4/(2*3.1459*100)</f>
        <v>0.20121427890269872</v>
      </c>
      <c r="V6" s="9" t="s">
        <v>270</v>
      </c>
    </row>
    <row r="7" spans="1:30">
      <c r="C7" t="s">
        <v>1</v>
      </c>
      <c r="I7" t="s">
        <v>57</v>
      </c>
      <c r="K7">
        <f>2*3.14159*K4</f>
        <v>397.72529399999996</v>
      </c>
      <c r="L7" t="s">
        <v>9</v>
      </c>
    </row>
    <row r="8" spans="1:30">
      <c r="C8">
        <f>(2*B4*C4*((1/E4)-(1/D4)))</f>
        <v>-1365854692.9743683</v>
      </c>
      <c r="E8" t="s">
        <v>316</v>
      </c>
      <c r="G8" s="1">
        <f>E4-D4</f>
        <v>488400000000</v>
      </c>
      <c r="I8" t="s">
        <v>58</v>
      </c>
      <c r="J8">
        <f>K$4*1000/(K$4*1000+2)</f>
        <v>0.99996840542162968</v>
      </c>
      <c r="K8" t="s">
        <v>59</v>
      </c>
      <c r="N8">
        <f>ACOS(J8)</f>
        <v>7.9491816863479503E-3</v>
      </c>
      <c r="O8" t="s">
        <v>60</v>
      </c>
      <c r="P8">
        <f>N8/(2*3.14159)</f>
        <v>1.265152627546553E-3</v>
      </c>
      <c r="Q8" t="s">
        <v>61</v>
      </c>
      <c r="X8">
        <f>P8*K7</f>
        <v>0.50318320074582523</v>
      </c>
      <c r="Y8" t="s">
        <v>9</v>
      </c>
    </row>
    <row r="9" spans="1:30">
      <c r="F9" t="s">
        <v>317</v>
      </c>
      <c r="G9" s="1">
        <f>G8/K14</f>
        <v>3.2647523657923738</v>
      </c>
      <c r="J9">
        <f>K$4*1000/(K$4*1000+20)</f>
        <v>0.99968414403032213</v>
      </c>
      <c r="K9" t="s">
        <v>62</v>
      </c>
      <c r="N9">
        <f>ACOS(J9)</f>
        <v>2.5134541912573027E-2</v>
      </c>
      <c r="O9" t="s">
        <v>60</v>
      </c>
      <c r="P9">
        <f>N9/(2*3.14159)</f>
        <v>4.0002899666368033E-3</v>
      </c>
      <c r="Q9" t="s">
        <v>61</v>
      </c>
      <c r="X9">
        <f>P9*K$7</f>
        <v>1.5910165030658727</v>
      </c>
      <c r="Y9" t="s">
        <v>9</v>
      </c>
    </row>
    <row r="10" spans="1:30">
      <c r="C10" t="s">
        <v>15</v>
      </c>
      <c r="X10">
        <v>0</v>
      </c>
    </row>
    <row r="11" spans="1:30">
      <c r="C11">
        <f>SQRT((ABS(C8)))</f>
        <v>36957.471409369558</v>
      </c>
      <c r="E11" t="s">
        <v>318</v>
      </c>
      <c r="I11" t="s">
        <v>129</v>
      </c>
    </row>
    <row r="12" spans="1:30">
      <c r="E12" s="1">
        <f>G8/28000000</f>
        <v>17442.857142857141</v>
      </c>
      <c r="F12" t="s">
        <v>319</v>
      </c>
      <c r="G12" s="1">
        <f>E12/24</f>
        <v>726.78571428571422</v>
      </c>
      <c r="H12" s="1">
        <f>G12/365</f>
        <v>1.99119373776908</v>
      </c>
      <c r="I12">
        <f>((F16)/100000)/(60*60*24)</f>
        <v>72.793661464583337</v>
      </c>
      <c r="J12" t="s">
        <v>103</v>
      </c>
      <c r="N12" t="s">
        <v>2</v>
      </c>
      <c r="P12" t="s">
        <v>66</v>
      </c>
    </row>
    <row r="13" spans="1:30">
      <c r="A13" t="s">
        <v>2</v>
      </c>
      <c r="C13" t="s">
        <v>67</v>
      </c>
      <c r="O13" t="s">
        <v>48</v>
      </c>
      <c r="P13" t="s">
        <v>0</v>
      </c>
      <c r="Q13" t="s">
        <v>12</v>
      </c>
      <c r="R13" t="s">
        <v>64</v>
      </c>
    </row>
    <row r="14" spans="1:30">
      <c r="B14" t="s">
        <v>48</v>
      </c>
      <c r="C14" t="s">
        <v>0</v>
      </c>
      <c r="D14" t="s">
        <v>12</v>
      </c>
      <c r="E14" t="s">
        <v>64</v>
      </c>
      <c r="J14" t="s">
        <v>65</v>
      </c>
      <c r="K14">
        <f>149597870*1000</f>
        <v>149597870000</v>
      </c>
      <c r="L14" t="s">
        <v>11</v>
      </c>
      <c r="O14">
        <f>6.673*10^(-11)</f>
        <v>6.6729999999999999E-11</v>
      </c>
      <c r="P14">
        <f>2E+30</f>
        <v>2E+30</v>
      </c>
      <c r="Q14" s="1">
        <v>149600000000</v>
      </c>
      <c r="R14" s="1">
        <f>9.5751*K14</f>
        <v>1432414565037.0002</v>
      </c>
      <c r="W14" t="s">
        <v>70</v>
      </c>
      <c r="AC14">
        <f>(Y16-Y15)*K14/(60*60*24*60)</f>
        <v>70317.347575038584</v>
      </c>
      <c r="AD14" t="s">
        <v>14</v>
      </c>
    </row>
    <row r="15" spans="1:30">
      <c r="B15">
        <f>6.673*10^(-11)</f>
        <v>6.6729999999999999E-11</v>
      </c>
      <c r="C15">
        <f>2E+30</f>
        <v>2E+30</v>
      </c>
      <c r="D15" s="1">
        <v>149600000000</v>
      </c>
      <c r="E15" s="1">
        <f>5.2042*K14</f>
        <v>778537235054</v>
      </c>
      <c r="Q15" t="s">
        <v>69</v>
      </c>
      <c r="S15" s="1">
        <f>R14-Q14</f>
        <v>1282814565037.0002</v>
      </c>
      <c r="T15" t="s">
        <v>11</v>
      </c>
      <c r="W15" t="s">
        <v>71</v>
      </c>
      <c r="Y15">
        <v>2.7675000000000001</v>
      </c>
      <c r="Z15" t="s">
        <v>73</v>
      </c>
    </row>
    <row r="16" spans="1:30">
      <c r="D16" t="s">
        <v>68</v>
      </c>
      <c r="F16" s="1">
        <f>E15-D15</f>
        <v>628937235054</v>
      </c>
      <c r="G16" t="s">
        <v>11</v>
      </c>
      <c r="I16" t="s">
        <v>106</v>
      </c>
      <c r="W16" t="s">
        <v>72</v>
      </c>
      <c r="Y16">
        <v>5.2042000000000002</v>
      </c>
      <c r="Z16" t="s">
        <v>73</v>
      </c>
    </row>
    <row r="17" spans="1:22">
      <c r="I17">
        <f>((E15-D15)/41832)/(60*60*24)</f>
        <v>174.01429877745107</v>
      </c>
      <c r="J17" t="s">
        <v>103</v>
      </c>
      <c r="M17" s="1">
        <f>(F16/60000)/60/60/24</f>
        <v>121.3227691076389</v>
      </c>
      <c r="P17" t="s">
        <v>1</v>
      </c>
    </row>
    <row r="18" spans="1:22">
      <c r="C18" t="s">
        <v>1</v>
      </c>
      <c r="G18">
        <f>118-42</f>
        <v>76</v>
      </c>
      <c r="I18" t="s">
        <v>104</v>
      </c>
      <c r="P18">
        <f>(2*O14*P14*((1/R14)-(1/Q14)))</f>
        <v>-1597881897.2328722</v>
      </c>
    </row>
    <row r="19" spans="1:22">
      <c r="C19">
        <f>(2*B15*C15*((1/E15)-(1/D15)))</f>
        <v>-1441376514.1096106</v>
      </c>
      <c r="E19" t="s">
        <v>105</v>
      </c>
      <c r="I19">
        <f>((E4-D4)/100000)/(60*60*24)</f>
        <v>56.527777777777779</v>
      </c>
      <c r="J19" t="s">
        <v>103</v>
      </c>
      <c r="L19" t="s">
        <v>119</v>
      </c>
    </row>
    <row r="20" spans="1:22">
      <c r="E20">
        <f>((F4-D4)/100000)/(60*60*24)</f>
        <v>30.603252919560187</v>
      </c>
      <c r="F20" t="s">
        <v>103</v>
      </c>
      <c r="L20">
        <f>((E4-D4)/40000)/(60*60*24)</f>
        <v>141.31944444444446</v>
      </c>
      <c r="M20" t="s">
        <v>120</v>
      </c>
      <c r="N20">
        <f>L20/30</f>
        <v>4.7106481481481488</v>
      </c>
      <c r="P20" t="s">
        <v>15</v>
      </c>
    </row>
    <row r="21" spans="1:22">
      <c r="C21" t="s">
        <v>15</v>
      </c>
      <c r="E21" t="s">
        <v>108</v>
      </c>
      <c r="I21" s="12" t="s">
        <v>271</v>
      </c>
      <c r="J21" t="s">
        <v>122</v>
      </c>
      <c r="M21">
        <f>B4*M25*M26/M22^2</f>
        <v>1.0846707757786833E-4</v>
      </c>
      <c r="N21" t="s">
        <v>123</v>
      </c>
      <c r="P21">
        <f>SQRT((ABS(P18)))</f>
        <v>39973.51494718562</v>
      </c>
    </row>
    <row r="22" spans="1:22">
      <c r="C22">
        <f>SQRT((ABS(C19)))</f>
        <v>37965.464755611916</v>
      </c>
      <c r="E22">
        <f>((E4-F4)/4000)/(60*60*24)</f>
        <v>648.1131214554398</v>
      </c>
      <c r="F22" t="s">
        <v>109</v>
      </c>
      <c r="G22">
        <f>648/365</f>
        <v>1.7753424657534247</v>
      </c>
      <c r="H22" t="s">
        <v>110</v>
      </c>
      <c r="K22" t="s">
        <v>40</v>
      </c>
      <c r="M22">
        <v>63300</v>
      </c>
      <c r="N22" t="s">
        <v>11</v>
      </c>
      <c r="Q22">
        <f>Q21*0.2248</f>
        <v>0</v>
      </c>
      <c r="R22" t="s">
        <v>54</v>
      </c>
    </row>
    <row r="23" spans="1:22">
      <c r="K23" t="s">
        <v>41</v>
      </c>
      <c r="M23" t="s">
        <v>124</v>
      </c>
      <c r="P23">
        <f>0.2248089*M21</f>
        <v>2.4384364396495243E-5</v>
      </c>
      <c r="R23" t="s">
        <v>134</v>
      </c>
      <c r="S23">
        <f>B4*M25/M22^2</f>
        <v>1.2760832656219804E-6</v>
      </c>
      <c r="T23" t="s">
        <v>135</v>
      </c>
    </row>
    <row r="24" spans="1:22">
      <c r="A24" t="s">
        <v>50</v>
      </c>
      <c r="B24" t="s">
        <v>7</v>
      </c>
      <c r="K24" t="s">
        <v>196</v>
      </c>
    </row>
    <row r="25" spans="1:22">
      <c r="B25" t="s">
        <v>8</v>
      </c>
      <c r="C25" s="1">
        <v>107710466.89749999</v>
      </c>
      <c r="D25" t="s">
        <v>9</v>
      </c>
      <c r="M25">
        <f>L31*((4/3)*3.14159*M22^3)</f>
        <v>76624086260873.031</v>
      </c>
      <c r="N25" t="s">
        <v>21</v>
      </c>
      <c r="R25" t="s">
        <v>136</v>
      </c>
      <c r="U25">
        <f>SQRT(2*(1/S23))</f>
        <v>1251.9168682203599</v>
      </c>
      <c r="V25" t="s">
        <v>115</v>
      </c>
    </row>
    <row r="26" spans="1:22">
      <c r="K26" t="s">
        <v>47</v>
      </c>
      <c r="L26" t="s">
        <v>152</v>
      </c>
      <c r="M26">
        <v>85</v>
      </c>
      <c r="N26" t="s">
        <v>21</v>
      </c>
      <c r="U26">
        <f>U25/60</f>
        <v>20.865281137005997</v>
      </c>
      <c r="V26" t="s">
        <v>137</v>
      </c>
    </row>
    <row r="27" spans="1:22">
      <c r="J27" t="s">
        <v>42</v>
      </c>
    </row>
    <row r="28" spans="1:22">
      <c r="K28">
        <f>1.5*10^15</f>
        <v>1500000000000000</v>
      </c>
    </row>
    <row r="29" spans="1:22">
      <c r="A29" t="s">
        <v>197</v>
      </c>
      <c r="D29" s="3"/>
      <c r="E29">
        <f>2*3.14159*3*K14</f>
        <v>2819851034479.7998</v>
      </c>
      <c r="F29" t="s">
        <v>11</v>
      </c>
      <c r="K29">
        <f>170600</f>
        <v>170600</v>
      </c>
      <c r="L29" t="s">
        <v>21</v>
      </c>
    </row>
    <row r="30" spans="1:22">
      <c r="D30" t="s">
        <v>198</v>
      </c>
      <c r="E30" s="1">
        <f>E29/1000</f>
        <v>2819851034.4797997</v>
      </c>
      <c r="F30" t="s">
        <v>9</v>
      </c>
      <c r="K30" t="s">
        <v>43</v>
      </c>
      <c r="L30" t="s">
        <v>11</v>
      </c>
      <c r="M30" t="s">
        <v>44</v>
      </c>
      <c r="N30" t="s">
        <v>45</v>
      </c>
    </row>
    <row r="31" spans="1:22">
      <c r="A31" t="s">
        <v>199</v>
      </c>
      <c r="L31">
        <f>K28/( (4/3)*3.14159*K29^3)</f>
        <v>7.2121696852813763E-2</v>
      </c>
    </row>
    <row r="32" spans="1:22">
      <c r="A32" t="s">
        <v>200</v>
      </c>
      <c r="C32">
        <f>E30/(2*365*24*60*60)</f>
        <v>44.708444864278917</v>
      </c>
      <c r="D32" s="5" t="s">
        <v>19</v>
      </c>
      <c r="E32" t="s">
        <v>201</v>
      </c>
    </row>
    <row r="33" spans="1:23">
      <c r="J33" t="s">
        <v>52</v>
      </c>
      <c r="M33" t="s">
        <v>55</v>
      </c>
      <c r="N33">
        <f>L34*0.2248</f>
        <v>5.8335959368510935</v>
      </c>
      <c r="O33" t="s">
        <v>54</v>
      </c>
    </row>
    <row r="34" spans="1:23">
      <c r="A34" s="9" t="s">
        <v>202</v>
      </c>
      <c r="K34" t="s">
        <v>49</v>
      </c>
      <c r="L34">
        <f>B4*L36*M26/(L35^2)</f>
        <v>25.95015986143725</v>
      </c>
      <c r="M34" t="s">
        <v>160</v>
      </c>
    </row>
    <row r="35" spans="1:23">
      <c r="A35" t="s">
        <v>203</v>
      </c>
      <c r="D35" s="4"/>
      <c r="K35" t="s">
        <v>51</v>
      </c>
      <c r="L35">
        <v>454000</v>
      </c>
      <c r="M35" t="s">
        <v>21</v>
      </c>
    </row>
    <row r="36" spans="1:23">
      <c r="L36">
        <f>9.43*10^20</f>
        <v>9.43E+20</v>
      </c>
    </row>
    <row r="38" spans="1:23" ht="19.5">
      <c r="K38" s="2" t="s">
        <v>53</v>
      </c>
    </row>
    <row r="39" spans="1:23" ht="19.5">
      <c r="K39" s="2" t="s">
        <v>56</v>
      </c>
    </row>
    <row r="41" spans="1:23">
      <c r="D41" s="4"/>
    </row>
    <row r="43" spans="1:23">
      <c r="K43" t="s">
        <v>74</v>
      </c>
    </row>
    <row r="44" spans="1:23">
      <c r="K44" t="s">
        <v>76</v>
      </c>
      <c r="M44" t="s">
        <v>14</v>
      </c>
      <c r="N44" t="s">
        <v>78</v>
      </c>
    </row>
    <row r="45" spans="1:23">
      <c r="K45" t="s">
        <v>77</v>
      </c>
      <c r="L45">
        <f>118000</f>
        <v>118000</v>
      </c>
      <c r="M45" t="s">
        <v>79</v>
      </c>
      <c r="N45" t="s">
        <v>80</v>
      </c>
    </row>
    <row r="46" spans="1:23">
      <c r="K46" t="s">
        <v>82</v>
      </c>
      <c r="L46" s="1">
        <f>E15</f>
        <v>778537235054</v>
      </c>
      <c r="M46" t="s">
        <v>11</v>
      </c>
      <c r="W46">
        <f>10/7</f>
        <v>1.4285714285714286</v>
      </c>
    </row>
    <row r="47" spans="1:23">
      <c r="D47" s="4"/>
      <c r="K47" t="s">
        <v>81</v>
      </c>
      <c r="L47">
        <f>B4*2E+30</f>
        <v>1.3346E+20</v>
      </c>
    </row>
    <row r="48" spans="1:23">
      <c r="K48" t="s">
        <v>75</v>
      </c>
      <c r="M48" t="s">
        <v>11</v>
      </c>
      <c r="P48" t="s">
        <v>85</v>
      </c>
    </row>
    <row r="49" spans="4:23">
      <c r="K49" t="s">
        <v>83</v>
      </c>
      <c r="L49" s="1">
        <f>1/((L45^2)/(2*L47)-(1/(2*L46)))</f>
        <v>19408727559.341072</v>
      </c>
      <c r="P49">
        <f>76000^2/2</f>
        <v>2888000000</v>
      </c>
    </row>
    <row r="50" spans="4:23">
      <c r="L50" s="1">
        <f>L49/K14</f>
        <v>0.1297393309098657</v>
      </c>
      <c r="N50" t="s">
        <v>84</v>
      </c>
    </row>
    <row r="51" spans="4:23">
      <c r="P51">
        <f>P49/10500000</f>
        <v>275.04761904761904</v>
      </c>
      <c r="Q51" t="s">
        <v>86</v>
      </c>
      <c r="V51">
        <f>P54/350000</f>
        <v>7.7551020408163267E-3</v>
      </c>
      <c r="W51">
        <f>V51*60*60*24*60</f>
        <v>40202.448979591834</v>
      </c>
    </row>
    <row r="53" spans="4:23">
      <c r="N53" t="s">
        <v>87</v>
      </c>
    </row>
    <row r="54" spans="4:23">
      <c r="P54">
        <f>375000*76000/10500000</f>
        <v>2714.2857142857142</v>
      </c>
      <c r="Q54" t="s">
        <v>88</v>
      </c>
      <c r="R54" t="s">
        <v>91</v>
      </c>
    </row>
    <row r="55" spans="4:23">
      <c r="N55" t="s">
        <v>89</v>
      </c>
    </row>
    <row r="56" spans="4:23">
      <c r="D56" s="4"/>
      <c r="P56">
        <f>P54/1000</f>
        <v>2.7142857142857144</v>
      </c>
      <c r="Q56" t="s">
        <v>90</v>
      </c>
    </row>
    <row r="57" spans="4:23">
      <c r="O57" t="s">
        <v>93</v>
      </c>
    </row>
    <row r="58" spans="4:23">
      <c r="N58" t="s">
        <v>92</v>
      </c>
    </row>
    <row r="60" spans="4:23">
      <c r="N60" t="s">
        <v>95</v>
      </c>
    </row>
    <row r="61" spans="4:23">
      <c r="P61" t="s">
        <v>94</v>
      </c>
      <c r="Q61">
        <f>SQRT(5)</f>
        <v>2.2360679774997898</v>
      </c>
    </row>
    <row r="63" spans="4:23">
      <c r="N63" t="s">
        <v>96</v>
      </c>
      <c r="U63">
        <f>(3000*60*60*24*7)/100000</f>
        <v>18144</v>
      </c>
      <c r="V63" t="s">
        <v>14</v>
      </c>
    </row>
    <row r="64" spans="4:23">
      <c r="U64" t="s">
        <v>97</v>
      </c>
    </row>
    <row r="69" spans="14:17">
      <c r="N69" t="s">
        <v>98</v>
      </c>
      <c r="P69" t="s">
        <v>99</v>
      </c>
    </row>
    <row r="70" spans="14:17">
      <c r="O70" t="s">
        <v>100</v>
      </c>
      <c r="P70">
        <f>42000/(3*60*60)</f>
        <v>3.8888888888888888</v>
      </c>
      <c r="Q70" t="s">
        <v>101</v>
      </c>
    </row>
    <row r="71" spans="14:17">
      <c r="O71" t="s">
        <v>102</v>
      </c>
      <c r="Q71">
        <f>42000/(1*60*60)</f>
        <v>11.666666666666666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D9" sqref="D9"/>
    </sheetView>
  </sheetViews>
  <sheetFormatPr defaultRowHeight="15"/>
  <sheetData>
    <row r="1" spans="1:9">
      <c r="A1" t="s">
        <v>287</v>
      </c>
    </row>
    <row r="2" spans="1:9">
      <c r="G2" t="s">
        <v>288</v>
      </c>
    </row>
    <row r="3" spans="1:9">
      <c r="A3" t="s">
        <v>307</v>
      </c>
      <c r="C3" t="s">
        <v>276</v>
      </c>
      <c r="H3" s="9" t="s">
        <v>289</v>
      </c>
    </row>
    <row r="4" spans="1:9">
      <c r="A4" t="s">
        <v>277</v>
      </c>
      <c r="B4" t="s">
        <v>278</v>
      </c>
      <c r="C4" t="s">
        <v>277</v>
      </c>
      <c r="D4" t="s">
        <v>278</v>
      </c>
      <c r="H4" s="9" t="s">
        <v>290</v>
      </c>
    </row>
    <row r="5" spans="1:9">
      <c r="A5">
        <v>1</v>
      </c>
      <c r="B5" t="s">
        <v>279</v>
      </c>
      <c r="C5">
        <v>1</v>
      </c>
      <c r="D5" t="s">
        <v>279</v>
      </c>
    </row>
    <row r="6" spans="1:9">
      <c r="B6" t="s">
        <v>280</v>
      </c>
      <c r="D6" t="s">
        <v>281</v>
      </c>
      <c r="F6" t="s">
        <v>291</v>
      </c>
    </row>
    <row r="7" spans="1:9">
      <c r="B7" t="s">
        <v>282</v>
      </c>
      <c r="D7" t="s">
        <v>283</v>
      </c>
      <c r="F7" s="9" t="s">
        <v>292</v>
      </c>
      <c r="I7">
        <f>4/0.1</f>
        <v>40</v>
      </c>
    </row>
    <row r="8" spans="1:9">
      <c r="B8" t="s">
        <v>283</v>
      </c>
      <c r="D8" t="s">
        <v>284</v>
      </c>
      <c r="F8" t="s">
        <v>293</v>
      </c>
    </row>
    <row r="9" spans="1:9">
      <c r="B9" t="s">
        <v>285</v>
      </c>
      <c r="C9">
        <v>2</v>
      </c>
      <c r="D9" t="s">
        <v>279</v>
      </c>
      <c r="F9" t="s">
        <v>294</v>
      </c>
    </row>
    <row r="10" spans="1:9">
      <c r="B10" t="s">
        <v>286</v>
      </c>
      <c r="D10" t="s">
        <v>281</v>
      </c>
    </row>
    <row r="11" spans="1:9">
      <c r="A11">
        <v>2</v>
      </c>
      <c r="B11" t="s">
        <v>279</v>
      </c>
      <c r="D11" t="s">
        <v>283</v>
      </c>
    </row>
    <row r="12" spans="1:9">
      <c r="B12" t="s">
        <v>280</v>
      </c>
      <c r="D12" t="s">
        <v>284</v>
      </c>
    </row>
    <row r="13" spans="1:9">
      <c r="B13" t="s">
        <v>282</v>
      </c>
      <c r="C13">
        <v>3</v>
      </c>
      <c r="D13" t="s">
        <v>279</v>
      </c>
    </row>
    <row r="14" spans="1:9">
      <c r="B14" t="s">
        <v>283</v>
      </c>
      <c r="D14" t="s">
        <v>281</v>
      </c>
    </row>
    <row r="15" spans="1:9">
      <c r="B15" t="s">
        <v>285</v>
      </c>
      <c r="D15" t="s">
        <v>283</v>
      </c>
    </row>
    <row r="16" spans="1:9">
      <c r="B16" t="s">
        <v>286</v>
      </c>
      <c r="D16" t="s">
        <v>284</v>
      </c>
    </row>
    <row r="17" spans="1:4">
      <c r="A17">
        <v>3</v>
      </c>
      <c r="B17" t="s">
        <v>279</v>
      </c>
      <c r="C17">
        <v>4</v>
      </c>
      <c r="D17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6" sqref="A16"/>
    </sheetView>
  </sheetViews>
  <sheetFormatPr defaultRowHeight="15"/>
  <sheetData>
    <row r="1" spans="1:4">
      <c r="A1" t="s">
        <v>295</v>
      </c>
    </row>
    <row r="4" spans="1:4">
      <c r="A4" t="s">
        <v>296</v>
      </c>
    </row>
    <row r="5" spans="1:4">
      <c r="B5" s="9" t="s">
        <v>297</v>
      </c>
      <c r="D5" t="s">
        <v>298</v>
      </c>
    </row>
    <row r="6" spans="1:4">
      <c r="A6" t="s">
        <v>305</v>
      </c>
    </row>
    <row r="7" spans="1:4">
      <c r="A7" t="s">
        <v>299</v>
      </c>
    </row>
    <row r="9" spans="1:4">
      <c r="A9" t="s">
        <v>303</v>
      </c>
    </row>
    <row r="10" spans="1:4">
      <c r="A10" t="s">
        <v>300</v>
      </c>
    </row>
    <row r="11" spans="1:4">
      <c r="A11" t="s">
        <v>301</v>
      </c>
    </row>
    <row r="13" spans="1:4">
      <c r="A13" t="s">
        <v>302</v>
      </c>
      <c r="C13" t="s">
        <v>304</v>
      </c>
    </row>
    <row r="15" spans="1:4">
      <c r="A15" t="s">
        <v>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C13"/>
  <sheetViews>
    <sheetView workbookViewId="0">
      <selection activeCell="B8" sqref="B8"/>
    </sheetView>
  </sheetViews>
  <sheetFormatPr defaultRowHeight="15"/>
  <cols>
    <col min="2" max="2" width="12" bestFit="1" customWidth="1"/>
  </cols>
  <sheetData>
    <row r="2" spans="1:3">
      <c r="A2" t="s">
        <v>313</v>
      </c>
    </row>
    <row r="4" spans="1:3">
      <c r="A4" t="s">
        <v>309</v>
      </c>
    </row>
    <row r="6" spans="1:3">
      <c r="A6" t="s">
        <v>164</v>
      </c>
      <c r="B6">
        <f>Sheet1!B4</f>
        <v>6.6729999999999999E-11</v>
      </c>
      <c r="C6" t="s">
        <v>312</v>
      </c>
    </row>
    <row r="7" spans="1:3">
      <c r="A7" t="s">
        <v>310</v>
      </c>
      <c r="B7">
        <f>Sheet1!M25</f>
        <v>76624086260873.031</v>
      </c>
      <c r="C7" t="s">
        <v>21</v>
      </c>
    </row>
    <row r="8" spans="1:3">
      <c r="A8" t="s">
        <v>311</v>
      </c>
      <c r="B8">
        <f>Sheet1!M22</f>
        <v>63300</v>
      </c>
      <c r="C8" t="s">
        <v>11</v>
      </c>
    </row>
    <row r="10" spans="1:3">
      <c r="A10" t="s">
        <v>308</v>
      </c>
      <c r="B10">
        <f>SQRT(2*B6*B7/B8)</f>
        <v>0.40193549411285229</v>
      </c>
      <c r="C10" t="s">
        <v>14</v>
      </c>
    </row>
    <row r="12" spans="1:3">
      <c r="A12" t="s">
        <v>314</v>
      </c>
    </row>
    <row r="13" spans="1:3">
      <c r="A13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opLeftCell="A7" workbookViewId="0">
      <selection activeCell="M11" sqref="M11"/>
    </sheetView>
  </sheetViews>
  <sheetFormatPr defaultRowHeight="15"/>
  <cols>
    <col min="3" max="3" width="11" bestFit="1" customWidth="1"/>
  </cols>
  <sheetData>
    <row r="1" spans="1:13">
      <c r="A1" t="s">
        <v>111</v>
      </c>
    </row>
    <row r="2" spans="1:13">
      <c r="A2" t="s">
        <v>112</v>
      </c>
      <c r="C2">
        <v>60000</v>
      </c>
      <c r="D2" t="s">
        <v>14</v>
      </c>
      <c r="E2" t="s">
        <v>121</v>
      </c>
    </row>
    <row r="3" spans="1:13">
      <c r="A3" t="s">
        <v>113</v>
      </c>
      <c r="C3">
        <v>56.527777777777779</v>
      </c>
      <c r="D3" t="s">
        <v>114</v>
      </c>
      <c r="E3">
        <f>C3*24*60*60</f>
        <v>4884000</v>
      </c>
      <c r="F3" t="s">
        <v>115</v>
      </c>
    </row>
    <row r="4" spans="1:13">
      <c r="A4" t="s">
        <v>116</v>
      </c>
      <c r="C4">
        <f>C2/E3</f>
        <v>1.2285012285012284E-2</v>
      </c>
      <c r="D4" t="s">
        <v>117</v>
      </c>
      <c r="E4">
        <f>C4/9.8</f>
        <v>1.2535726821441106E-3</v>
      </c>
      <c r="F4" t="s">
        <v>118</v>
      </c>
    </row>
    <row r="8" spans="1:13">
      <c r="A8" s="6" t="s">
        <v>125</v>
      </c>
      <c r="B8" s="6"/>
      <c r="C8" s="6"/>
      <c r="D8" s="6"/>
    </row>
    <row r="9" spans="1:13">
      <c r="A9" t="s">
        <v>126</v>
      </c>
      <c r="H9" t="s">
        <v>130</v>
      </c>
    </row>
    <row r="10" spans="1:13">
      <c r="A10">
        <f>5*9.8*60*20+9.8*60*40</f>
        <v>82320</v>
      </c>
      <c r="B10" t="s">
        <v>127</v>
      </c>
      <c r="H10" t="s">
        <v>131</v>
      </c>
      <c r="K10">
        <f>50*(60*60*24*7)</f>
        <v>30240000</v>
      </c>
    </row>
    <row r="11" spans="1:13">
      <c r="H11" t="s">
        <v>132</v>
      </c>
      <c r="L11">
        <f>K10/300000</f>
        <v>100.8</v>
      </c>
      <c r="M11" t="s">
        <v>133</v>
      </c>
    </row>
    <row r="12" spans="1:13">
      <c r="A12" t="s">
        <v>128</v>
      </c>
    </row>
    <row r="13" spans="1:13">
      <c r="A13">
        <f>5*9.8*60*10+9.8*60*30</f>
        <v>47040</v>
      </c>
      <c r="B13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" sqref="E4"/>
    </sheetView>
  </sheetViews>
  <sheetFormatPr defaultRowHeight="15"/>
  <sheetData>
    <row r="1" spans="1:8">
      <c r="A1" s="7" t="s">
        <v>139</v>
      </c>
    </row>
    <row r="3" spans="1:8">
      <c r="A3" t="s">
        <v>138</v>
      </c>
      <c r="E3" t="s">
        <v>147</v>
      </c>
    </row>
    <row r="4" spans="1:8">
      <c r="E4" t="s">
        <v>148</v>
      </c>
    </row>
    <row r="5" spans="1:8">
      <c r="A5" t="s">
        <v>140</v>
      </c>
    </row>
    <row r="6" spans="1:8">
      <c r="A6" t="s">
        <v>141</v>
      </c>
      <c r="C6" t="s">
        <v>145</v>
      </c>
      <c r="D6" t="s">
        <v>146</v>
      </c>
      <c r="E6" t="s">
        <v>142</v>
      </c>
      <c r="F6" t="s">
        <v>143</v>
      </c>
      <c r="G6">
        <f>SQRT(D7/C7)</f>
        <v>1</v>
      </c>
      <c r="H6" t="s">
        <v>144</v>
      </c>
    </row>
    <row r="7" spans="1:8">
      <c r="C7">
        <v>5</v>
      </c>
      <c r="D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5"/>
  <sheetViews>
    <sheetView topLeftCell="C10" workbookViewId="0">
      <selection activeCell="G16" sqref="G16"/>
    </sheetView>
  </sheetViews>
  <sheetFormatPr defaultRowHeight="15"/>
  <cols>
    <col min="1" max="1" width="20.42578125" customWidth="1"/>
    <col min="2" max="2" width="10" bestFit="1" customWidth="1"/>
    <col min="3" max="3" width="12" bestFit="1" customWidth="1"/>
    <col min="5" max="6" width="12" bestFit="1" customWidth="1"/>
    <col min="10" max="10" width="12" bestFit="1" customWidth="1"/>
  </cols>
  <sheetData>
    <row r="1" spans="1:11">
      <c r="A1" t="s">
        <v>149</v>
      </c>
    </row>
    <row r="3" spans="1:11">
      <c r="A3" t="s">
        <v>150</v>
      </c>
      <c r="C3">
        <f>Sheet1!S23</f>
        <v>1.2760832656219804E-6</v>
      </c>
      <c r="D3" t="s">
        <v>135</v>
      </c>
    </row>
    <row r="5" spans="1:11">
      <c r="A5" t="s">
        <v>151</v>
      </c>
      <c r="C5">
        <f>Sheet1!M22</f>
        <v>63300</v>
      </c>
      <c r="E5" t="s">
        <v>169</v>
      </c>
    </row>
    <row r="7" spans="1:11">
      <c r="A7" t="s">
        <v>153</v>
      </c>
      <c r="D7">
        <f>15.9</f>
        <v>15.9</v>
      </c>
      <c r="E7" t="s">
        <v>156</v>
      </c>
      <c r="F7">
        <f>D7*60*60</f>
        <v>57240</v>
      </c>
      <c r="G7" t="s">
        <v>115</v>
      </c>
      <c r="I7" t="s">
        <v>157</v>
      </c>
    </row>
    <row r="8" spans="1:11">
      <c r="B8" t="s">
        <v>168</v>
      </c>
      <c r="F8">
        <f>2*3.14159/F7</f>
        <v>1.0976904262753319E-4</v>
      </c>
      <c r="G8" t="s">
        <v>155</v>
      </c>
      <c r="I8" s="9" t="s">
        <v>158</v>
      </c>
    </row>
    <row r="10" spans="1:11">
      <c r="A10" t="s">
        <v>159</v>
      </c>
      <c r="E10">
        <f>C5*F8*F8</f>
        <v>7.6271706413581699E-4</v>
      </c>
      <c r="F10" t="s">
        <v>135</v>
      </c>
    </row>
    <row r="13" spans="1:11">
      <c r="A13" t="s">
        <v>122</v>
      </c>
      <c r="D13">
        <f>Sheet1!M21</f>
        <v>1.0846707757786833E-4</v>
      </c>
      <c r="E13" t="s">
        <v>123</v>
      </c>
    </row>
    <row r="14" spans="1:11">
      <c r="B14" t="s">
        <v>40</v>
      </c>
      <c r="D14">
        <v>63300</v>
      </c>
      <c r="E14" t="s">
        <v>11</v>
      </c>
    </row>
    <row r="15" spans="1:11">
      <c r="B15" t="s">
        <v>41</v>
      </c>
      <c r="D15" t="s">
        <v>124</v>
      </c>
      <c r="H15">
        <f>H14*0.2248</f>
        <v>0</v>
      </c>
      <c r="I15" t="s">
        <v>54</v>
      </c>
    </row>
    <row r="16" spans="1:11">
      <c r="B16" t="s">
        <v>46</v>
      </c>
      <c r="G16">
        <f>0.2248089*D14</f>
        <v>14230.40337</v>
      </c>
      <c r="I16" t="s">
        <v>134</v>
      </c>
      <c r="J16">
        <f>Sheet1!B4*D17/D14^2</f>
        <v>1.0208666124975843E-5</v>
      </c>
      <c r="K16" t="s">
        <v>135</v>
      </c>
    </row>
    <row r="17" spans="1:13">
      <c r="D17">
        <f>C22*((4/3)*3.14159*D14^3)</f>
        <v>612992690086984.25</v>
      </c>
      <c r="E17" t="s">
        <v>21</v>
      </c>
    </row>
    <row r="18" spans="1:13">
      <c r="B18" t="s">
        <v>239</v>
      </c>
      <c r="D18">
        <v>85</v>
      </c>
      <c r="E18" t="s">
        <v>21</v>
      </c>
      <c r="I18" t="s">
        <v>136</v>
      </c>
      <c r="L18">
        <f>SQRT(2*(1/J16))</f>
        <v>442.61945350022097</v>
      </c>
      <c r="M18" t="s">
        <v>115</v>
      </c>
    </row>
    <row r="19" spans="1:13">
      <c r="A19" t="s">
        <v>42</v>
      </c>
      <c r="L19">
        <f>L18/60</f>
        <v>7.3769908916703493</v>
      </c>
      <c r="M19" t="s">
        <v>137</v>
      </c>
    </row>
    <row r="20" spans="1:13">
      <c r="B20">
        <f>1.5*10^15</f>
        <v>1500000000000000</v>
      </c>
      <c r="C20" t="s">
        <v>21</v>
      </c>
    </row>
    <row r="21" spans="1:13">
      <c r="A21" t="s">
        <v>170</v>
      </c>
      <c r="B21">
        <f>170600/2</f>
        <v>85300</v>
      </c>
      <c r="C21" t="s">
        <v>11</v>
      </c>
    </row>
    <row r="22" spans="1:13">
      <c r="B22" t="s">
        <v>43</v>
      </c>
      <c r="C22">
        <f>B20/( (4/3)*3.14159*(B21^3))</f>
        <v>0.5769735748225101</v>
      </c>
      <c r="D22" t="s">
        <v>44</v>
      </c>
      <c r="E22" t="s">
        <v>45</v>
      </c>
    </row>
    <row r="25" spans="1:13">
      <c r="A25" t="s">
        <v>161</v>
      </c>
    </row>
    <row r="27" spans="1:13">
      <c r="A27" t="s">
        <v>162</v>
      </c>
    </row>
    <row r="29" spans="1:13">
      <c r="A29" t="s">
        <v>163</v>
      </c>
      <c r="D29" t="s">
        <v>167</v>
      </c>
    </row>
    <row r="31" spans="1:13">
      <c r="A31" t="s">
        <v>164</v>
      </c>
      <c r="B31">
        <f>Sheet1!B4</f>
        <v>6.6729999999999999E-11</v>
      </c>
    </row>
    <row r="33" spans="1:6">
      <c r="A33" t="s">
        <v>165</v>
      </c>
      <c r="C33">
        <f>(D14^3)*(F8^2)/B31</f>
        <v>4.5798342231607432E+16</v>
      </c>
    </row>
    <row r="35" spans="1:6">
      <c r="A35" t="s">
        <v>166</v>
      </c>
    </row>
    <row r="37" spans="1:6">
      <c r="A37" t="s">
        <v>52</v>
      </c>
      <c r="D37" t="s">
        <v>55</v>
      </c>
      <c r="E37">
        <f>Sheet1!N33</f>
        <v>5.8335959368510935</v>
      </c>
      <c r="F37" t="s">
        <v>54</v>
      </c>
    </row>
    <row r="38" spans="1:6">
      <c r="B38" t="s">
        <v>49</v>
      </c>
      <c r="C38">
        <f>Sheet1!L34</f>
        <v>25.95015986143725</v>
      </c>
      <c r="D38" t="s">
        <v>11</v>
      </c>
    </row>
    <row r="39" spans="1:6">
      <c r="B39" t="s">
        <v>51</v>
      </c>
      <c r="C39">
        <v>454000</v>
      </c>
      <c r="D39" t="s">
        <v>21</v>
      </c>
    </row>
    <row r="44" spans="1:6">
      <c r="A44" t="s">
        <v>171</v>
      </c>
      <c r="B44" t="s">
        <v>177</v>
      </c>
    </row>
    <row r="45" spans="1:6" ht="16.5" customHeight="1"/>
    <row r="46" spans="1:6" ht="58.5" customHeight="1">
      <c r="A46" s="10" t="s">
        <v>173</v>
      </c>
      <c r="C46" t="s">
        <v>172</v>
      </c>
    </row>
    <row r="47" spans="1:6">
      <c r="B47" t="s">
        <v>174</v>
      </c>
      <c r="D47">
        <f>(1.4*10^19)/(370000*195000*195000)</f>
        <v>995.0779181548412</v>
      </c>
      <c r="E47" t="s">
        <v>44</v>
      </c>
    </row>
    <row r="50" spans="1:12">
      <c r="A50" t="s">
        <v>175</v>
      </c>
      <c r="F50">
        <f>D47*((4/3)*3.14159*D14^3)</f>
        <v>1.0571983129097967E+18</v>
      </c>
      <c r="G50" t="s">
        <v>21</v>
      </c>
    </row>
    <row r="52" spans="1:12">
      <c r="A52" t="s">
        <v>176</v>
      </c>
      <c r="C52">
        <f>Sheet1!B4*F50/D14^2</f>
        <v>1.7606383858920691E-2</v>
      </c>
      <c r="D52" t="s">
        <v>135</v>
      </c>
      <c r="E52" s="9" t="s">
        <v>185</v>
      </c>
    </row>
    <row r="54" spans="1:12">
      <c r="B54" t="s">
        <v>178</v>
      </c>
      <c r="E54">
        <f>SQRT(2*(1/C52))</f>
        <v>10.658103043420541</v>
      </c>
      <c r="F54" t="s">
        <v>115</v>
      </c>
    </row>
    <row r="56" spans="1:12">
      <c r="B56" t="s">
        <v>186</v>
      </c>
    </row>
    <row r="58" spans="1:12">
      <c r="B58" t="s">
        <v>187</v>
      </c>
      <c r="K58">
        <f>100*C52</f>
        <v>1.7606383858920691</v>
      </c>
      <c r="L58" t="s">
        <v>188</v>
      </c>
    </row>
    <row r="59" spans="1:12">
      <c r="C59" t="s">
        <v>189</v>
      </c>
      <c r="D59">
        <f>K58*C64</f>
        <v>0.39580725453762217</v>
      </c>
      <c r="E59" t="s">
        <v>192</v>
      </c>
    </row>
    <row r="61" spans="1:12">
      <c r="C61" t="s">
        <v>194</v>
      </c>
      <c r="G61">
        <f>200*C52*C64</f>
        <v>0.79161450907524433</v>
      </c>
      <c r="H61" t="s">
        <v>192</v>
      </c>
    </row>
    <row r="62" spans="1:12">
      <c r="G62">
        <f>G61/C65</f>
        <v>0.3590703015989396</v>
      </c>
    </row>
    <row r="64" spans="1:12" ht="19.5">
      <c r="A64" s="2" t="s">
        <v>190</v>
      </c>
      <c r="C64">
        <f>0.224808943</f>
        <v>0.22480894300000001</v>
      </c>
      <c r="D64" t="s">
        <v>191</v>
      </c>
    </row>
    <row r="65" spans="1:4" ht="19.5">
      <c r="A65" s="2" t="s">
        <v>193</v>
      </c>
      <c r="C65">
        <f xml:space="preserve"> 2.20462262</f>
        <v>2.2046226199999999</v>
      </c>
      <c r="D65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46"/>
  <sheetViews>
    <sheetView workbookViewId="0">
      <selection activeCell="B48" sqref="B48"/>
    </sheetView>
  </sheetViews>
  <sheetFormatPr defaultRowHeight="15"/>
  <cols>
    <col min="3" max="3" width="16.42578125" customWidth="1"/>
    <col min="4" max="4" width="14.7109375" customWidth="1"/>
  </cols>
  <sheetData>
    <row r="2" spans="1:8">
      <c r="A2" s="8" t="s">
        <v>154</v>
      </c>
    </row>
    <row r="6" spans="1:8">
      <c r="A6" t="s">
        <v>16</v>
      </c>
    </row>
    <row r="7" spans="1:8">
      <c r="A7" t="s">
        <v>17</v>
      </c>
      <c r="D7">
        <v>604800</v>
      </c>
    </row>
    <row r="8" spans="1:8">
      <c r="A8" t="s">
        <v>18</v>
      </c>
      <c r="D8" s="1">
        <f>Sheet1!C4/D7</f>
        <v>3.3068783068783072E+24</v>
      </c>
      <c r="E8" t="s">
        <v>19</v>
      </c>
    </row>
    <row r="10" spans="1:8">
      <c r="A10" t="s">
        <v>31</v>
      </c>
      <c r="D10">
        <f>4*D7</f>
        <v>2419200</v>
      </c>
    </row>
    <row r="11" spans="1:8">
      <c r="A11" t="s">
        <v>32</v>
      </c>
      <c r="D11" s="1">
        <f>Sheet1!C4/D10</f>
        <v>8.267195767195768E+23</v>
      </c>
      <c r="E11" t="s">
        <v>19</v>
      </c>
    </row>
    <row r="13" spans="1:8">
      <c r="A13" t="s">
        <v>20</v>
      </c>
      <c r="G13">
        <v>15000</v>
      </c>
      <c r="H13" t="s">
        <v>21</v>
      </c>
    </row>
    <row r="14" spans="1:8">
      <c r="A14" t="s">
        <v>22</v>
      </c>
      <c r="D14" s="4">
        <v>240000</v>
      </c>
      <c r="E14" t="s">
        <v>23</v>
      </c>
    </row>
    <row r="15" spans="1:8">
      <c r="A15" t="s">
        <v>24</v>
      </c>
      <c r="D15">
        <v>155</v>
      </c>
      <c r="E15" t="s">
        <v>25</v>
      </c>
    </row>
    <row r="17" spans="1:8">
      <c r="A17" t="s">
        <v>26</v>
      </c>
      <c r="D17">
        <f>D14*D15/G13</f>
        <v>2480</v>
      </c>
      <c r="E17" t="s">
        <v>14</v>
      </c>
      <c r="F17" t="s">
        <v>27</v>
      </c>
    </row>
    <row r="19" spans="1:8">
      <c r="A19" t="s">
        <v>28</v>
      </c>
      <c r="G19">
        <v>80000</v>
      </c>
      <c r="H19" t="s">
        <v>21</v>
      </c>
    </row>
    <row r="20" spans="1:8">
      <c r="A20" t="s">
        <v>22</v>
      </c>
      <c r="D20" s="4">
        <v>1870000</v>
      </c>
      <c r="E20" t="s">
        <v>23</v>
      </c>
    </row>
    <row r="21" spans="1:8">
      <c r="A21" t="s">
        <v>24</v>
      </c>
      <c r="D21">
        <v>121</v>
      </c>
      <c r="E21" t="s">
        <v>25</v>
      </c>
    </row>
    <row r="23" spans="1:8">
      <c r="A23" t="s">
        <v>26</v>
      </c>
      <c r="D23">
        <f>D20*D21/G19</f>
        <v>2828.375</v>
      </c>
      <c r="E23" t="s">
        <v>14</v>
      </c>
      <c r="F23" t="s">
        <v>29</v>
      </c>
    </row>
    <row r="25" spans="1:8">
      <c r="A25" t="s">
        <v>30</v>
      </c>
      <c r="G25">
        <v>23880</v>
      </c>
      <c r="H25" t="s">
        <v>21</v>
      </c>
    </row>
    <row r="26" spans="1:8">
      <c r="A26" t="s">
        <v>22</v>
      </c>
      <c r="D26" s="4">
        <v>73000</v>
      </c>
      <c r="E26" t="s">
        <v>23</v>
      </c>
    </row>
    <row r="27" spans="1:8">
      <c r="A27" t="s">
        <v>24</v>
      </c>
      <c r="D27">
        <v>600</v>
      </c>
      <c r="E27" t="s">
        <v>25</v>
      </c>
    </row>
    <row r="29" spans="1:8">
      <c r="A29" t="s">
        <v>26</v>
      </c>
      <c r="D29">
        <f>D26*D27/G25</f>
        <v>1834.1708542713568</v>
      </c>
      <c r="E29" t="s">
        <v>14</v>
      </c>
      <c r="F29" t="s">
        <v>33</v>
      </c>
    </row>
    <row r="30" spans="1:8">
      <c r="A30" t="s">
        <v>37</v>
      </c>
    </row>
    <row r="32" spans="1:8">
      <c r="A32" t="s">
        <v>36</v>
      </c>
      <c r="E32">
        <f>3*D7</f>
        <v>1814400</v>
      </c>
      <c r="F32" t="s">
        <v>34</v>
      </c>
      <c r="G32" t="s">
        <v>35</v>
      </c>
    </row>
    <row r="34" spans="1:14">
      <c r="A34" t="s">
        <v>38</v>
      </c>
      <c r="G34">
        <v>163000</v>
      </c>
      <c r="H34" t="s">
        <v>21</v>
      </c>
    </row>
    <row r="35" spans="1:14">
      <c r="A35" t="s">
        <v>22</v>
      </c>
      <c r="D35" s="4">
        <f>2.44*10^6</f>
        <v>2440000</v>
      </c>
      <c r="E35" t="s">
        <v>23</v>
      </c>
    </row>
    <row r="36" spans="1:14">
      <c r="A36" t="s">
        <v>24</v>
      </c>
      <c r="D36">
        <v>164</v>
      </c>
      <c r="E36" t="s">
        <v>25</v>
      </c>
    </row>
    <row r="38" spans="1:14">
      <c r="A38" t="s">
        <v>26</v>
      </c>
      <c r="D38">
        <f>D35*D36/G34</f>
        <v>2454.969325153374</v>
      </c>
      <c r="E38" t="s">
        <v>14</v>
      </c>
      <c r="F38" t="s">
        <v>27</v>
      </c>
    </row>
    <row r="39" spans="1:14">
      <c r="A39" t="s">
        <v>39</v>
      </c>
    </row>
    <row r="41" spans="1:14">
      <c r="A41" t="s">
        <v>214</v>
      </c>
    </row>
    <row r="42" spans="1:14">
      <c r="A42" s="1">
        <f>2.44*10^6</f>
        <v>2440000</v>
      </c>
      <c r="B42" t="s">
        <v>23</v>
      </c>
      <c r="C42" t="s">
        <v>215</v>
      </c>
      <c r="E42" s="1">
        <f>A42*5</f>
        <v>12200000</v>
      </c>
      <c r="F42" t="s">
        <v>23</v>
      </c>
      <c r="G42" t="s">
        <v>216</v>
      </c>
      <c r="I42" s="1">
        <f>G34</f>
        <v>163000</v>
      </c>
      <c r="J42" t="s">
        <v>21</v>
      </c>
      <c r="K42" t="s">
        <v>217</v>
      </c>
    </row>
    <row r="43" spans="1:14">
      <c r="A43" t="s">
        <v>218</v>
      </c>
      <c r="D43">
        <f>D36</f>
        <v>164</v>
      </c>
      <c r="E43" t="s">
        <v>220</v>
      </c>
      <c r="F43">
        <f>D43/60</f>
        <v>2.7333333333333334</v>
      </c>
      <c r="G43" t="s">
        <v>221</v>
      </c>
      <c r="K43" s="1">
        <f>E42/I42</f>
        <v>74.846625766871171</v>
      </c>
      <c r="L43" t="s">
        <v>222</v>
      </c>
      <c r="M43" s="1">
        <f>K43/9.8</f>
        <v>7.6374107925378736</v>
      </c>
      <c r="N43" t="s">
        <v>223</v>
      </c>
    </row>
    <row r="45" spans="1:14">
      <c r="A45" t="s">
        <v>224</v>
      </c>
      <c r="I45">
        <f>D43*7</f>
        <v>1148</v>
      </c>
      <c r="J45" t="s">
        <v>225</v>
      </c>
      <c r="K45">
        <f>I45/60</f>
        <v>19.133333333333333</v>
      </c>
      <c r="L45" t="s">
        <v>137</v>
      </c>
    </row>
    <row r="46" spans="1:14">
      <c r="C46" t="s">
        <v>219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K21"/>
  <sheetViews>
    <sheetView workbookViewId="0">
      <selection activeCell="K22" sqref="K22"/>
    </sheetView>
  </sheetViews>
  <sheetFormatPr defaultRowHeight="15"/>
  <cols>
    <col min="4" max="4" width="12" bestFit="1" customWidth="1"/>
  </cols>
  <sheetData>
    <row r="4" spans="1:8">
      <c r="A4" t="s">
        <v>179</v>
      </c>
      <c r="G4" t="s">
        <v>180</v>
      </c>
    </row>
    <row r="7" spans="1:8">
      <c r="A7" t="s">
        <v>183</v>
      </c>
      <c r="F7" t="s">
        <v>181</v>
      </c>
    </row>
    <row r="8" spans="1:8">
      <c r="G8" t="s">
        <v>182</v>
      </c>
    </row>
    <row r="13" spans="1:8">
      <c r="A13" t="s">
        <v>195</v>
      </c>
      <c r="G13" s="9" t="s">
        <v>8</v>
      </c>
    </row>
    <row r="14" spans="1:8">
      <c r="H14" t="s">
        <v>184</v>
      </c>
    </row>
    <row r="18" spans="1:11">
      <c r="A18" t="s">
        <v>226</v>
      </c>
      <c r="D18" s="1">
        <v>638000000000</v>
      </c>
    </row>
    <row r="19" spans="1:11">
      <c r="A19" t="s">
        <v>227</v>
      </c>
      <c r="D19">
        <f>8*365*24*60*60</f>
        <v>252288000</v>
      </c>
      <c r="E19" t="s">
        <v>228</v>
      </c>
    </row>
    <row r="20" spans="1:11">
      <c r="A20" t="s">
        <v>229</v>
      </c>
      <c r="D20" s="1">
        <f>2*3.14159*D18/D19/1000</f>
        <v>15.889256881024862</v>
      </c>
      <c r="E20" t="s">
        <v>19</v>
      </c>
    </row>
    <row r="21" spans="1:11">
      <c r="K21">
        <f>7892+1243</f>
        <v>9135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0"/>
  <sheetViews>
    <sheetView tabSelected="1" workbookViewId="0">
      <selection activeCell="A11" sqref="A11"/>
    </sheetView>
  </sheetViews>
  <sheetFormatPr defaultRowHeight="15"/>
  <cols>
    <col min="2" max="2" width="12" bestFit="1" customWidth="1"/>
  </cols>
  <sheetData>
    <row r="1" spans="1:6">
      <c r="A1" t="s">
        <v>320</v>
      </c>
    </row>
    <row r="3" spans="1:6">
      <c r="A3" t="s">
        <v>207</v>
      </c>
    </row>
    <row r="4" spans="1:6">
      <c r="A4" t="s">
        <v>204</v>
      </c>
      <c r="B4">
        <v>4400</v>
      </c>
      <c r="C4" t="s">
        <v>205</v>
      </c>
      <c r="D4" s="9" t="s">
        <v>322</v>
      </c>
    </row>
    <row r="5" spans="1:6">
      <c r="A5" t="s">
        <v>208</v>
      </c>
      <c r="B5">
        <v>63300</v>
      </c>
      <c r="C5" t="s">
        <v>11</v>
      </c>
      <c r="E5" s="9" t="s">
        <v>323</v>
      </c>
    </row>
    <row r="6" spans="1:6">
      <c r="A6" t="s">
        <v>206</v>
      </c>
      <c r="B6">
        <f>Sheet1!M25</f>
        <v>76624086260873.031</v>
      </c>
      <c r="C6" t="s">
        <v>21</v>
      </c>
      <c r="E6" s="9" t="s">
        <v>324</v>
      </c>
    </row>
    <row r="8" spans="1:6">
      <c r="A8" t="s">
        <v>209</v>
      </c>
    </row>
    <row r="10" spans="1:6">
      <c r="A10" t="s">
        <v>210</v>
      </c>
      <c r="D10">
        <f>4*((PI())^2)*B5</f>
        <v>2498983.8343558256</v>
      </c>
      <c r="E10" t="s">
        <v>90</v>
      </c>
      <c r="F10" t="s">
        <v>211</v>
      </c>
    </row>
    <row r="11" spans="1:6">
      <c r="A11" s="9" t="s">
        <v>332</v>
      </c>
    </row>
    <row r="13" spans="1:6">
      <c r="A13" t="s">
        <v>212</v>
      </c>
    </row>
    <row r="14" spans="1:6">
      <c r="A14" t="s">
        <v>213</v>
      </c>
    </row>
    <row r="16" spans="1:6">
      <c r="A16" t="s">
        <v>321</v>
      </c>
      <c r="E16" t="s">
        <v>325</v>
      </c>
    </row>
    <row r="17" spans="1:10">
      <c r="E17" s="9" t="s">
        <v>326</v>
      </c>
      <c r="J17" t="s">
        <v>327</v>
      </c>
    </row>
    <row r="18" spans="1:10">
      <c r="D18" t="s">
        <v>328</v>
      </c>
      <c r="E18" t="s">
        <v>329</v>
      </c>
    </row>
    <row r="19" spans="1:10">
      <c r="A19" t="s">
        <v>330</v>
      </c>
    </row>
    <row r="20" spans="1:10">
      <c r="A20" t="s">
        <v>331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3:F37"/>
  <sheetViews>
    <sheetView workbookViewId="0">
      <selection activeCell="D26" sqref="D26"/>
    </sheetView>
  </sheetViews>
  <sheetFormatPr defaultRowHeight="15"/>
  <cols>
    <col min="3" max="3" width="12" bestFit="1" customWidth="1"/>
  </cols>
  <sheetData>
    <row r="3" spans="1:6">
      <c r="A3" t="s">
        <v>246</v>
      </c>
      <c r="D3" t="s">
        <v>240</v>
      </c>
      <c r="F3" t="s">
        <v>247</v>
      </c>
    </row>
    <row r="4" spans="1:6">
      <c r="A4" t="s">
        <v>236</v>
      </c>
      <c r="B4">
        <f>2.5^8.57</f>
        <v>2572.4436743227702</v>
      </c>
      <c r="C4" t="s">
        <v>237</v>
      </c>
    </row>
    <row r="6" spans="1:6">
      <c r="A6" t="s">
        <v>243</v>
      </c>
    </row>
    <row r="7" spans="1:6">
      <c r="A7" s="9" t="s">
        <v>244</v>
      </c>
    </row>
    <row r="9" spans="1:6">
      <c r="A9" t="s">
        <v>245</v>
      </c>
    </row>
    <row r="11" spans="1:6">
      <c r="A11" t="s">
        <v>238</v>
      </c>
    </row>
    <row r="13" spans="1:6">
      <c r="A13" t="s">
        <v>248</v>
      </c>
    </row>
    <row r="14" spans="1:6">
      <c r="A14" t="s">
        <v>241</v>
      </c>
    </row>
    <row r="16" spans="1:6">
      <c r="A16" t="s">
        <v>249</v>
      </c>
    </row>
    <row r="19" spans="1:5">
      <c r="A19" t="s">
        <v>242</v>
      </c>
    </row>
    <row r="22" spans="1:5">
      <c r="A22" t="s">
        <v>253</v>
      </c>
    </row>
    <row r="23" spans="1:5">
      <c r="A23" t="s">
        <v>250</v>
      </c>
      <c r="C23" s="1">
        <v>4.8999999999999997E+26</v>
      </c>
      <c r="D23" t="s">
        <v>251</v>
      </c>
    </row>
    <row r="24" spans="1:5">
      <c r="A24" t="s">
        <v>252</v>
      </c>
      <c r="C24">
        <v>1380</v>
      </c>
      <c r="D24" t="s">
        <v>254</v>
      </c>
    </row>
    <row r="25" spans="1:5">
      <c r="A25" t="s">
        <v>255</v>
      </c>
      <c r="C25">
        <f>C23/(4*PI()*(4*150000000000)^2)</f>
        <v>108.31378071531766</v>
      </c>
      <c r="D25" t="s">
        <v>254</v>
      </c>
    </row>
    <row r="27" spans="1:5">
      <c r="A27" s="9" t="s">
        <v>256</v>
      </c>
    </row>
    <row r="28" spans="1:5">
      <c r="A28" s="9"/>
    </row>
    <row r="29" spans="1:5">
      <c r="A29" t="s">
        <v>257</v>
      </c>
    </row>
    <row r="30" spans="1:5">
      <c r="A30" t="s">
        <v>258</v>
      </c>
      <c r="C30" s="11">
        <v>32000</v>
      </c>
      <c r="D30" t="s">
        <v>259</v>
      </c>
      <c r="E30" t="s">
        <v>260</v>
      </c>
    </row>
    <row r="31" spans="1:5">
      <c r="A31" t="s">
        <v>261</v>
      </c>
      <c r="C31" s="11">
        <v>1000</v>
      </c>
      <c r="D31" t="s">
        <v>259</v>
      </c>
    </row>
    <row r="32" spans="1:5">
      <c r="A32" t="s">
        <v>262</v>
      </c>
      <c r="C32">
        <v>400</v>
      </c>
      <c r="D32" t="s">
        <v>259</v>
      </c>
    </row>
    <row r="33" spans="1:5">
      <c r="A33" t="s">
        <v>263</v>
      </c>
      <c r="C33">
        <v>1</v>
      </c>
      <c r="D33" t="s">
        <v>259</v>
      </c>
      <c r="E33" t="s">
        <v>268</v>
      </c>
    </row>
    <row r="34" spans="1:5">
      <c r="A34" t="s">
        <v>264</v>
      </c>
      <c r="C34">
        <v>320</v>
      </c>
      <c r="D34" t="s">
        <v>259</v>
      </c>
      <c r="E34" t="s">
        <v>265</v>
      </c>
    </row>
    <row r="35" spans="1:5">
      <c r="A35" t="s">
        <v>267</v>
      </c>
      <c r="C35">
        <v>100</v>
      </c>
      <c r="D35" t="s">
        <v>259</v>
      </c>
    </row>
    <row r="37" spans="1:5">
      <c r="A37" s="9" t="s">
        <v>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G11"/>
  <sheetViews>
    <sheetView topLeftCell="A3" workbookViewId="0">
      <selection activeCell="B11" sqref="B11"/>
    </sheetView>
  </sheetViews>
  <sheetFormatPr defaultRowHeight="15"/>
  <sheetData>
    <row r="3" spans="1:7">
      <c r="A3" t="s">
        <v>151</v>
      </c>
      <c r="C3">
        <v>63300</v>
      </c>
    </row>
    <row r="5" spans="1:7">
      <c r="A5" t="s">
        <v>272</v>
      </c>
      <c r="D5">
        <f>C3*2*PI()</f>
        <v>397725.6299444678</v>
      </c>
    </row>
    <row r="7" spans="1:7">
      <c r="A7" t="s">
        <v>273</v>
      </c>
      <c r="D7">
        <f>D5/4</f>
        <v>99431.40748611695</v>
      </c>
    </row>
    <row r="9" spans="1:7">
      <c r="A9" t="s">
        <v>274</v>
      </c>
      <c r="F9">
        <f>D7/(60*15)</f>
        <v>110.47934165124106</v>
      </c>
      <c r="G9" t="s">
        <v>14</v>
      </c>
    </row>
    <row r="11" spans="1:7">
      <c r="A1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comet pull gravity</vt:lpstr>
      <vt:lpstr>rocket gym</vt:lpstr>
      <vt:lpstr>gravity vs. centripetal acc.</vt:lpstr>
      <vt:lpstr>rocket speed calcs</vt:lpstr>
      <vt:lpstr>thule's speed</vt:lpstr>
      <vt:lpstr>hypervelocity</vt:lpstr>
      <vt:lpstr>Thule's brightness</vt:lpstr>
      <vt:lpstr>Traveling on Thule</vt:lpstr>
      <vt:lpstr>ship time vs. thule time</vt:lpstr>
      <vt:lpstr>radiation dose</vt:lpstr>
      <vt:lpstr>escape velocity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Halle Devlin</dc:creator>
  <cp:lastModifiedBy>Christie Halle Devlin</cp:lastModifiedBy>
  <dcterms:created xsi:type="dcterms:W3CDTF">2010-01-26T01:03:47Z</dcterms:created>
  <dcterms:modified xsi:type="dcterms:W3CDTF">2013-05-26T23:24:52Z</dcterms:modified>
</cp:coreProperties>
</file>