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COMPARTIDO\MACC 2025\SEM 202540\"/>
    </mc:Choice>
  </mc:AlternateContent>
  <xr:revisionPtr revIDLastSave="0" documentId="13_ncr:1_{2891D4B7-489F-4C8A-85FE-9D08139C00FD}" xr6:coauthVersionLast="47" xr6:coauthVersionMax="47" xr10:uidLastSave="{00000000-0000-0000-0000-000000000000}"/>
  <bookViews>
    <workbookView xWindow="-120" yWindow="-120" windowWidth="20730" windowHeight="11310" xr2:uid="{9B6F7818-0197-49F4-880F-AFDB66ADBE04}"/>
  </bookViews>
  <sheets>
    <sheet name="863712 BASE DEL 330-69" sheetId="1" r:id="rId1"/>
    <sheet name="PARA CORTE" sheetId="2" r:id="rId2"/>
  </sheets>
  <definedNames>
    <definedName name="_xlnm.Print_Area" localSheetId="0">'863712 BASE DEL 330-69'!$A$2:$N$54</definedName>
    <definedName name="_xlnm.Print_Area" localSheetId="1">'PARA CORTE'!$A$2:$M$24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R27" i="1"/>
  <c r="R10" i="1"/>
  <c r="R18" i="1"/>
  <c r="F37" i="1"/>
  <c r="R37" i="1"/>
  <c r="R39" i="1"/>
  <c r="R40" i="1"/>
  <c r="R24" i="1"/>
  <c r="R25" i="1"/>
  <c r="R16" i="1"/>
  <c r="R19" i="1"/>
  <c r="R20" i="1"/>
  <c r="R21" i="1"/>
  <c r="R22" i="1"/>
  <c r="R23" i="1"/>
  <c r="R26" i="1"/>
  <c r="R28" i="1"/>
  <c r="R29" i="1"/>
  <c r="R30" i="1"/>
  <c r="R31" i="1"/>
  <c r="R32" i="1"/>
  <c r="R33" i="1"/>
  <c r="R34" i="1"/>
  <c r="R35" i="1"/>
  <c r="R36" i="1"/>
  <c r="R38" i="1"/>
  <c r="R55" i="1"/>
  <c r="R63" i="1"/>
  <c r="T63" i="1"/>
  <c r="F38" i="1"/>
  <c r="F24" i="1"/>
  <c r="F28" i="1"/>
  <c r="F16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9" i="1"/>
  <c r="R56" i="1"/>
  <c r="S68" i="1"/>
  <c r="I26" i="1"/>
  <c r="K37" i="1"/>
  <c r="O37" i="1"/>
  <c r="P37" i="1"/>
  <c r="Q37" i="1"/>
  <c r="O19" i="1"/>
  <c r="P19" i="1"/>
  <c r="Q19" i="1"/>
  <c r="I21" i="1"/>
  <c r="P21" i="1"/>
  <c r="Q21" i="1"/>
  <c r="O28" i="1"/>
  <c r="P28" i="1"/>
  <c r="Q28" i="1"/>
  <c r="O20" i="1"/>
  <c r="P20" i="1"/>
  <c r="Q20" i="1"/>
  <c r="O27" i="1"/>
  <c r="P27" i="1"/>
  <c r="Q27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F17" i="1"/>
  <c r="O17" i="1"/>
  <c r="P17" i="1"/>
  <c r="Q17" i="1"/>
  <c r="O18" i="1"/>
  <c r="P18" i="1"/>
  <c r="Q18" i="1"/>
  <c r="O22" i="1"/>
  <c r="P22" i="1"/>
  <c r="Q22" i="1"/>
  <c r="H23" i="1"/>
  <c r="O23" i="1"/>
  <c r="P23" i="1"/>
  <c r="Q23" i="1"/>
  <c r="O24" i="1"/>
  <c r="P24" i="1"/>
  <c r="Q24" i="1"/>
  <c r="O25" i="1"/>
  <c r="P25" i="1"/>
  <c r="Q25" i="1"/>
  <c r="O26" i="1"/>
  <c r="P26" i="1"/>
  <c r="Q26" i="1"/>
  <c r="O29" i="1"/>
  <c r="P29" i="1"/>
  <c r="Q29" i="1"/>
  <c r="P30" i="1"/>
  <c r="Q30" i="1"/>
  <c r="O31" i="1"/>
  <c r="P31" i="1"/>
  <c r="Q31" i="1"/>
  <c r="P32" i="1"/>
  <c r="Q32" i="1"/>
  <c r="P33" i="1"/>
  <c r="Q33" i="1"/>
  <c r="O34" i="1"/>
  <c r="P34" i="1"/>
  <c r="Q34" i="1"/>
  <c r="P35" i="1"/>
  <c r="Q35" i="1"/>
  <c r="O36" i="1"/>
  <c r="P36" i="1"/>
  <c r="Q36" i="1"/>
  <c r="O38" i="1"/>
  <c r="P38" i="1"/>
  <c r="Q38" i="1"/>
  <c r="O39" i="1"/>
  <c r="P39" i="1"/>
  <c r="Q39" i="1"/>
  <c r="O40" i="1"/>
  <c r="P40" i="1"/>
  <c r="Q40" i="1"/>
  <c r="P41" i="1"/>
  <c r="Q41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Q55" i="1"/>
  <c r="P67" i="1"/>
  <c r="P70" i="1"/>
  <c r="K26" i="1"/>
  <c r="K25" i="1"/>
  <c r="L4" i="2"/>
  <c r="K20" i="2"/>
  <c r="M20" i="2"/>
  <c r="L3" i="2"/>
  <c r="L2" i="2"/>
  <c r="I24" i="2"/>
  <c r="F24" i="2"/>
  <c r="H23" i="2"/>
  <c r="F23" i="2"/>
  <c r="H22" i="2"/>
  <c r="F22" i="2"/>
  <c r="I21" i="2"/>
  <c r="F21" i="2"/>
  <c r="F20" i="2"/>
  <c r="F19" i="2"/>
  <c r="I18" i="2"/>
  <c r="F18" i="2"/>
  <c r="F17" i="2"/>
  <c r="K16" i="2"/>
  <c r="F16" i="2"/>
  <c r="K15" i="2"/>
  <c r="M15" i="2"/>
  <c r="F15" i="2"/>
  <c r="K14" i="2"/>
  <c r="F14" i="2"/>
  <c r="K13" i="2"/>
  <c r="F13" i="2"/>
  <c r="K12" i="2"/>
  <c r="F12" i="2"/>
  <c r="K11" i="2"/>
  <c r="F11" i="2"/>
  <c r="K10" i="2"/>
  <c r="F10" i="2"/>
  <c r="K17" i="2"/>
  <c r="K19" i="2"/>
  <c r="M19" i="2"/>
  <c r="M16" i="2"/>
  <c r="K22" i="2"/>
  <c r="M22" i="2"/>
  <c r="M10" i="2"/>
  <c r="K18" i="2"/>
  <c r="M18" i="2"/>
  <c r="K21" i="2"/>
  <c r="M21" i="2"/>
  <c r="K24" i="2"/>
  <c r="M24" i="2"/>
  <c r="K23" i="2"/>
  <c r="M23" i="2"/>
  <c r="K38" i="1"/>
  <c r="M63" i="1"/>
  <c r="Q62" i="1"/>
  <c r="P61" i="1"/>
  <c r="Q61" i="1"/>
  <c r="P60" i="1"/>
  <c r="Q60" i="1"/>
  <c r="P59" i="1"/>
  <c r="Q59" i="1"/>
  <c r="Q58" i="1"/>
  <c r="B42" i="1"/>
  <c r="C41" i="1"/>
  <c r="B41" i="1"/>
  <c r="A41" i="1"/>
  <c r="K40" i="1"/>
  <c r="K39" i="1"/>
  <c r="K36" i="1"/>
  <c r="K34" i="1"/>
  <c r="K31" i="1"/>
  <c r="K29" i="1"/>
  <c r="K28" i="1"/>
  <c r="K27" i="1"/>
  <c r="K24" i="1"/>
  <c r="K23" i="1"/>
  <c r="H22" i="1"/>
  <c r="K22" i="1"/>
  <c r="K21" i="1"/>
  <c r="K20" i="1"/>
  <c r="K19" i="1"/>
  <c r="K18" i="1"/>
  <c r="K17" i="1"/>
  <c r="K16" i="1"/>
  <c r="K15" i="1"/>
  <c r="P56" i="1"/>
  <c r="Q56" i="1"/>
  <c r="K14" i="1"/>
  <c r="K13" i="1"/>
  <c r="K12" i="1"/>
  <c r="K11" i="1"/>
  <c r="K10" i="1"/>
  <c r="P57" i="1"/>
  <c r="Q57" i="1"/>
  <c r="O21" i="1"/>
  <c r="P55" i="1"/>
  <c r="P63" i="1"/>
  <c r="Q63" i="1"/>
  <c r="P66" i="1"/>
  <c r="P68" i="1"/>
  <c r="P71" i="1"/>
</calcChain>
</file>

<file path=xl/sharedStrings.xml><?xml version="1.0" encoding="utf-8"?>
<sst xmlns="http://schemas.openxmlformats.org/spreadsheetml/2006/main" count="444" uniqueCount="164">
  <si>
    <t>BASE DEL 330-69</t>
  </si>
  <si>
    <t>PEDIDO :</t>
  </si>
  <si>
    <t>SEMANA :</t>
  </si>
  <si>
    <t>ANALISIS PROPUESTA DE COSTOS</t>
  </si>
  <si>
    <t>BLANCO</t>
  </si>
  <si>
    <t>PARES</t>
  </si>
  <si>
    <t>CLIENTE:</t>
  </si>
  <si>
    <t>COPPEL</t>
  </si>
  <si>
    <t>FECHA DE ENTREGA :</t>
  </si>
  <si>
    <t>ULTIMA ACTUALIZACION</t>
  </si>
  <si>
    <t>MOLDURA 330-69</t>
  </si>
  <si>
    <t>KARLA</t>
  </si>
  <si>
    <t>22 AL 26</t>
  </si>
  <si>
    <t>PEDIDO DEL 22 AL 26</t>
  </si>
  <si>
    <t>DESCRIPCIÓN</t>
  </si>
  <si>
    <t>NOMBRE</t>
  </si>
  <si>
    <t xml:space="preserve">COLOR </t>
  </si>
  <si>
    <t>PROVEDOR</t>
  </si>
  <si>
    <t>PRECIO (SIN IVA)</t>
  </si>
  <si>
    <t>PRECIO NETO</t>
  </si>
  <si>
    <t>UNIDAD COMPRA</t>
  </si>
  <si>
    <t>ANCHO</t>
  </si>
  <si>
    <t>CONSUMOS</t>
  </si>
  <si>
    <t>UNIDAD CONSUMO</t>
  </si>
  <si>
    <t>REQUERIMIENTO A COMPRAR</t>
  </si>
  <si>
    <t>UNIDAD</t>
  </si>
  <si>
    <t>OC</t>
  </si>
  <si>
    <t>SOBRANTE</t>
  </si>
  <si>
    <t>CONVERSION</t>
  </si>
  <si>
    <t>CTO/PAR</t>
  </si>
  <si>
    <t>PRESUP</t>
  </si>
  <si>
    <t>COSTO REAL</t>
  </si>
  <si>
    <t>PUNTERA</t>
  </si>
  <si>
    <t>ROBIN SPORT VIRGEN</t>
  </si>
  <si>
    <t>ARTICO</t>
  </si>
  <si>
    <t>OFICINA LENM</t>
  </si>
  <si>
    <t>MT</t>
  </si>
  <si>
    <t>DM</t>
  </si>
  <si>
    <t>MTS</t>
  </si>
  <si>
    <t>OJILLERO</t>
  </si>
  <si>
    <t>TALON</t>
  </si>
  <si>
    <t>REMATE</t>
  </si>
  <si>
    <t>LENGUA</t>
  </si>
  <si>
    <t>LATERALES</t>
  </si>
  <si>
    <t>ROBIN SPORT / LAM KOREANO BCO</t>
  </si>
  <si>
    <t>APLICACIÓN TIRAS (2 POR PIE) LADO EXTERNO</t>
  </si>
  <si>
    <t>SELMA / LAM KOREANO BCO</t>
  </si>
  <si>
    <t>PLATINA</t>
  </si>
  <si>
    <t>COTEXCA</t>
  </si>
  <si>
    <t>PALOMA</t>
  </si>
  <si>
    <t>FORRO LENGUA Y TALONES</t>
  </si>
  <si>
    <t>ALFA CON ESPUMA BCA + PELLON</t>
  </si>
  <si>
    <t>BLANCA TX 0005-008</t>
  </si>
  <si>
    <t>ACOPOL</t>
  </si>
  <si>
    <t>REFUERZO EVA LATERALES</t>
  </si>
  <si>
    <t xml:space="preserve">EVA 1.5 MM </t>
  </si>
  <si>
    <t>PLANTILLA</t>
  </si>
  <si>
    <t>MALLA BALTICO C/EVA EN 2 MM</t>
  </si>
  <si>
    <t>BLANCA</t>
  </si>
  <si>
    <t>SAN PER</t>
  </si>
  <si>
    <t>REF CUÑA PLANTILLA</t>
  </si>
  <si>
    <t>TIRA DE EVA BCA 5 MM (EN REMISION)</t>
  </si>
  <si>
    <t>5mm a 0 mm / 12 cm x 1.50 mts</t>
  </si>
  <si>
    <t>PZAS</t>
  </si>
  <si>
    <t>BULLON</t>
  </si>
  <si>
    <t>ESPONJA 10 MM / 50 KG</t>
  </si>
  <si>
    <t>1.20 X 1.00  NATURAL</t>
  </si>
  <si>
    <t>LAM</t>
  </si>
  <si>
    <t>LAMINAS</t>
  </si>
  <si>
    <t>ESPUMA LENGUA</t>
  </si>
  <si>
    <t>CHINELA ESPONJA 5 MM/50 KG</t>
  </si>
  <si>
    <t>0.54 X 1.20  NATURAL</t>
  </si>
  <si>
    <t>BONDIPLAN</t>
  </si>
  <si>
    <t>SUELA</t>
  </si>
  <si>
    <t>PRINCESA/MANGO  /VEGAN  T.R.</t>
  </si>
  <si>
    <t>FELIPE</t>
  </si>
  <si>
    <t>PRS</t>
  </si>
  <si>
    <t>N/A</t>
  </si>
  <si>
    <t>PR</t>
  </si>
  <si>
    <t>PLANTA</t>
  </si>
  <si>
    <t>SOLEIN KC 3 F (1.00X1.50)</t>
  </si>
  <si>
    <t>VERDE</t>
  </si>
  <si>
    <t>AGUJETA</t>
  </si>
  <si>
    <t xml:space="preserve">PLANA CREES #120 CM </t>
  </si>
  <si>
    <t>BLANCO OPTICO</t>
  </si>
  <si>
    <t>BARAJAS</t>
  </si>
  <si>
    <t>GRUESAS</t>
  </si>
  <si>
    <t>OJILLOS</t>
  </si>
  <si>
    <t>OJILLO K-19</t>
  </si>
  <si>
    <t>BLANCO ESMALTADO</t>
  </si>
  <si>
    <t>INDUX</t>
  </si>
  <si>
    <t>MILLAR</t>
  </si>
  <si>
    <t>MILLARES</t>
  </si>
  <si>
    <t>ULTIMO OJILLO</t>
  </si>
  <si>
    <t>OJILLO # 150</t>
  </si>
  <si>
    <t>ORO</t>
  </si>
  <si>
    <t>ZHL</t>
  </si>
  <si>
    <t xml:space="preserve">MILLAR </t>
  </si>
  <si>
    <t>CASCO</t>
  </si>
  <si>
    <t>BOXFLEX</t>
  </si>
  <si>
    <t>CONTRAFUERTE</t>
  </si>
  <si>
    <t>ALEX SAUCEDO</t>
  </si>
  <si>
    <t>PZ</t>
  </si>
  <si>
    <t>PZS</t>
  </si>
  <si>
    <t>TRANSFER PLANTILLA</t>
  </si>
  <si>
    <t>TRANSFER NOM</t>
  </si>
  <si>
    <t>FONDO BCO LETRAS NGAS</t>
  </si>
  <si>
    <t>PAR</t>
  </si>
  <si>
    <t>CAJA</t>
  </si>
  <si>
    <t>PAPEL ENCAJILLADO</t>
  </si>
  <si>
    <t>PAPEL RELLENO</t>
  </si>
  <si>
    <t>PAPEL CHINA 30X70</t>
  </si>
  <si>
    <t>ALOT</t>
  </si>
  <si>
    <t xml:space="preserve">NOM 20 </t>
  </si>
  <si>
    <t>EN LENGUA</t>
  </si>
  <si>
    <t>CORTE SINTETICO</t>
  </si>
  <si>
    <t>FORRO TEXTIL</t>
  </si>
  <si>
    <t>SUELA SINTETICA</t>
  </si>
  <si>
    <t>HORMA</t>
  </si>
  <si>
    <t>POLET</t>
  </si>
  <si>
    <t>HILO CORTE</t>
  </si>
  <si>
    <t>CODIGO GALLO</t>
  </si>
  <si>
    <t>HILO PALOMA CODIGO  # 4</t>
  </si>
  <si>
    <t>HILO FORRO</t>
  </si>
  <si>
    <t>HILO APLICACIONES LATERALES  CODIGO  # 4</t>
  </si>
  <si>
    <t>TRANSFER  NOM VA EN LA LENGUA</t>
  </si>
  <si>
    <t>SUELA T.R COLOR BLANCO</t>
  </si>
  <si>
    <t>MATERIALES DIRECTOS</t>
  </si>
  <si>
    <t>PROCESO EXTERNO 1</t>
  </si>
  <si>
    <t xml:space="preserve">LAM </t>
  </si>
  <si>
    <t>PROCESO EXTERNO 2</t>
  </si>
  <si>
    <t>LAM 2</t>
  </si>
  <si>
    <t>PROCESO EXTERNO 3</t>
  </si>
  <si>
    <t>OTROS</t>
  </si>
  <si>
    <t>INVERSION / PARES</t>
  </si>
  <si>
    <t>SUAJES</t>
  </si>
  <si>
    <t>HORMAS</t>
  </si>
  <si>
    <t>TROQUEL</t>
  </si>
  <si>
    <t>M.O.</t>
  </si>
  <si>
    <t>GASTOS</t>
  </si>
  <si>
    <t>PRECIO VTA</t>
  </si>
  <si>
    <t>DIF</t>
  </si>
  <si>
    <t>TOTAL BLOQUE</t>
  </si>
  <si>
    <t>ENTREGADO</t>
  </si>
  <si>
    <t xml:space="preserve">PZAS  </t>
  </si>
  <si>
    <t>PASACINTA</t>
  </si>
  <si>
    <t>PLAQUITA</t>
  </si>
  <si>
    <t>LA UNION</t>
  </si>
  <si>
    <t>COMPRADO</t>
  </si>
  <si>
    <t>CELTEC X 1.70 MM</t>
  </si>
  <si>
    <t>NARANJA</t>
  </si>
  <si>
    <t>VAZZA</t>
  </si>
  <si>
    <t>NARC 330-69-N (CSC 22-23)</t>
  </si>
  <si>
    <t>NARC 330-69-N (CSC 24-25)</t>
  </si>
  <si>
    <t>NARC 330-69-N (CSC 26-27)</t>
  </si>
  <si>
    <t>Courasoft C 44/06 P</t>
  </si>
  <si>
    <t>NOM 020 13501</t>
  </si>
  <si>
    <t>AMIGSA</t>
  </si>
  <si>
    <t>LLEVA TRANSFER VAZZA ORO COMO LA FOTO</t>
  </si>
  <si>
    <t>Ecoforma F 5051/06 P</t>
  </si>
  <si>
    <t>330-69-N CXF NARC (22-23)</t>
  </si>
  <si>
    <t>330-69-N CXF NARC (24-25)</t>
  </si>
  <si>
    <t>330-69-N CXF NARC (26-27)</t>
  </si>
  <si>
    <t>M634 VAZZA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</si>
</sst>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  <numFmt numFmtId="165" formatCode="_-&quot;$&quot;* #,##0.0_-;\-&quot;$&quot;* #,##0.0_-;_-&quot;$&quot;* &quot;-&quot;??_-;_-@_-"/>
    <numFmt numFmtId="166" formatCode="0.0"/>
    <numFmt numFmtId="167" formatCode="0.000"/>
    <numFmt numFmtId="168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6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rgb="FF201F1E"/>
      <name val="Segoe UI"/>
      <family val="2"/>
    </font>
    <font>
      <sz val="16"/>
      <name val="Bahnschrift"/>
      <family val="2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u/>
      <sz val="6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8">
    <xf numFmtId="0" fontId="0" fillId="0" borderId="0" xfId="0"/>
    <xf numFmtId="0" fontId="0" fillId="2" borderId="0" xfId="0" applyFill="1"/>
    <xf numFmtId="0" fontId="3" fillId="2" borderId="0" xfId="0" applyFont="1" applyFill="1"/>
    <xf numFmtId="164" fontId="0" fillId="2" borderId="1" xfId="1" applyNumberFormat="1" applyFont="1" applyFill="1" applyBorder="1"/>
    <xf numFmtId="165" fontId="0" fillId="2" borderId="1" xfId="1" applyNumberFormat="1" applyFont="1" applyFill="1" applyBorder="1"/>
    <xf numFmtId="165" fontId="0" fillId="2" borderId="2" xfId="1" applyNumberFormat="1" applyFont="1" applyFill="1" applyBorder="1"/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164" fontId="0" fillId="2" borderId="3" xfId="1" applyNumberFormat="1" applyFont="1" applyFill="1" applyBorder="1"/>
    <xf numFmtId="164" fontId="0" fillId="2" borderId="0" xfId="1" applyNumberFormat="1" applyFont="1" applyFill="1" applyBorder="1"/>
    <xf numFmtId="165" fontId="0" fillId="2" borderId="0" xfId="1" applyNumberFormat="1" applyFont="1" applyFill="1" applyBorder="1"/>
    <xf numFmtId="165" fontId="0" fillId="2" borderId="4" xfId="1" applyNumberFormat="1" applyFont="1" applyFill="1" applyBorder="1"/>
    <xf numFmtId="0" fontId="6" fillId="2" borderId="0" xfId="0" applyFont="1" applyFill="1"/>
    <xf numFmtId="0" fontId="6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4" fillId="2" borderId="5" xfId="0" applyFont="1" applyFill="1" applyBorder="1"/>
    <xf numFmtId="0" fontId="4" fillId="2" borderId="6" xfId="0" applyFont="1" applyFill="1" applyBorder="1"/>
    <xf numFmtId="0" fontId="4" fillId="2" borderId="0" xfId="0" applyFont="1" applyFill="1" applyAlignment="1">
      <alignment horizontal="center"/>
    </xf>
    <xf numFmtId="0" fontId="9" fillId="2" borderId="0" xfId="0" applyFont="1" applyFill="1"/>
    <xf numFmtId="14" fontId="9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right"/>
    </xf>
    <xf numFmtId="14" fontId="10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5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13" fillId="2" borderId="0" xfId="1" applyNumberFormat="1" applyFont="1" applyFill="1" applyBorder="1"/>
    <xf numFmtId="1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5" fillId="2" borderId="0" xfId="0" applyFont="1" applyFill="1" applyAlignment="1">
      <alignment vertical="top"/>
    </xf>
    <xf numFmtId="0" fontId="16" fillId="2" borderId="0" xfId="0" applyFont="1" applyFill="1" applyAlignment="1">
      <alignment vertical="top"/>
    </xf>
    <xf numFmtId="164" fontId="0" fillId="2" borderId="10" xfId="1" applyNumberFormat="1" applyFont="1" applyFill="1" applyBorder="1"/>
    <xf numFmtId="164" fontId="0" fillId="2" borderId="9" xfId="1" applyNumberFormat="1" applyFont="1" applyFill="1" applyBorder="1"/>
    <xf numFmtId="165" fontId="0" fillId="2" borderId="9" xfId="1" applyNumberFormat="1" applyFont="1" applyFill="1" applyBorder="1"/>
    <xf numFmtId="165" fontId="0" fillId="2" borderId="11" xfId="1" applyNumberFormat="1" applyFont="1" applyFill="1" applyBorder="1"/>
    <xf numFmtId="0" fontId="4" fillId="3" borderId="1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44" fontId="4" fillId="3" borderId="13" xfId="1" applyFont="1" applyFill="1" applyBorder="1" applyAlignment="1">
      <alignment horizontal="center" vertical="top" wrapText="1"/>
    </xf>
    <xf numFmtId="0" fontId="4" fillId="3" borderId="14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15" xfId="0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44" fontId="0" fillId="0" borderId="16" xfId="1" applyFont="1" applyFill="1" applyBorder="1" applyAlignment="1">
      <alignment horizontal="center" vertical="center"/>
    </xf>
    <xf numFmtId="44" fontId="1" fillId="0" borderId="17" xfId="1" applyFont="1" applyFill="1" applyBorder="1" applyAlignment="1">
      <alignment horizontal="center" vertical="center"/>
    </xf>
    <xf numFmtId="44" fontId="0" fillId="0" borderId="17" xfId="1" applyFont="1" applyFill="1" applyBorder="1" applyAlignment="1">
      <alignment horizontal="center" vertical="center"/>
    </xf>
    <xf numFmtId="0" fontId="0" fillId="0" borderId="17" xfId="1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5" xfId="1" applyNumberFormat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165" fontId="0" fillId="0" borderId="20" xfId="1" applyNumberFormat="1" applyFont="1" applyFill="1" applyBorder="1" applyAlignment="1">
      <alignment vertical="center"/>
    </xf>
    <xf numFmtId="0" fontId="0" fillId="5" borderId="0" xfId="0" applyFill="1"/>
    <xf numFmtId="0" fontId="0" fillId="0" borderId="22" xfId="0" applyBorder="1" applyAlignment="1">
      <alignment horizontal="left" vertical="center"/>
    </xf>
    <xf numFmtId="44" fontId="1" fillId="0" borderId="23" xfId="1" applyFont="1" applyFill="1" applyBorder="1" applyAlignment="1">
      <alignment horizontal="center" vertical="center"/>
    </xf>
    <xf numFmtId="44" fontId="17" fillId="0" borderId="23" xfId="1" applyFont="1" applyFill="1" applyBorder="1" applyAlignment="1">
      <alignment horizontal="center" vertical="center"/>
    </xf>
    <xf numFmtId="0" fontId="17" fillId="0" borderId="23" xfId="1" applyNumberFormat="1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4" xfId="1" applyNumberFormat="1" applyFont="1" applyFill="1" applyBorder="1" applyAlignment="1">
      <alignment vertical="center"/>
    </xf>
    <xf numFmtId="164" fontId="0" fillId="0" borderId="23" xfId="1" applyNumberFormat="1" applyFont="1" applyFill="1" applyBorder="1" applyAlignment="1">
      <alignment vertical="center"/>
    </xf>
    <xf numFmtId="165" fontId="0" fillId="0" borderId="23" xfId="1" applyNumberFormat="1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4" fontId="0" fillId="0" borderId="20" xfId="1" applyFont="1" applyFill="1" applyBorder="1" applyAlignment="1">
      <alignment horizontal="center" vertical="center"/>
    </xf>
    <xf numFmtId="44" fontId="1" fillId="0" borderId="20" xfId="1" applyFont="1" applyFill="1" applyBorder="1" applyAlignment="1">
      <alignment horizontal="center" vertical="center"/>
    </xf>
    <xf numFmtId="44" fontId="17" fillId="0" borderId="20" xfId="1" applyFont="1" applyFill="1" applyBorder="1" applyAlignment="1">
      <alignment horizontal="center" vertical="center"/>
    </xf>
    <xf numFmtId="0" fontId="17" fillId="0" borderId="20" xfId="1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44" fontId="0" fillId="0" borderId="13" xfId="1" applyFont="1" applyFill="1" applyBorder="1" applyAlignment="1">
      <alignment horizontal="center" vertical="center"/>
    </xf>
    <xf numFmtId="44" fontId="1" fillId="0" borderId="13" xfId="1" applyFont="1" applyFill="1" applyBorder="1" applyAlignment="1">
      <alignment horizontal="center" vertical="center"/>
    </xf>
    <xf numFmtId="44" fontId="17" fillId="0" borderId="13" xfId="1" applyFont="1" applyFill="1" applyBorder="1" applyAlignment="1">
      <alignment horizontal="center" vertical="center"/>
    </xf>
    <xf numFmtId="0" fontId="17" fillId="0" borderId="13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16" xfId="1" applyNumberFormat="1" applyFont="1" applyFill="1" applyBorder="1" applyAlignment="1">
      <alignment vertical="center"/>
    </xf>
    <xf numFmtId="165" fontId="0" fillId="0" borderId="16" xfId="1" applyNumberFormat="1" applyFont="1" applyFill="1" applyBorder="1" applyAlignment="1">
      <alignment vertical="center"/>
    </xf>
    <xf numFmtId="0" fontId="0" fillId="0" borderId="15" xfId="0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44" fontId="17" fillId="0" borderId="17" xfId="1" applyFont="1" applyFill="1" applyBorder="1" applyAlignment="1">
      <alignment horizontal="center" vertical="center"/>
    </xf>
    <xf numFmtId="0" fontId="17" fillId="0" borderId="17" xfId="1" applyNumberFormat="1" applyFont="1" applyFill="1" applyBorder="1" applyAlignment="1">
      <alignment horizontal="center" vertical="center"/>
    </xf>
    <xf numFmtId="2" fontId="17" fillId="0" borderId="17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17" fillId="0" borderId="29" xfId="0" applyFont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44" fontId="0" fillId="0" borderId="29" xfId="1" applyFont="1" applyFill="1" applyBorder="1" applyAlignment="1">
      <alignment horizontal="center" vertical="center"/>
    </xf>
    <xf numFmtId="44" fontId="1" fillId="0" borderId="29" xfId="1" applyFont="1" applyFill="1" applyBorder="1" applyAlignment="1">
      <alignment horizontal="center" vertical="center"/>
    </xf>
    <xf numFmtId="44" fontId="17" fillId="0" borderId="29" xfId="1" applyFont="1" applyFill="1" applyBorder="1" applyAlignment="1">
      <alignment horizontal="center" vertical="center"/>
    </xf>
    <xf numFmtId="0" fontId="17" fillId="0" borderId="29" xfId="1" applyNumberFormat="1" applyFont="1" applyFill="1" applyBorder="1" applyAlignment="1">
      <alignment horizontal="center" vertical="center"/>
    </xf>
    <xf numFmtId="2" fontId="17" fillId="0" borderId="29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18" fillId="0" borderId="13" xfId="0" applyFont="1" applyBorder="1" applyAlignment="1">
      <alignment horizontal="center" vertical="center"/>
    </xf>
    <xf numFmtId="0" fontId="0" fillId="0" borderId="13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wrapText="1"/>
    </xf>
    <xf numFmtId="0" fontId="0" fillId="0" borderId="29" xfId="1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64" fontId="0" fillId="0" borderId="28" xfId="1" applyNumberFormat="1" applyFont="1" applyFill="1" applyBorder="1" applyAlignment="1">
      <alignment vertical="center"/>
    </xf>
    <xf numFmtId="164" fontId="0" fillId="0" borderId="29" xfId="1" applyNumberFormat="1" applyFont="1" applyFill="1" applyBorder="1" applyAlignment="1">
      <alignment vertical="center"/>
    </xf>
    <xf numFmtId="165" fontId="0" fillId="0" borderId="29" xfId="1" applyNumberFormat="1" applyFont="1" applyFill="1" applyBorder="1" applyAlignment="1">
      <alignment vertical="center"/>
    </xf>
    <xf numFmtId="0" fontId="0" fillId="0" borderId="12" xfId="0" applyBorder="1" applyAlignment="1">
      <alignment horizontal="left" vertical="center"/>
    </xf>
    <xf numFmtId="164" fontId="0" fillId="0" borderId="33" xfId="1" applyNumberFormat="1" applyFont="1" applyFill="1" applyBorder="1" applyAlignment="1">
      <alignment vertical="center"/>
    </xf>
    <xf numFmtId="0" fontId="18" fillId="0" borderId="12" xfId="0" applyFont="1" applyBorder="1" applyAlignment="1">
      <alignment horizontal="left" vertical="center"/>
    </xf>
    <xf numFmtId="167" fontId="17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44" fontId="19" fillId="0" borderId="13" xfId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0" fontId="17" fillId="0" borderId="34" xfId="0" applyFont="1" applyBorder="1" applyAlignment="1">
      <alignment horizontal="left" vertical="center" wrapText="1"/>
    </xf>
    <xf numFmtId="0" fontId="17" fillId="0" borderId="34" xfId="0" applyFont="1" applyBorder="1" applyAlignment="1">
      <alignment horizontal="center" vertical="center"/>
    </xf>
    <xf numFmtId="44" fontId="17" fillId="0" borderId="34" xfId="1" applyFont="1" applyFill="1" applyBorder="1" applyAlignment="1">
      <alignment horizontal="center" vertical="center"/>
    </xf>
    <xf numFmtId="44" fontId="19" fillId="0" borderId="34" xfId="1" applyFont="1" applyFill="1" applyBorder="1" applyAlignment="1">
      <alignment horizontal="center" vertical="center"/>
    </xf>
    <xf numFmtId="0" fontId="17" fillId="0" borderId="34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0" fillId="0" borderId="17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0" fillId="0" borderId="23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 wrapText="1"/>
    </xf>
    <xf numFmtId="0" fontId="0" fillId="3" borderId="0" xfId="0" applyFill="1"/>
    <xf numFmtId="0" fontId="17" fillId="0" borderId="28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12" xfId="0" applyFont="1" applyBorder="1" applyAlignment="1">
      <alignment horizontal="left" vertical="center" wrapText="1"/>
    </xf>
    <xf numFmtId="44" fontId="17" fillId="0" borderId="13" xfId="2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37" xfId="0" applyFont="1" applyBorder="1" applyAlignment="1">
      <alignment horizontal="left" vertical="center" wrapText="1"/>
    </xf>
    <xf numFmtId="44" fontId="17" fillId="0" borderId="16" xfId="1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3" fillId="7" borderId="22" xfId="0" applyFont="1" applyFill="1" applyBorder="1" applyAlignment="1">
      <alignment horizontal="left" vertical="center"/>
    </xf>
    <xf numFmtId="0" fontId="24" fillId="7" borderId="16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44" fontId="2" fillId="7" borderId="16" xfId="1" applyFont="1" applyFill="1" applyBorder="1" applyAlignment="1">
      <alignment vertical="center"/>
    </xf>
    <xf numFmtId="0" fontId="2" fillId="7" borderId="16" xfId="1" applyNumberFormat="1" applyFont="1" applyFill="1" applyBorder="1" applyAlignment="1">
      <alignment horizontal="center" vertical="center"/>
    </xf>
    <xf numFmtId="2" fontId="2" fillId="7" borderId="16" xfId="0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164" fontId="0" fillId="0" borderId="24" xfId="1" applyNumberFormat="1" applyFont="1" applyFill="1" applyBorder="1"/>
    <xf numFmtId="164" fontId="0" fillId="0" borderId="33" xfId="1" applyNumberFormat="1" applyFont="1" applyFill="1" applyBorder="1"/>
    <xf numFmtId="165" fontId="0" fillId="0" borderId="23" xfId="1" applyNumberFormat="1" applyFont="1" applyFill="1" applyBorder="1"/>
    <xf numFmtId="165" fontId="0" fillId="0" borderId="21" xfId="1" applyNumberFormat="1" applyFont="1" applyFill="1" applyBorder="1"/>
    <xf numFmtId="0" fontId="4" fillId="0" borderId="0" xfId="0" applyFont="1"/>
    <xf numFmtId="0" fontId="2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 wrapText="1"/>
    </xf>
    <xf numFmtId="0" fontId="2" fillId="7" borderId="40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right" vertical="center"/>
    </xf>
    <xf numFmtId="44" fontId="2" fillId="7" borderId="40" xfId="1" applyFont="1" applyFill="1" applyBorder="1" applyAlignment="1">
      <alignment vertical="center"/>
    </xf>
    <xf numFmtId="0" fontId="2" fillId="7" borderId="40" xfId="1" applyNumberFormat="1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vertical="center"/>
    </xf>
    <xf numFmtId="2" fontId="2" fillId="7" borderId="40" xfId="0" applyNumberFormat="1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0" fillId="2" borderId="42" xfId="0" applyFill="1" applyBorder="1"/>
    <xf numFmtId="0" fontId="0" fillId="2" borderId="1" xfId="0" applyFill="1" applyBorder="1"/>
    <xf numFmtId="0" fontId="0" fillId="2" borderId="3" xfId="0" applyFill="1" applyBorder="1"/>
    <xf numFmtId="44" fontId="0" fillId="0" borderId="0" xfId="1" applyFont="1" applyFill="1"/>
    <xf numFmtId="44" fontId="0" fillId="0" borderId="0" xfId="1" applyFont="1"/>
    <xf numFmtId="44" fontId="0" fillId="2" borderId="0" xfId="1" applyFont="1" applyFill="1" applyBorder="1"/>
    <xf numFmtId="44" fontId="10" fillId="2" borderId="0" xfId="1" applyFont="1" applyFill="1" applyBorder="1" applyAlignment="1">
      <alignment horizontal="left" vertical="top"/>
    </xf>
    <xf numFmtId="44" fontId="10" fillId="2" borderId="0" xfId="1" applyFont="1" applyFill="1" applyBorder="1" applyAlignment="1">
      <alignment horizontal="right" vertical="top"/>
    </xf>
    <xf numFmtId="0" fontId="0" fillId="2" borderId="10" xfId="0" applyFill="1" applyBorder="1"/>
    <xf numFmtId="0" fontId="0" fillId="2" borderId="9" xfId="0" applyFill="1" applyBorder="1"/>
    <xf numFmtId="0" fontId="10" fillId="2" borderId="9" xfId="0" applyFont="1" applyFill="1" applyBorder="1"/>
    <xf numFmtId="0" fontId="25" fillId="8" borderId="5" xfId="0" applyFont="1" applyFill="1" applyBorder="1"/>
    <xf numFmtId="0" fontId="25" fillId="8" borderId="8" xfId="0" applyFont="1" applyFill="1" applyBorder="1"/>
    <xf numFmtId="164" fontId="0" fillId="0" borderId="0" xfId="1" applyNumberFormat="1" applyFont="1"/>
    <xf numFmtId="44" fontId="25" fillId="6" borderId="7" xfId="1" applyFont="1" applyFill="1" applyBorder="1"/>
    <xf numFmtId="0" fontId="25" fillId="0" borderId="42" xfId="0" applyFont="1" applyBorder="1"/>
    <xf numFmtId="0" fontId="25" fillId="0" borderId="1" xfId="0" applyFont="1" applyBorder="1"/>
    <xf numFmtId="165" fontId="0" fillId="0" borderId="0" xfId="1" applyNumberFormat="1" applyFont="1"/>
    <xf numFmtId="0" fontId="25" fillId="2" borderId="44" xfId="0" applyFont="1" applyFill="1" applyBorder="1"/>
    <xf numFmtId="0" fontId="25" fillId="0" borderId="3" xfId="0" applyFont="1" applyBorder="1"/>
    <xf numFmtId="0" fontId="25" fillId="0" borderId="0" xfId="0" applyFont="1"/>
    <xf numFmtId="0" fontId="25" fillId="2" borderId="32" xfId="0" applyFont="1" applyFill="1" applyBorder="1"/>
    <xf numFmtId="0" fontId="25" fillId="0" borderId="10" xfId="0" applyFont="1" applyBorder="1"/>
    <xf numFmtId="0" fontId="25" fillId="0" borderId="9" xfId="0" applyFont="1" applyBorder="1"/>
    <xf numFmtId="164" fontId="4" fillId="0" borderId="0" xfId="0" applyNumberFormat="1" applyFont="1"/>
    <xf numFmtId="0" fontId="5" fillId="0" borderId="0" xfId="0" applyFont="1"/>
    <xf numFmtId="44" fontId="4" fillId="6" borderId="0" xfId="1" applyFont="1" applyFill="1" applyBorder="1"/>
    <xf numFmtId="44" fontId="4" fillId="6" borderId="45" xfId="1" applyFont="1" applyFill="1" applyBorder="1"/>
    <xf numFmtId="0" fontId="5" fillId="0" borderId="5" xfId="0" applyFont="1" applyBorder="1"/>
    <xf numFmtId="44" fontId="4" fillId="6" borderId="6" xfId="1" applyFont="1" applyFill="1" applyBorder="1"/>
    <xf numFmtId="44" fontId="4" fillId="0" borderId="0" xfId="1" applyFont="1"/>
    <xf numFmtId="166" fontId="0" fillId="0" borderId="18" xfId="0" applyNumberFormat="1" applyFill="1" applyBorder="1" applyAlignment="1">
      <alignment horizontal="center" vertical="center"/>
    </xf>
    <xf numFmtId="166" fontId="0" fillId="0" borderId="23" xfId="0" applyNumberFormat="1" applyFill="1" applyBorder="1" applyAlignment="1">
      <alignment horizontal="center" vertical="center"/>
    </xf>
    <xf numFmtId="166" fontId="0" fillId="0" borderId="20" xfId="0" applyNumberFormat="1" applyFill="1" applyBorder="1" applyAlignment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166" fontId="0" fillId="0" borderId="17" xfId="0" applyNumberFormat="1" applyFill="1" applyBorder="1" applyAlignment="1">
      <alignment horizontal="center" vertical="center"/>
    </xf>
    <xf numFmtId="166" fontId="0" fillId="0" borderId="29" xfId="0" applyNumberForma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6" fontId="26" fillId="0" borderId="7" xfId="0" applyNumberFormat="1" applyFont="1" applyBorder="1" applyAlignment="1">
      <alignment horizontal="center" vertical="center" wrapText="1"/>
    </xf>
    <xf numFmtId="166" fontId="26" fillId="0" borderId="32" xfId="0" applyNumberFormat="1" applyFont="1" applyBorder="1" applyAlignment="1">
      <alignment horizontal="center" vertical="center" wrapText="1"/>
    </xf>
    <xf numFmtId="166" fontId="26" fillId="0" borderId="7" xfId="0" applyNumberFormat="1" applyFont="1" applyFill="1" applyBorder="1" applyAlignment="1">
      <alignment horizontal="center" vertical="center" wrapText="1"/>
    </xf>
    <xf numFmtId="165" fontId="0" fillId="0" borderId="18" xfId="1" applyNumberFormat="1" applyFont="1" applyFill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164" fontId="0" fillId="0" borderId="13" xfId="1" applyNumberFormat="1" applyFont="1" applyFill="1" applyBorder="1" applyAlignment="1">
      <alignment vertical="center"/>
    </xf>
    <xf numFmtId="165" fontId="0" fillId="0" borderId="13" xfId="1" applyNumberFormat="1" applyFont="1" applyFill="1" applyBorder="1" applyAlignment="1">
      <alignment vertical="center"/>
    </xf>
    <xf numFmtId="165" fontId="0" fillId="0" borderId="14" xfId="1" applyNumberFormat="1" applyFont="1" applyFill="1" applyBorder="1" applyAlignment="1">
      <alignment vertical="center"/>
    </xf>
    <xf numFmtId="165" fontId="0" fillId="0" borderId="17" xfId="1" applyNumberFormat="1" applyFont="1" applyFill="1" applyBorder="1" applyAlignment="1">
      <alignment vertical="center"/>
    </xf>
    <xf numFmtId="165" fontId="0" fillId="0" borderId="30" xfId="1" applyNumberFormat="1" applyFont="1" applyFill="1" applyBorder="1" applyAlignment="1">
      <alignment vertical="center"/>
    </xf>
    <xf numFmtId="164" fontId="0" fillId="0" borderId="38" xfId="1" applyNumberFormat="1" applyFont="1" applyFill="1" applyBorder="1" applyAlignment="1">
      <alignment vertical="center"/>
    </xf>
    <xf numFmtId="164" fontId="0" fillId="0" borderId="18" xfId="1" applyNumberFormat="1" applyFont="1" applyFill="1" applyBorder="1" applyAlignment="1">
      <alignment vertical="center"/>
    </xf>
    <xf numFmtId="164" fontId="17" fillId="0" borderId="29" xfId="1" applyNumberFormat="1" applyFont="1" applyFill="1" applyBorder="1" applyAlignment="1">
      <alignment vertical="center"/>
    </xf>
    <xf numFmtId="165" fontId="17" fillId="0" borderId="29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47" xfId="1" applyNumberFormat="1" applyFont="1" applyFill="1" applyBorder="1" applyAlignment="1">
      <alignment vertical="center"/>
    </xf>
    <xf numFmtId="165" fontId="0" fillId="0" borderId="20" xfId="1" applyNumberFormat="1" applyFont="1" applyFill="1" applyBorder="1" applyAlignment="1">
      <alignment horizontal="center" vertical="center"/>
    </xf>
    <xf numFmtId="164" fontId="0" fillId="0" borderId="51" xfId="1" applyNumberFormat="1" applyFont="1" applyFill="1" applyBorder="1" applyAlignment="1">
      <alignment vertical="center"/>
    </xf>
    <xf numFmtId="164" fontId="0" fillId="0" borderId="36" xfId="1" applyNumberFormat="1" applyFont="1" applyFill="1" applyBorder="1" applyAlignment="1">
      <alignment vertical="center"/>
    </xf>
    <xf numFmtId="164" fontId="0" fillId="0" borderId="52" xfId="1" applyNumberFormat="1" applyFont="1" applyFill="1" applyBorder="1" applyAlignment="1">
      <alignment vertical="center"/>
    </xf>
    <xf numFmtId="164" fontId="0" fillId="0" borderId="22" xfId="1" applyNumberFormat="1" applyFont="1" applyFill="1" applyBorder="1"/>
    <xf numFmtId="164" fontId="0" fillId="0" borderId="50" xfId="1" applyNumberFormat="1" applyFont="1" applyFill="1" applyBorder="1"/>
    <xf numFmtId="165" fontId="0" fillId="0" borderId="16" xfId="1" applyNumberFormat="1" applyFont="1" applyFill="1" applyBorder="1"/>
    <xf numFmtId="165" fontId="0" fillId="0" borderId="27" xfId="1" applyNumberFormat="1" applyFont="1" applyFill="1" applyBorder="1"/>
    <xf numFmtId="164" fontId="0" fillId="0" borderId="31" xfId="1" applyNumberFormat="1" applyFont="1" applyFill="1" applyBorder="1" applyAlignment="1">
      <alignment vertical="center"/>
    </xf>
    <xf numFmtId="44" fontId="0" fillId="0" borderId="0" xfId="0" applyNumberFormat="1"/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4" fontId="4" fillId="3" borderId="13" xfId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4" fontId="4" fillId="4" borderId="5" xfId="1" applyNumberFormat="1" applyFont="1" applyFill="1" applyBorder="1" applyAlignment="1">
      <alignment horizontal="center" vertical="center"/>
    </xf>
    <xf numFmtId="164" fontId="4" fillId="4" borderId="7" xfId="1" applyNumberFormat="1" applyFont="1" applyFill="1" applyBorder="1" applyAlignment="1">
      <alignment horizontal="center" vertical="center" wrapText="1"/>
    </xf>
    <xf numFmtId="164" fontId="4" fillId="3" borderId="32" xfId="1" applyNumberFormat="1" applyFont="1" applyFill="1" applyBorder="1"/>
    <xf numFmtId="165" fontId="4" fillId="3" borderId="32" xfId="1" applyNumberFormat="1" applyFont="1" applyFill="1" applyBorder="1"/>
    <xf numFmtId="165" fontId="4" fillId="0" borderId="0" xfId="1" applyNumberFormat="1" applyFont="1"/>
    <xf numFmtId="44" fontId="4" fillId="0" borderId="0" xfId="0" applyNumberFormat="1" applyFont="1"/>
    <xf numFmtId="0" fontId="27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7" fillId="3" borderId="14" xfId="0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7" borderId="27" xfId="0" applyFont="1" applyFill="1" applyBorder="1" applyAlignment="1">
      <alignment horizontal="center" vertical="center"/>
    </xf>
    <xf numFmtId="0" fontId="27" fillId="7" borderId="4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44" xfId="0" applyFont="1" applyBorder="1" applyAlignment="1">
      <alignment horizontal="center" vertical="center"/>
    </xf>
    <xf numFmtId="166" fontId="0" fillId="3" borderId="18" xfId="0" applyNumberFormat="1" applyFill="1" applyBorder="1" applyAlignment="1">
      <alignment horizontal="center" vertical="center"/>
    </xf>
    <xf numFmtId="166" fontId="0" fillId="3" borderId="23" xfId="0" applyNumberFormat="1" applyFill="1" applyBorder="1" applyAlignment="1">
      <alignment horizontal="center" vertical="center"/>
    </xf>
    <xf numFmtId="166" fontId="0" fillId="3" borderId="13" xfId="0" applyNumberFormat="1" applyFill="1" applyBorder="1" applyAlignment="1">
      <alignment horizontal="center" vertical="center"/>
    </xf>
    <xf numFmtId="166" fontId="3" fillId="3" borderId="17" xfId="0" applyNumberFormat="1" applyFont="1" applyFill="1" applyBorder="1" applyAlignment="1">
      <alignment horizontal="center" vertical="center"/>
    </xf>
    <xf numFmtId="166" fontId="0" fillId="3" borderId="29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1" fontId="0" fillId="3" borderId="17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1" fontId="17" fillId="3" borderId="29" xfId="0" applyNumberFormat="1" applyFont="1" applyFill="1" applyBorder="1" applyAlignment="1">
      <alignment horizontal="center" vertical="center"/>
    </xf>
    <xf numFmtId="1" fontId="17" fillId="3" borderId="13" xfId="0" applyNumberFormat="1" applyFont="1" applyFill="1" applyBorder="1" applyAlignment="1">
      <alignment horizontal="center" vertical="center"/>
    </xf>
    <xf numFmtId="1" fontId="17" fillId="3" borderId="16" xfId="0" applyNumberFormat="1" applyFont="1" applyFill="1" applyBorder="1" applyAlignment="1">
      <alignment horizontal="center" vertical="center"/>
    </xf>
    <xf numFmtId="0" fontId="17" fillId="0" borderId="23" xfId="0" applyFont="1" applyBorder="1" applyAlignment="1">
      <alignment horizontal="left" vertical="center" wrapText="1"/>
    </xf>
    <xf numFmtId="166" fontId="3" fillId="3" borderId="23" xfId="0" applyNumberFormat="1" applyFont="1" applyFill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17" fillId="0" borderId="13" xfId="0" applyFont="1" applyBorder="1" applyAlignment="1">
      <alignment horizontal="center" vertical="center" wrapText="1"/>
    </xf>
    <xf numFmtId="164" fontId="0" fillId="0" borderId="24" xfId="1" applyNumberFormat="1" applyFont="1" applyFill="1" applyBorder="1" applyAlignment="1">
      <alignment horizontal="center" vertical="center"/>
    </xf>
    <xf numFmtId="164" fontId="0" fillId="0" borderId="33" xfId="1" applyNumberFormat="1" applyFont="1" applyFill="1" applyBorder="1" applyAlignment="1">
      <alignment horizontal="center" vertical="center"/>
    </xf>
    <xf numFmtId="165" fontId="0" fillId="0" borderId="23" xfId="1" applyNumberFormat="1" applyFont="1" applyFill="1" applyBorder="1" applyAlignment="1">
      <alignment horizontal="center" vertical="center"/>
    </xf>
    <xf numFmtId="165" fontId="0" fillId="0" borderId="21" xfId="1" applyNumberFormat="1" applyFont="1" applyFill="1" applyBorder="1" applyAlignment="1">
      <alignment horizontal="center" vertical="center"/>
    </xf>
    <xf numFmtId="164" fontId="0" fillId="0" borderId="39" xfId="1" applyNumberFormat="1" applyFont="1" applyFill="1" applyBorder="1" applyAlignment="1">
      <alignment horizontal="center" vertical="center"/>
    </xf>
    <xf numFmtId="164" fontId="0" fillId="0" borderId="43" xfId="1" applyNumberFormat="1" applyFont="1" applyFill="1" applyBorder="1" applyAlignment="1">
      <alignment horizontal="center" vertical="center"/>
    </xf>
    <xf numFmtId="165" fontId="0" fillId="0" borderId="40" xfId="1" applyNumberFormat="1" applyFont="1" applyFill="1" applyBorder="1" applyAlignment="1">
      <alignment horizontal="center" vertical="center"/>
    </xf>
    <xf numFmtId="165" fontId="0" fillId="0" borderId="41" xfId="1" applyNumberFormat="1" applyFont="1" applyFill="1" applyBorder="1" applyAlignment="1">
      <alignment horizontal="center" vertical="center"/>
    </xf>
    <xf numFmtId="165" fontId="4" fillId="0" borderId="49" xfId="1" applyNumberFormat="1" applyFont="1" applyFill="1" applyBorder="1" applyAlignment="1">
      <alignment vertical="center"/>
    </xf>
    <xf numFmtId="165" fontId="4" fillId="0" borderId="14" xfId="1" applyNumberFormat="1" applyFont="1" applyFill="1" applyBorder="1" applyAlignment="1">
      <alignment vertical="center"/>
    </xf>
    <xf numFmtId="165" fontId="0" fillId="6" borderId="49" xfId="1" applyNumberFormat="1" applyFont="1" applyFill="1" applyBorder="1" applyAlignment="1">
      <alignment vertical="center"/>
    </xf>
    <xf numFmtId="165" fontId="0" fillId="6" borderId="14" xfId="1" applyNumberFormat="1" applyFont="1" applyFill="1" applyBorder="1" applyAlignment="1">
      <alignment vertical="center"/>
    </xf>
    <xf numFmtId="165" fontId="0" fillId="6" borderId="30" xfId="1" applyNumberFormat="1" applyFont="1" applyFill="1" applyBorder="1" applyAlignment="1">
      <alignment vertical="center"/>
    </xf>
    <xf numFmtId="165" fontId="17" fillId="9" borderId="30" xfId="1" applyNumberFormat="1" applyFont="1" applyFill="1" applyBorder="1" applyAlignment="1">
      <alignment vertical="center"/>
    </xf>
    <xf numFmtId="165" fontId="0" fillId="9" borderId="26" xfId="1" applyNumberFormat="1" applyFont="1" applyFill="1" applyBorder="1" applyAlignment="1">
      <alignment horizontal="center" vertical="center"/>
    </xf>
    <xf numFmtId="165" fontId="0" fillId="9" borderId="14" xfId="1" applyNumberFormat="1" applyFont="1" applyFill="1" applyBorder="1" applyAlignment="1">
      <alignment vertical="center"/>
    </xf>
    <xf numFmtId="165" fontId="0" fillId="9" borderId="27" xfId="1" applyNumberFormat="1" applyFont="1" applyFill="1" applyBorder="1" applyAlignment="1">
      <alignment vertical="center"/>
    </xf>
    <xf numFmtId="165" fontId="0" fillId="9" borderId="21" xfId="1" applyNumberFormat="1" applyFont="1" applyFill="1" applyBorder="1" applyAlignment="1">
      <alignment vertical="center"/>
    </xf>
    <xf numFmtId="165" fontId="0" fillId="9" borderId="26" xfId="1" applyNumberFormat="1" applyFont="1" applyFill="1" applyBorder="1" applyAlignment="1">
      <alignment vertical="center"/>
    </xf>
    <xf numFmtId="165" fontId="0" fillId="9" borderId="0" xfId="1" applyNumberFormat="1" applyFont="1" applyFill="1"/>
    <xf numFmtId="0" fontId="17" fillId="0" borderId="38" xfId="0" applyFont="1" applyBorder="1" applyAlignment="1">
      <alignment horizontal="left" vertical="center" wrapText="1"/>
    </xf>
    <xf numFmtId="0" fontId="17" fillId="0" borderId="37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27" fillId="0" borderId="48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horizontal="center"/>
    </xf>
    <xf numFmtId="164" fontId="7" fillId="2" borderId="8" xfId="1" applyNumberFormat="1" applyFont="1" applyFill="1" applyBorder="1" applyAlignment="1">
      <alignment horizontal="center"/>
    </xf>
    <xf numFmtId="164" fontId="7" fillId="2" borderId="6" xfId="1" applyNumberFormat="1" applyFont="1" applyFill="1" applyBorder="1" applyAlignment="1">
      <alignment horizontal="center"/>
    </xf>
    <xf numFmtId="165" fontId="4" fillId="0" borderId="49" xfId="1" applyNumberFormat="1" applyFont="1" applyFill="1" applyBorder="1" applyAlignment="1">
      <alignment horizontal="center" vertical="center"/>
    </xf>
    <xf numFmtId="165" fontId="4" fillId="0" borderId="35" xfId="1" applyNumberFormat="1" applyFont="1" applyFill="1" applyBorder="1" applyAlignment="1">
      <alignment horizontal="center" vertical="center"/>
    </xf>
    <xf numFmtId="165" fontId="4" fillId="0" borderId="30" xfId="1" applyNumberFormat="1" applyFont="1" applyFill="1" applyBorder="1" applyAlignment="1">
      <alignment horizontal="center" vertical="center"/>
    </xf>
    <xf numFmtId="165" fontId="0" fillId="9" borderId="49" xfId="1" applyNumberFormat="1" applyFont="1" applyFill="1" applyBorder="1" applyAlignment="1">
      <alignment horizontal="center" vertical="center"/>
    </xf>
    <xf numFmtId="165" fontId="0" fillId="9" borderId="30" xfId="1" applyNumberFormat="1" applyFont="1" applyFill="1" applyBorder="1" applyAlignment="1">
      <alignment horizontal="center" vertical="center"/>
    </xf>
    <xf numFmtId="166" fontId="26" fillId="0" borderId="48" xfId="0" applyNumberFormat="1" applyFont="1" applyBorder="1" applyAlignment="1">
      <alignment horizontal="center" vertical="center" wrapText="1"/>
    </xf>
    <xf numFmtId="0" fontId="26" fillId="0" borderId="44" xfId="0" applyNumberFormat="1" applyFont="1" applyBorder="1" applyAlignment="1">
      <alignment horizontal="center" vertical="center" wrapText="1"/>
    </xf>
    <xf numFmtId="0" fontId="26" fillId="0" borderId="32" xfId="0" applyNumberFormat="1" applyFont="1" applyBorder="1" applyAlignment="1">
      <alignment horizontal="center" vertical="center" wrapText="1"/>
    </xf>
  </cellXfs>
  <cellStyles count="3">
    <cellStyle name="Moneda" xfId="1" builtinId="4"/>
    <cellStyle name="Moneda 2" xfId="2" xr:uid="{3E0BAA7B-C196-40E6-A20E-D97EDB1D78B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63499</xdr:rowOff>
    </xdr:from>
    <xdr:to>
      <xdr:col>2</xdr:col>
      <xdr:colOff>642939</xdr:colOff>
      <xdr:row>50</xdr:row>
      <xdr:rowOff>423332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7" t="11933" r="3328" b="19859"/>
        <a:stretch/>
      </xdr:blipFill>
      <xdr:spPr>
        <a:xfrm>
          <a:off x="0" y="14541499"/>
          <a:ext cx="3548064" cy="1436158"/>
        </a:xfrm>
        <a:prstGeom prst="rect">
          <a:avLst/>
        </a:prstGeom>
      </xdr:spPr>
    </xdr:pic>
    <xdr:clientData/>
  </xdr:twoCellAnchor>
  <xdr:twoCellAnchor editAs="oneCell">
    <xdr:from>
      <xdr:col>10</xdr:col>
      <xdr:colOff>656167</xdr:colOff>
      <xdr:row>49</xdr:row>
      <xdr:rowOff>127001</xdr:rowOff>
    </xdr:from>
    <xdr:to>
      <xdr:col>12</xdr:col>
      <xdr:colOff>429785</xdr:colOff>
      <xdr:row>51</xdr:row>
      <xdr:rowOff>254000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62" t="7502" b="52488"/>
        <a:stretch/>
      </xdr:blipFill>
      <xdr:spPr>
        <a:xfrm>
          <a:off x="10181167" y="14986001"/>
          <a:ext cx="2240593" cy="1355724"/>
        </a:xfrm>
        <a:prstGeom prst="rect">
          <a:avLst/>
        </a:prstGeom>
      </xdr:spPr>
    </xdr:pic>
    <xdr:clientData/>
  </xdr:twoCellAnchor>
  <xdr:oneCellAnchor>
    <xdr:from>
      <xdr:col>4</xdr:col>
      <xdr:colOff>92869</xdr:colOff>
      <xdr:row>0</xdr:row>
      <xdr:rowOff>57150</xdr:rowOff>
    </xdr:from>
    <xdr:ext cx="3200400" cy="924805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50669" y="57150"/>
          <a:ext cx="3200400" cy="924805"/>
        </a:xfrm>
        <a:prstGeom prst="rect">
          <a:avLst/>
        </a:prstGeom>
        <a:noFill/>
      </xdr:spPr>
      <xdr:txBody>
        <a:bodyPr wrap="square" lIns="91440" tIns="45720" rIns="91440" bIns="45720" anchor="ctr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Schoolbook" panose="02040604050505020304" pitchFamily="18" charset="0"/>
            </a:rPr>
            <a:t>Lenmarq</a:t>
          </a:r>
        </a:p>
      </xdr:txBody>
    </xdr:sp>
    <xdr:clientData/>
  </xdr:oneCellAnchor>
  <xdr:twoCellAnchor>
    <xdr:from>
      <xdr:col>0</xdr:col>
      <xdr:colOff>952500</xdr:colOff>
      <xdr:row>50</xdr:row>
      <xdr:rowOff>125676</xdr:rowOff>
    </xdr:from>
    <xdr:to>
      <xdr:col>0</xdr:col>
      <xdr:colOff>1158875</xdr:colOff>
      <xdr:row>51</xdr:row>
      <xdr:rowOff>275166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952500" y="15680001"/>
          <a:ext cx="206375" cy="682890"/>
        </a:xfrm>
        <a:prstGeom prst="straightConnector1">
          <a:avLst/>
        </a:prstGeom>
        <a:ln w="28575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497037</xdr:colOff>
      <xdr:row>46</xdr:row>
      <xdr:rowOff>184676</xdr:rowOff>
    </xdr:from>
    <xdr:to>
      <xdr:col>11</xdr:col>
      <xdr:colOff>624417</xdr:colOff>
      <xdr:row>49</xdr:row>
      <xdr:rowOff>433916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cxnSpLocks/>
        </xdr:cNvCxnSpPr>
      </xdr:nvCxnSpPr>
      <xdr:spPr>
        <a:xfrm>
          <a:off x="11098362" y="14472176"/>
          <a:ext cx="127380" cy="820740"/>
        </a:xfrm>
        <a:prstGeom prst="straightConnector1">
          <a:avLst/>
        </a:prstGeom>
        <a:ln w="28575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137584</xdr:colOff>
      <xdr:row>45</xdr:row>
      <xdr:rowOff>84669</xdr:rowOff>
    </xdr:from>
    <xdr:to>
      <xdr:col>9</xdr:col>
      <xdr:colOff>488933</xdr:colOff>
      <xdr:row>53</xdr:row>
      <xdr:rowOff>52918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55" t="1524" r="18395" b="4381"/>
        <a:stretch/>
      </xdr:blipFill>
      <xdr:spPr>
        <a:xfrm>
          <a:off x="8159751" y="14033502"/>
          <a:ext cx="1166266" cy="2730499"/>
        </a:xfrm>
        <a:prstGeom prst="rect">
          <a:avLst/>
        </a:prstGeom>
      </xdr:spPr>
    </xdr:pic>
    <xdr:clientData/>
  </xdr:twoCellAnchor>
  <xdr:twoCellAnchor editAs="oneCell">
    <xdr:from>
      <xdr:col>0</xdr:col>
      <xdr:colOff>84667</xdr:colOff>
      <xdr:row>0</xdr:row>
      <xdr:rowOff>0</xdr:rowOff>
    </xdr:from>
    <xdr:to>
      <xdr:col>1</xdr:col>
      <xdr:colOff>1429045</xdr:colOff>
      <xdr:row>6</xdr:row>
      <xdr:rowOff>24130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15" t="3205" r="4454" b="9937"/>
        <a:stretch/>
      </xdr:blipFill>
      <xdr:spPr>
        <a:xfrm rot="16200000">
          <a:off x="686583" y="-601916"/>
          <a:ext cx="1325880" cy="2529711"/>
        </a:xfrm>
        <a:prstGeom prst="rect">
          <a:avLst/>
        </a:prstGeom>
      </xdr:spPr>
    </xdr:pic>
    <xdr:clientData/>
  </xdr:twoCellAnchor>
  <xdr:twoCellAnchor editAs="oneCell">
    <xdr:from>
      <xdr:col>3</xdr:col>
      <xdr:colOff>338671</xdr:colOff>
      <xdr:row>48</xdr:row>
      <xdr:rowOff>190499</xdr:rowOff>
    </xdr:from>
    <xdr:to>
      <xdr:col>6</xdr:col>
      <xdr:colOff>370417</xdr:colOff>
      <xdr:row>51</xdr:row>
      <xdr:rowOff>42336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15" t="3205" r="4454" b="9937"/>
        <a:stretch/>
      </xdr:blipFill>
      <xdr:spPr>
        <a:xfrm rot="16200000">
          <a:off x="5238750" y="13980586"/>
          <a:ext cx="1270004" cy="2730496"/>
        </a:xfrm>
        <a:prstGeom prst="rect">
          <a:avLst/>
        </a:prstGeom>
      </xdr:spPr>
    </xdr:pic>
    <xdr:clientData/>
  </xdr:twoCellAnchor>
  <xdr:twoCellAnchor>
    <xdr:from>
      <xdr:col>4</xdr:col>
      <xdr:colOff>751417</xdr:colOff>
      <xdr:row>47</xdr:row>
      <xdr:rowOff>74084</xdr:rowOff>
    </xdr:from>
    <xdr:to>
      <xdr:col>5</xdr:col>
      <xdr:colOff>433917</xdr:colOff>
      <xdr:row>49</xdr:row>
      <xdr:rowOff>444500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6021917" y="14403917"/>
          <a:ext cx="571500" cy="751416"/>
        </a:xfrm>
        <a:prstGeom prst="straightConnector1">
          <a:avLst/>
        </a:prstGeom>
        <a:ln w="28575">
          <a:solidFill>
            <a:srgbClr val="FF0000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635000</xdr:colOff>
      <xdr:row>51</xdr:row>
      <xdr:rowOff>74084</xdr:rowOff>
    </xdr:from>
    <xdr:to>
      <xdr:col>7</xdr:col>
      <xdr:colOff>52918</xdr:colOff>
      <xdr:row>53</xdr:row>
      <xdr:rowOff>86975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34" t="46724" r="55672" b="30682"/>
        <a:stretch/>
      </xdr:blipFill>
      <xdr:spPr>
        <a:xfrm>
          <a:off x="4804833" y="16012584"/>
          <a:ext cx="2741084" cy="785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346869</xdr:colOff>
      <xdr:row>1</xdr:row>
      <xdr:rowOff>195873</xdr:rowOff>
    </xdr:from>
    <xdr:ext cx="2224881" cy="647357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2369536" y="386373"/>
          <a:ext cx="2224881" cy="647357"/>
        </a:xfrm>
        <a:prstGeom prst="rect">
          <a:avLst/>
        </a:prstGeom>
        <a:noFill/>
      </xdr:spPr>
      <xdr:txBody>
        <a:bodyPr wrap="square" lIns="91440" tIns="45720" rIns="91440" bIns="45720" anchor="ctr">
          <a:spAutoFit/>
        </a:bodyPr>
        <a:lstStyle/>
        <a:p>
          <a:pPr algn="ctr"/>
          <a:r>
            <a:rPr lang="es-E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Schoolbook" panose="02040604050505020304" pitchFamily="18" charset="0"/>
            </a:rPr>
            <a:t>Lenmarq</a:t>
          </a:r>
        </a:p>
      </xdr:txBody>
    </xdr:sp>
    <xdr:clientData/>
  </xdr:oneCellAnchor>
  <xdr:twoCellAnchor editAs="oneCell">
    <xdr:from>
      <xdr:col>0</xdr:col>
      <xdr:colOff>42332</xdr:colOff>
      <xdr:row>0</xdr:row>
      <xdr:rowOff>84667</xdr:rowOff>
    </xdr:from>
    <xdr:to>
      <xdr:col>1</xdr:col>
      <xdr:colOff>1418166</xdr:colOff>
      <xdr:row>7</xdr:row>
      <xdr:rowOff>112890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74" t="16147" r="1718" b="5992"/>
        <a:stretch/>
      </xdr:blipFill>
      <xdr:spPr>
        <a:xfrm>
          <a:off x="42332" y="84667"/>
          <a:ext cx="2556934" cy="1523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3197-83FF-4C8E-B405-1052D4ED5249}">
  <sheetPr>
    <pageSetUpPr fitToPage="1"/>
  </sheetPr>
  <dimension ref="A1:BH71"/>
  <sheetViews>
    <sheetView tabSelected="1" zoomScale="90" zoomScaleNormal="90" workbookViewId="0">
      <pane ySplit="9" topLeftCell="A25" activePane="bottomLeft" state="frozen"/>
      <selection pane="bottomLeft" activeCell="E31" sqref="E31"/>
    </sheetView>
  </sheetViews>
  <sheetFormatPr baseColWidth="10" defaultRowHeight="15" x14ac:dyDescent="0.25"/>
  <cols>
    <col min="1" max="1" width="17.7109375" customWidth="1"/>
    <col min="2" max="2" width="25.85546875" customWidth="1"/>
    <col min="3" max="3" width="20" customWidth="1"/>
    <col min="4" max="4" width="16.42578125" customWidth="1"/>
    <col min="5" max="5" width="13.28515625" customWidth="1"/>
    <col min="6" max="6" width="10.5703125" customWidth="1"/>
    <col min="7" max="7" width="9.28515625" customWidth="1"/>
    <col min="8" max="8" width="8" customWidth="1"/>
    <col min="9" max="9" width="12.140625" customWidth="1"/>
    <col min="10" max="10" width="10.7109375" customWidth="1"/>
    <col min="11" max="11" width="16.140625" customWidth="1"/>
    <col min="12" max="12" width="20.85546875" customWidth="1"/>
    <col min="13" max="14" width="11.42578125" style="275" customWidth="1"/>
    <col min="15" max="15" width="13.42578125" customWidth="1"/>
    <col min="16" max="16" width="16.7109375" customWidth="1"/>
    <col min="17" max="17" width="14.42578125" bestFit="1" customWidth="1"/>
    <col min="18" max="20" width="13.28515625" bestFit="1" customWidth="1"/>
    <col min="22" max="22" width="13.28515625" bestFit="1" customWidth="1"/>
  </cols>
  <sheetData>
    <row r="1" spans="1:60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248"/>
      <c r="N1" s="248"/>
      <c r="O1" s="3"/>
      <c r="P1" s="3"/>
      <c r="Q1" s="4"/>
      <c r="R1" s="5"/>
    </row>
    <row r="2" spans="1:60" ht="15.75" thickBot="1" x14ac:dyDescent="0.3">
      <c r="A2" s="1"/>
      <c r="B2" s="1"/>
      <c r="C2" s="1" t="s">
        <v>0</v>
      </c>
      <c r="D2" s="6"/>
      <c r="E2" s="1"/>
      <c r="F2" s="1"/>
      <c r="G2" s="1"/>
      <c r="H2" s="1"/>
      <c r="I2" s="1"/>
      <c r="J2" s="1"/>
      <c r="K2" s="7" t="s">
        <v>1</v>
      </c>
      <c r="L2" s="8"/>
      <c r="M2" s="248"/>
      <c r="N2" s="248"/>
      <c r="O2" s="9"/>
      <c r="P2" s="10"/>
      <c r="Q2" s="11"/>
      <c r="R2" s="12"/>
    </row>
    <row r="3" spans="1:60" ht="24" thickBot="1" x14ac:dyDescent="0.4">
      <c r="A3" s="1"/>
      <c r="B3" s="1"/>
      <c r="C3" s="325">
        <v>13501</v>
      </c>
      <c r="D3" s="326"/>
      <c r="E3" s="1"/>
      <c r="F3" s="1"/>
      <c r="G3" s="1"/>
      <c r="H3" s="1"/>
      <c r="I3" s="1"/>
      <c r="J3" s="1"/>
      <c r="K3" s="13" t="s">
        <v>2</v>
      </c>
      <c r="L3" s="14">
        <v>202540</v>
      </c>
      <c r="M3" s="248"/>
      <c r="N3" s="248"/>
      <c r="O3" s="327" t="s">
        <v>3</v>
      </c>
      <c r="P3" s="328"/>
      <c r="Q3" s="328"/>
      <c r="R3" s="329"/>
    </row>
    <row r="4" spans="1:60" ht="16.5" thickBot="1" x14ac:dyDescent="0.3">
      <c r="A4" s="1"/>
      <c r="B4" s="1"/>
      <c r="C4" s="325" t="s">
        <v>4</v>
      </c>
      <c r="D4" s="326"/>
      <c r="E4" s="1"/>
      <c r="F4" s="1"/>
      <c r="G4" s="1"/>
      <c r="H4" s="1"/>
      <c r="I4" s="1"/>
      <c r="J4" s="1"/>
      <c r="K4" s="6" t="s">
        <v>5</v>
      </c>
      <c r="L4" s="15">
        <v>590</v>
      </c>
      <c r="M4" s="249"/>
      <c r="N4" s="248"/>
      <c r="O4" s="9"/>
      <c r="P4" s="10"/>
      <c r="Q4" s="11"/>
      <c r="R4" s="12"/>
    </row>
    <row r="5" spans="1:60" ht="15.75" thickBot="1" x14ac:dyDescent="0.3">
      <c r="A5" s="1"/>
      <c r="B5" s="1"/>
      <c r="C5" s="17" t="s">
        <v>6</v>
      </c>
      <c r="D5" s="18" t="s">
        <v>151</v>
      </c>
      <c r="E5" s="1"/>
      <c r="F5" s="1"/>
      <c r="G5" s="1"/>
      <c r="H5" s="1"/>
      <c r="I5" s="1"/>
      <c r="J5" s="1"/>
      <c r="K5" s="1"/>
      <c r="L5" s="19"/>
      <c r="M5" s="248"/>
      <c r="N5" s="248"/>
      <c r="O5" s="9"/>
      <c r="P5" s="10"/>
      <c r="Q5" s="11"/>
      <c r="R5" s="12"/>
    </row>
    <row r="6" spans="1:60" x14ac:dyDescent="0.25">
      <c r="A6" s="20"/>
      <c r="B6" s="21"/>
      <c r="C6" s="1"/>
      <c r="D6" s="1"/>
      <c r="E6" s="1"/>
      <c r="F6" s="1"/>
      <c r="G6" s="1"/>
      <c r="H6" s="1"/>
      <c r="I6" s="1"/>
      <c r="J6" s="1"/>
      <c r="K6" s="22" t="s">
        <v>8</v>
      </c>
      <c r="L6" s="23">
        <v>45940</v>
      </c>
      <c r="M6" s="250"/>
      <c r="N6" s="248"/>
      <c r="O6" s="9"/>
      <c r="P6" s="10"/>
      <c r="Q6" s="11"/>
      <c r="R6" s="12"/>
    </row>
    <row r="7" spans="1:60" ht="15.75" x14ac:dyDescent="0.25">
      <c r="A7" s="20" t="s">
        <v>9</v>
      </c>
      <c r="B7" s="21"/>
      <c r="C7" s="25" t="s">
        <v>10</v>
      </c>
      <c r="D7" s="1"/>
      <c r="E7" s="1"/>
      <c r="F7" s="1"/>
      <c r="G7" s="1"/>
      <c r="H7" s="1"/>
      <c r="I7" s="1"/>
      <c r="J7" s="26"/>
      <c r="K7" s="27"/>
      <c r="L7" s="28"/>
      <c r="M7" s="248"/>
      <c r="N7" s="248"/>
      <c r="O7" s="9"/>
      <c r="P7" s="29"/>
      <c r="Q7" s="11"/>
      <c r="R7" s="12"/>
    </row>
    <row r="8" spans="1:60" ht="36.75" customHeight="1" thickBot="1" x14ac:dyDescent="0.3">
      <c r="A8" s="30">
        <v>45252</v>
      </c>
      <c r="B8" s="31" t="s">
        <v>11</v>
      </c>
      <c r="C8" s="32" t="s">
        <v>12</v>
      </c>
      <c r="D8" s="1"/>
      <c r="E8" s="1"/>
      <c r="F8" s="1"/>
      <c r="G8" s="1"/>
      <c r="H8" s="1"/>
      <c r="I8" s="1"/>
      <c r="J8" s="33"/>
      <c r="K8" s="34" t="s">
        <v>13</v>
      </c>
      <c r="L8" s="35"/>
      <c r="M8" s="248"/>
      <c r="N8" s="248"/>
      <c r="O8" s="36"/>
      <c r="P8" s="37"/>
      <c r="Q8" s="38"/>
      <c r="R8" s="39"/>
    </row>
    <row r="9" spans="1:60" s="44" customFormat="1" ht="39.75" customHeight="1" thickBot="1" x14ac:dyDescent="0.3">
      <c r="A9" s="238" t="s">
        <v>14</v>
      </c>
      <c r="B9" s="239" t="s">
        <v>15</v>
      </c>
      <c r="C9" s="239" t="s">
        <v>16</v>
      </c>
      <c r="D9" s="239" t="s">
        <v>17</v>
      </c>
      <c r="E9" s="240" t="s">
        <v>18</v>
      </c>
      <c r="F9" s="240" t="s">
        <v>19</v>
      </c>
      <c r="G9" s="240" t="s">
        <v>20</v>
      </c>
      <c r="H9" s="240" t="s">
        <v>21</v>
      </c>
      <c r="I9" s="240" t="s">
        <v>22</v>
      </c>
      <c r="J9" s="240" t="s">
        <v>23</v>
      </c>
      <c r="K9" s="239" t="s">
        <v>24</v>
      </c>
      <c r="L9" s="241" t="s">
        <v>25</v>
      </c>
      <c r="M9" s="251" t="s">
        <v>26</v>
      </c>
      <c r="N9" s="251" t="s">
        <v>148</v>
      </c>
      <c r="O9" s="242" t="s">
        <v>28</v>
      </c>
      <c r="P9" s="243" t="s">
        <v>29</v>
      </c>
      <c r="Q9" s="243" t="s">
        <v>30</v>
      </c>
      <c r="R9" s="243" t="s">
        <v>31</v>
      </c>
    </row>
    <row r="10" spans="1:60" s="59" customFormat="1" ht="27" customHeight="1" x14ac:dyDescent="0.25">
      <c r="A10" s="45" t="s">
        <v>32</v>
      </c>
      <c r="B10" s="46" t="s">
        <v>33</v>
      </c>
      <c r="C10" s="47" t="s">
        <v>34</v>
      </c>
      <c r="D10" s="48" t="s">
        <v>35</v>
      </c>
      <c r="E10" s="49">
        <v>60</v>
      </c>
      <c r="F10" s="50">
        <v>60</v>
      </c>
      <c r="G10" s="51" t="s">
        <v>36</v>
      </c>
      <c r="H10" s="52">
        <v>137</v>
      </c>
      <c r="I10" s="53">
        <v>2.35</v>
      </c>
      <c r="J10" s="54" t="s">
        <v>37</v>
      </c>
      <c r="K10" s="282">
        <f>(I10*$L$4)/H10</f>
        <v>10.120437956204379</v>
      </c>
      <c r="L10" s="55" t="s">
        <v>38</v>
      </c>
      <c r="M10" s="322"/>
      <c r="N10" s="322"/>
      <c r="O10" s="56">
        <f>+F10/H10</f>
        <v>0.43795620437956206</v>
      </c>
      <c r="P10" s="57">
        <f>+I10*O10</f>
        <v>1.029197080291971</v>
      </c>
      <c r="Q10" s="215">
        <f>+P10*$L$4</f>
        <v>607.22627737226287</v>
      </c>
      <c r="R10" s="330">
        <f>+F10*N10</f>
        <v>0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s="59" customFormat="1" ht="27" customHeight="1" x14ac:dyDescent="0.25">
      <c r="A11" s="60" t="s">
        <v>39</v>
      </c>
      <c r="B11" s="46" t="s">
        <v>33</v>
      </c>
      <c r="C11" s="47" t="s">
        <v>34</v>
      </c>
      <c r="D11" s="48" t="s">
        <v>35</v>
      </c>
      <c r="E11" s="49">
        <v>60</v>
      </c>
      <c r="F11" s="61">
        <v>60</v>
      </c>
      <c r="G11" s="62" t="s">
        <v>36</v>
      </c>
      <c r="H11" s="63">
        <v>137</v>
      </c>
      <c r="I11" s="64">
        <v>2.25</v>
      </c>
      <c r="J11" s="65" t="s">
        <v>37</v>
      </c>
      <c r="K11" s="283">
        <f t="shared" ref="K11:K20" si="0">(I11*$L$4)/H11</f>
        <v>9.6897810218978098</v>
      </c>
      <c r="L11" s="66" t="s">
        <v>38</v>
      </c>
      <c r="M11" s="323"/>
      <c r="N11" s="323"/>
      <c r="O11" s="67">
        <f>+F11/H11</f>
        <v>0.43795620437956206</v>
      </c>
      <c r="P11" s="68">
        <f>+O11*I11</f>
        <v>0.98540145985401462</v>
      </c>
      <c r="Q11" s="69">
        <f t="shared" ref="Q11:Q23" si="1">+P11*$L$4</f>
        <v>581.38686131386862</v>
      </c>
      <c r="R11" s="331"/>
      <c r="S11"/>
      <c r="T11">
        <f>41765.23+5580</f>
        <v>47345.23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s="59" customFormat="1" ht="27" customHeight="1" x14ac:dyDescent="0.25">
      <c r="A12" s="70" t="s">
        <v>40</v>
      </c>
      <c r="B12" s="46" t="s">
        <v>33</v>
      </c>
      <c r="C12" s="47" t="s">
        <v>34</v>
      </c>
      <c r="D12" s="48" t="s">
        <v>35</v>
      </c>
      <c r="E12" s="49">
        <v>60</v>
      </c>
      <c r="F12" s="61">
        <v>60</v>
      </c>
      <c r="G12" s="62" t="s">
        <v>36</v>
      </c>
      <c r="H12" s="63">
        <v>137</v>
      </c>
      <c r="I12" s="65">
        <v>4.82</v>
      </c>
      <c r="J12" s="65" t="s">
        <v>37</v>
      </c>
      <c r="K12" s="283">
        <f t="shared" si="0"/>
        <v>20.757664233576644</v>
      </c>
      <c r="L12" s="66" t="s">
        <v>38</v>
      </c>
      <c r="M12" s="323"/>
      <c r="N12" s="323"/>
      <c r="O12" s="67">
        <f t="shared" ref="O12:O18" si="2">+F12/H12</f>
        <v>0.43795620437956206</v>
      </c>
      <c r="P12" s="68">
        <f t="shared" ref="P12:P20" si="3">+O12*I12</f>
        <v>2.1109489051094892</v>
      </c>
      <c r="Q12" s="69">
        <f t="shared" si="1"/>
        <v>1245.4598540145987</v>
      </c>
      <c r="R12" s="331"/>
      <c r="S12"/>
      <c r="T12"/>
      <c r="U12"/>
      <c r="V12" s="176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s="59" customFormat="1" ht="27" customHeight="1" x14ac:dyDescent="0.25">
      <c r="A13" s="71" t="s">
        <v>41</v>
      </c>
      <c r="B13" s="295" t="s">
        <v>33</v>
      </c>
      <c r="C13" s="65" t="s">
        <v>34</v>
      </c>
      <c r="D13" s="64" t="s">
        <v>35</v>
      </c>
      <c r="E13" s="49">
        <v>60</v>
      </c>
      <c r="F13" s="61">
        <v>60</v>
      </c>
      <c r="G13" s="62" t="s">
        <v>36</v>
      </c>
      <c r="H13" s="63">
        <v>137</v>
      </c>
      <c r="I13" s="64">
        <v>0.48</v>
      </c>
      <c r="J13" s="65" t="s">
        <v>37</v>
      </c>
      <c r="K13" s="283">
        <f t="shared" si="0"/>
        <v>2.0671532846715328</v>
      </c>
      <c r="L13" s="66" t="s">
        <v>38</v>
      </c>
      <c r="M13" s="323"/>
      <c r="N13" s="323"/>
      <c r="O13" s="67">
        <f t="shared" si="2"/>
        <v>0.43795620437956206</v>
      </c>
      <c r="P13" s="68">
        <f t="shared" si="3"/>
        <v>0.21021897810218979</v>
      </c>
      <c r="Q13" s="69">
        <f t="shared" si="1"/>
        <v>124.02919708029198</v>
      </c>
      <c r="R13" s="331"/>
      <c r="S13"/>
      <c r="T13"/>
      <c r="U13"/>
      <c r="V13" s="17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s="59" customFormat="1" ht="27" customHeight="1" x14ac:dyDescent="0.25">
      <c r="A14" s="71" t="s">
        <v>42</v>
      </c>
      <c r="B14" s="295" t="s">
        <v>33</v>
      </c>
      <c r="C14" s="65" t="s">
        <v>34</v>
      </c>
      <c r="D14" s="64" t="s">
        <v>35</v>
      </c>
      <c r="E14" s="49">
        <v>60</v>
      </c>
      <c r="F14" s="61">
        <v>60</v>
      </c>
      <c r="G14" s="62" t="s">
        <v>36</v>
      </c>
      <c r="H14" s="63">
        <v>137</v>
      </c>
      <c r="I14" s="64">
        <v>2.14</v>
      </c>
      <c r="J14" s="65" t="s">
        <v>37</v>
      </c>
      <c r="K14" s="296">
        <f t="shared" si="0"/>
        <v>9.2160583941605854</v>
      </c>
      <c r="L14" s="66" t="s">
        <v>38</v>
      </c>
      <c r="M14" s="323"/>
      <c r="N14" s="323"/>
      <c r="O14" s="67">
        <f t="shared" si="2"/>
        <v>0.43795620437956206</v>
      </c>
      <c r="P14" s="68">
        <f t="shared" si="3"/>
        <v>0.93722627737226283</v>
      </c>
      <c r="Q14" s="69">
        <f t="shared" si="1"/>
        <v>552.96350364963507</v>
      </c>
      <c r="R14" s="331"/>
      <c r="S14"/>
      <c r="T14"/>
      <c r="U14"/>
      <c r="V14" s="17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s="59" customFormat="1" ht="27" customHeight="1" thickBot="1" x14ac:dyDescent="0.3">
      <c r="A15" s="98" t="s">
        <v>43</v>
      </c>
      <c r="B15" s="99" t="s">
        <v>44</v>
      </c>
      <c r="C15" s="100" t="s">
        <v>34</v>
      </c>
      <c r="D15" s="101" t="s">
        <v>35</v>
      </c>
      <c r="E15" s="102">
        <v>60</v>
      </c>
      <c r="F15" s="103">
        <v>60</v>
      </c>
      <c r="G15" s="104" t="s">
        <v>36</v>
      </c>
      <c r="H15" s="105">
        <v>137</v>
      </c>
      <c r="I15" s="101">
        <v>7.452</v>
      </c>
      <c r="J15" s="100" t="s">
        <v>37</v>
      </c>
      <c r="K15" s="286">
        <f t="shared" si="0"/>
        <v>32.09255474452555</v>
      </c>
      <c r="L15" s="107" t="s">
        <v>38</v>
      </c>
      <c r="M15" s="324"/>
      <c r="N15" s="324"/>
      <c r="O15" s="116">
        <f t="shared" si="2"/>
        <v>0.43795620437956206</v>
      </c>
      <c r="P15" s="117">
        <f t="shared" si="3"/>
        <v>3.2636496350364963</v>
      </c>
      <c r="Q15" s="118">
        <f t="shared" si="1"/>
        <v>1925.5532846715328</v>
      </c>
      <c r="R15" s="332"/>
      <c r="S15"/>
      <c r="T15"/>
      <c r="U15"/>
      <c r="V15" s="17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ht="44.25" customHeight="1" x14ac:dyDescent="0.25">
      <c r="A16" s="93" t="s">
        <v>45</v>
      </c>
      <c r="B16" s="94" t="s">
        <v>46</v>
      </c>
      <c r="C16" s="54" t="s">
        <v>47</v>
      </c>
      <c r="D16" s="53" t="s">
        <v>48</v>
      </c>
      <c r="E16" s="51">
        <v>63</v>
      </c>
      <c r="F16" s="50">
        <f t="shared" ref="F16:F22" si="4">+E16*1.16</f>
        <v>73.08</v>
      </c>
      <c r="G16" s="95" t="s">
        <v>36</v>
      </c>
      <c r="H16" s="96">
        <v>137</v>
      </c>
      <c r="I16" s="97">
        <v>2.35</v>
      </c>
      <c r="J16" s="54" t="s">
        <v>37</v>
      </c>
      <c r="K16" s="285">
        <f>(I16*$L$4)/H16</f>
        <v>10.120437956204379</v>
      </c>
      <c r="L16" s="55" t="s">
        <v>38</v>
      </c>
      <c r="M16" s="322"/>
      <c r="N16" s="322"/>
      <c r="O16" s="56">
        <f>+F16/140</f>
        <v>0.52200000000000002</v>
      </c>
      <c r="P16" s="57">
        <f>+O16*I16</f>
        <v>1.2267000000000001</v>
      </c>
      <c r="Q16" s="220">
        <f t="shared" si="1"/>
        <v>723.75300000000004</v>
      </c>
      <c r="R16" s="333">
        <f>+F16*N16</f>
        <v>0</v>
      </c>
      <c r="V16" s="176"/>
    </row>
    <row r="17" spans="1:60" s="59" customFormat="1" ht="29.25" customHeight="1" thickBot="1" x14ac:dyDescent="0.3">
      <c r="A17" s="98" t="s">
        <v>49</v>
      </c>
      <c r="B17" s="99" t="s">
        <v>46</v>
      </c>
      <c r="C17" s="100" t="s">
        <v>47</v>
      </c>
      <c r="D17" s="101" t="s">
        <v>48</v>
      </c>
      <c r="E17" s="102">
        <v>63</v>
      </c>
      <c r="F17" s="103">
        <f t="shared" si="4"/>
        <v>73.08</v>
      </c>
      <c r="G17" s="104" t="s">
        <v>36</v>
      </c>
      <c r="H17" s="105">
        <v>137</v>
      </c>
      <c r="I17" s="106">
        <v>0.92</v>
      </c>
      <c r="J17" s="100" t="s">
        <v>37</v>
      </c>
      <c r="K17" s="286">
        <f t="shared" si="0"/>
        <v>3.9620437956204384</v>
      </c>
      <c r="L17" s="107" t="s">
        <v>38</v>
      </c>
      <c r="M17" s="324"/>
      <c r="N17" s="324"/>
      <c r="O17" s="116">
        <f t="shared" ref="O17" si="5">+F17/H17</f>
        <v>0.53343065693430658</v>
      </c>
      <c r="P17" s="117">
        <f t="shared" ref="P17" si="6">+O17*I17</f>
        <v>0.49075620437956208</v>
      </c>
      <c r="Q17" s="118">
        <f t="shared" si="1"/>
        <v>289.54616058394163</v>
      </c>
      <c r="R17" s="334"/>
      <c r="S17"/>
      <c r="T17"/>
      <c r="U17"/>
      <c r="V17" s="176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s="59" customFormat="1" ht="39" customHeight="1" thickBot="1" x14ac:dyDescent="0.3">
      <c r="A18" s="81" t="s">
        <v>50</v>
      </c>
      <c r="B18" s="108" t="s">
        <v>51</v>
      </c>
      <c r="C18" s="109" t="s">
        <v>52</v>
      </c>
      <c r="D18" s="84" t="s">
        <v>53</v>
      </c>
      <c r="E18" s="87">
        <v>43</v>
      </c>
      <c r="F18" s="86">
        <f t="shared" si="4"/>
        <v>49.879999999999995</v>
      </c>
      <c r="G18" s="85" t="s">
        <v>36</v>
      </c>
      <c r="H18" s="110">
        <v>137</v>
      </c>
      <c r="I18" s="84">
        <v>20.55</v>
      </c>
      <c r="J18" s="83" t="s">
        <v>37</v>
      </c>
      <c r="K18" s="284">
        <f t="shared" si="0"/>
        <v>88.5</v>
      </c>
      <c r="L18" s="89" t="s">
        <v>38</v>
      </c>
      <c r="M18" s="252"/>
      <c r="N18" s="252"/>
      <c r="O18" s="222">
        <f t="shared" si="2"/>
        <v>0.36408759124087586</v>
      </c>
      <c r="P18" s="223">
        <f t="shared" si="3"/>
        <v>7.4819999999999993</v>
      </c>
      <c r="Q18" s="215">
        <f t="shared" si="1"/>
        <v>4414.3799999999992</v>
      </c>
      <c r="R18" s="309">
        <f t="shared" ref="R18:R30" si="7">+F18*N18</f>
        <v>0</v>
      </c>
      <c r="S18"/>
      <c r="T18"/>
      <c r="U18"/>
      <c r="V18" s="176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s="59" customFormat="1" ht="29.25" customHeight="1" thickBot="1" x14ac:dyDescent="0.3">
      <c r="A19" s="81" t="s">
        <v>54</v>
      </c>
      <c r="B19" s="108" t="s">
        <v>55</v>
      </c>
      <c r="C19" s="83" t="s">
        <v>4</v>
      </c>
      <c r="D19" s="84" t="s">
        <v>53</v>
      </c>
      <c r="E19" s="87">
        <v>16.5</v>
      </c>
      <c r="F19" s="86">
        <f t="shared" si="4"/>
        <v>19.139999999999997</v>
      </c>
      <c r="G19" s="85" t="s">
        <v>36</v>
      </c>
      <c r="H19" s="110">
        <v>137</v>
      </c>
      <c r="I19" s="84">
        <v>10.08</v>
      </c>
      <c r="J19" s="83" t="s">
        <v>37</v>
      </c>
      <c r="K19" s="284">
        <f t="shared" si="0"/>
        <v>43.410218978102186</v>
      </c>
      <c r="L19" s="89" t="s">
        <v>38</v>
      </c>
      <c r="M19" s="252"/>
      <c r="N19" s="252"/>
      <c r="O19" s="216">
        <f>+F19/H19</f>
        <v>0.13970802919708028</v>
      </c>
      <c r="P19" s="217">
        <f>+O19*I19</f>
        <v>1.4082569343065692</v>
      </c>
      <c r="Q19" s="218">
        <f>+P19*$L$4</f>
        <v>830.87159124087577</v>
      </c>
      <c r="R19" s="310">
        <f t="shared" si="7"/>
        <v>0</v>
      </c>
      <c r="S19"/>
      <c r="T19"/>
      <c r="U19"/>
      <c r="V19" s="176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s="59" customFormat="1" ht="39" customHeight="1" thickBot="1" x14ac:dyDescent="0.3">
      <c r="A20" s="98" t="s">
        <v>56</v>
      </c>
      <c r="B20" s="111" t="s">
        <v>57</v>
      </c>
      <c r="C20" s="100" t="s">
        <v>58</v>
      </c>
      <c r="D20" s="101" t="s">
        <v>53</v>
      </c>
      <c r="E20" s="104">
        <v>56</v>
      </c>
      <c r="F20" s="103">
        <f t="shared" si="4"/>
        <v>64.959999999999994</v>
      </c>
      <c r="G20" s="102" t="s">
        <v>36</v>
      </c>
      <c r="H20" s="112">
        <v>137</v>
      </c>
      <c r="I20" s="101">
        <v>4.5</v>
      </c>
      <c r="J20" s="100" t="s">
        <v>37</v>
      </c>
      <c r="K20" s="286">
        <f t="shared" si="0"/>
        <v>19.37956204379562</v>
      </c>
      <c r="L20" s="107" t="s">
        <v>38</v>
      </c>
      <c r="M20" s="253"/>
      <c r="N20" s="253"/>
      <c r="O20" s="116">
        <f>+F20/H20</f>
        <v>0.47416058394160582</v>
      </c>
      <c r="P20" s="224">
        <f t="shared" si="3"/>
        <v>2.1337226277372263</v>
      </c>
      <c r="Q20" s="225">
        <f t="shared" si="1"/>
        <v>1258.8963503649636</v>
      </c>
      <c r="R20" s="312">
        <f t="shared" si="7"/>
        <v>0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ht="30.75" thickBot="1" x14ac:dyDescent="0.3">
      <c r="A21" s="113" t="s">
        <v>60</v>
      </c>
      <c r="B21" s="111" t="s">
        <v>61</v>
      </c>
      <c r="C21" s="114" t="s">
        <v>62</v>
      </c>
      <c r="D21" s="101" t="s">
        <v>59</v>
      </c>
      <c r="E21" s="104">
        <v>6.45</v>
      </c>
      <c r="F21" s="102">
        <f>+E21*1.16</f>
        <v>7.4819999999999993</v>
      </c>
      <c r="G21" s="102" t="s">
        <v>63</v>
      </c>
      <c r="H21" s="112">
        <v>18</v>
      </c>
      <c r="I21" s="101">
        <f>(1/12)</f>
        <v>8.3333333333333329E-2</v>
      </c>
      <c r="J21" s="100" t="s">
        <v>63</v>
      </c>
      <c r="K21" s="286">
        <f>(I21*$L$4)</f>
        <v>49.166666666666664</v>
      </c>
      <c r="L21" s="89" t="s">
        <v>63</v>
      </c>
      <c r="M21" s="254"/>
      <c r="N21" s="254"/>
      <c r="O21" s="116">
        <f>+F21/H21</f>
        <v>0.41566666666666663</v>
      </c>
      <c r="P21" s="117">
        <f>+F21*I21</f>
        <v>0.62349999999999994</v>
      </c>
      <c r="Q21" s="118">
        <f t="shared" si="1"/>
        <v>367.86499999999995</v>
      </c>
      <c r="R21" s="221">
        <f t="shared" si="7"/>
        <v>0</v>
      </c>
    </row>
    <row r="22" spans="1:60" ht="33.75" customHeight="1" thickBot="1" x14ac:dyDescent="0.3">
      <c r="A22" s="119" t="s">
        <v>64</v>
      </c>
      <c r="B22" s="82" t="s">
        <v>65</v>
      </c>
      <c r="C22" s="83" t="s">
        <v>66</v>
      </c>
      <c r="D22" s="84" t="s">
        <v>53</v>
      </c>
      <c r="E22" s="87">
        <v>91.8</v>
      </c>
      <c r="F22" s="87">
        <f t="shared" si="4"/>
        <v>106.48799999999999</v>
      </c>
      <c r="G22" s="87" t="s">
        <v>67</v>
      </c>
      <c r="H22" s="88">
        <f>1.2*100</f>
        <v>120</v>
      </c>
      <c r="I22" s="83">
        <v>2.14</v>
      </c>
      <c r="J22" s="83" t="s">
        <v>37</v>
      </c>
      <c r="K22" s="284">
        <f>(I22*$L$4)/H22</f>
        <v>10.521666666666668</v>
      </c>
      <c r="L22" s="89" t="s">
        <v>68</v>
      </c>
      <c r="M22" s="252"/>
      <c r="N22" s="255"/>
      <c r="O22" s="226">
        <f>+F22/150</f>
        <v>0.70991999999999988</v>
      </c>
      <c r="P22" s="227">
        <f>+O22</f>
        <v>0.70991999999999988</v>
      </c>
      <c r="Q22" s="228">
        <f t="shared" si="1"/>
        <v>418.85279999999995</v>
      </c>
      <c r="R22" s="313">
        <f t="shared" si="7"/>
        <v>0</v>
      </c>
    </row>
    <row r="23" spans="1:60" ht="28.5" customHeight="1" thickBot="1" x14ac:dyDescent="0.3">
      <c r="A23" s="121" t="s">
        <v>69</v>
      </c>
      <c r="B23" s="82" t="s">
        <v>70</v>
      </c>
      <c r="C23" s="83" t="s">
        <v>71</v>
      </c>
      <c r="D23" s="84" t="s">
        <v>72</v>
      </c>
      <c r="E23" s="85">
        <v>18</v>
      </c>
      <c r="F23" s="86">
        <f>+E23*1.16</f>
        <v>20.88</v>
      </c>
      <c r="G23" s="87" t="s">
        <v>36</v>
      </c>
      <c r="H23" s="88">
        <f>0.54*120</f>
        <v>64.800000000000011</v>
      </c>
      <c r="I23" s="122">
        <v>1.7929999999999999</v>
      </c>
      <c r="J23" s="83" t="s">
        <v>37</v>
      </c>
      <c r="K23" s="284">
        <f>(I23*$L$4)/H23</f>
        <v>16.32515432098765</v>
      </c>
      <c r="L23" s="124" t="s">
        <v>68</v>
      </c>
      <c r="M23" s="256"/>
      <c r="N23" s="257"/>
      <c r="O23" s="229">
        <f t="shared" ref="O23" si="8">+F23/H23</f>
        <v>0.32222222222222213</v>
      </c>
      <c r="P23" s="217">
        <f t="shared" ref="P23" si="9">+O23*I23</f>
        <v>0.57774444444444428</v>
      </c>
      <c r="Q23" s="218">
        <f t="shared" si="1"/>
        <v>340.86922222222211</v>
      </c>
      <c r="R23" s="314">
        <f t="shared" si="7"/>
        <v>0</v>
      </c>
    </row>
    <row r="24" spans="1:60" ht="30" customHeight="1" thickBot="1" x14ac:dyDescent="0.3">
      <c r="A24" s="119" t="s">
        <v>73</v>
      </c>
      <c r="B24" s="82" t="s">
        <v>74</v>
      </c>
      <c r="C24" s="123" t="s">
        <v>58</v>
      </c>
      <c r="D24" s="84" t="s">
        <v>75</v>
      </c>
      <c r="E24" s="87">
        <v>26</v>
      </c>
      <c r="F24" s="87">
        <f t="shared" ref="F24" si="10">+E24*1</f>
        <v>26</v>
      </c>
      <c r="G24" s="87" t="s">
        <v>76</v>
      </c>
      <c r="H24" s="88" t="s">
        <v>77</v>
      </c>
      <c r="I24" s="83">
        <v>1</v>
      </c>
      <c r="J24" s="83" t="s">
        <v>78</v>
      </c>
      <c r="K24" s="287">
        <f>+I24*$L$4</f>
        <v>590</v>
      </c>
      <c r="L24" s="124" t="s">
        <v>76</v>
      </c>
      <c r="M24" s="257"/>
      <c r="N24" s="253"/>
      <c r="O24" s="216">
        <f t="shared" ref="O24" si="11">+F24</f>
        <v>26</v>
      </c>
      <c r="P24" s="230">
        <f t="shared" ref="P24" si="12">+I24*O24</f>
        <v>26</v>
      </c>
      <c r="Q24" s="218">
        <f>+P24*$L$4</f>
        <v>15340</v>
      </c>
      <c r="R24" s="308">
        <f t="shared" si="7"/>
        <v>0</v>
      </c>
    </row>
    <row r="25" spans="1:60" ht="30" customHeight="1" thickBot="1" x14ac:dyDescent="0.3">
      <c r="A25" s="119" t="s">
        <v>145</v>
      </c>
      <c r="B25" s="82" t="s">
        <v>146</v>
      </c>
      <c r="C25" s="123" t="s">
        <v>95</v>
      </c>
      <c r="D25" s="84" t="s">
        <v>147</v>
      </c>
      <c r="E25" s="87">
        <v>2</v>
      </c>
      <c r="F25" s="87">
        <f t="shared" ref="F25" si="13">+E25*1</f>
        <v>2</v>
      </c>
      <c r="G25" s="87" t="s">
        <v>63</v>
      </c>
      <c r="H25" s="88" t="s">
        <v>77</v>
      </c>
      <c r="I25" s="83">
        <v>2</v>
      </c>
      <c r="J25" s="83" t="s">
        <v>63</v>
      </c>
      <c r="K25" s="287">
        <f>+I25*$L$4</f>
        <v>1180</v>
      </c>
      <c r="L25" s="124" t="s">
        <v>63</v>
      </c>
      <c r="M25" s="257"/>
      <c r="N25" s="252"/>
      <c r="O25" s="216">
        <f t="shared" ref="O25" si="14">+F25</f>
        <v>2</v>
      </c>
      <c r="P25" s="230">
        <f t="shared" ref="P25" si="15">+I25*O25</f>
        <v>4</v>
      </c>
      <c r="Q25" s="218">
        <f>+P25*$L$4</f>
        <v>2360</v>
      </c>
      <c r="R25" s="308">
        <f t="shared" si="7"/>
        <v>0</v>
      </c>
    </row>
    <row r="26" spans="1:60" s="59" customFormat="1" ht="46.5" customHeight="1" thickBot="1" x14ac:dyDescent="0.3">
      <c r="A26" s="119" t="s">
        <v>79</v>
      </c>
      <c r="B26" s="82" t="s">
        <v>149</v>
      </c>
      <c r="C26" s="83" t="s">
        <v>150</v>
      </c>
      <c r="D26" s="84" t="s">
        <v>53</v>
      </c>
      <c r="E26" s="87">
        <v>45</v>
      </c>
      <c r="F26" s="87">
        <f t="shared" ref="F26" si="16">+E26*1.16</f>
        <v>52.199999999999996</v>
      </c>
      <c r="G26" s="87" t="s">
        <v>67</v>
      </c>
      <c r="H26" s="88" t="s">
        <v>77</v>
      </c>
      <c r="I26" s="125">
        <f>1/33</f>
        <v>3.0303030303030304E-2</v>
      </c>
      <c r="J26" s="83" t="s">
        <v>67</v>
      </c>
      <c r="K26" s="284">
        <f>+I26*$L$4</f>
        <v>17.878787878787879</v>
      </c>
      <c r="L26" s="89" t="s">
        <v>68</v>
      </c>
      <c r="M26" s="258"/>
      <c r="N26" s="258"/>
      <c r="O26" s="222">
        <f>+F26</f>
        <v>52.199999999999996</v>
      </c>
      <c r="P26" s="231">
        <f>+I26*O26</f>
        <v>1.5818181818181818</v>
      </c>
      <c r="Q26" s="215">
        <f>+P26*$L$4</f>
        <v>933.27272727272725</v>
      </c>
      <c r="R26" s="309">
        <f t="shared" si="7"/>
        <v>0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s="59" customFormat="1" ht="15.75" thickBot="1" x14ac:dyDescent="0.3">
      <c r="A27" s="119" t="s">
        <v>82</v>
      </c>
      <c r="B27" s="82" t="s">
        <v>83</v>
      </c>
      <c r="C27" s="83" t="s">
        <v>84</v>
      </c>
      <c r="D27" s="84" t="s">
        <v>85</v>
      </c>
      <c r="E27" s="87">
        <v>203.52</v>
      </c>
      <c r="F27" s="87">
        <f>+E27</f>
        <v>203.52</v>
      </c>
      <c r="G27" s="87" t="s">
        <v>86</v>
      </c>
      <c r="H27" s="88" t="s">
        <v>77</v>
      </c>
      <c r="I27" s="83">
        <v>1</v>
      </c>
      <c r="J27" s="83" t="s">
        <v>78</v>
      </c>
      <c r="K27" s="288">
        <f>+I27*$L$4/72</f>
        <v>8.1944444444444446</v>
      </c>
      <c r="L27" s="89" t="s">
        <v>86</v>
      </c>
      <c r="M27" s="252"/>
      <c r="N27" s="252"/>
      <c r="O27" s="222">
        <f>+F27/72</f>
        <v>2.8266666666666667</v>
      </c>
      <c r="P27" s="223">
        <f t="shared" ref="P27:P29" si="17">+O27*I27</f>
        <v>2.8266666666666667</v>
      </c>
      <c r="Q27" s="215">
        <f t="shared" ref="Q27:Q54" si="18">+P27*$L$4</f>
        <v>1667.7333333333333</v>
      </c>
      <c r="R27" s="307">
        <f t="shared" si="7"/>
        <v>0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s="59" customFormat="1" ht="15.75" thickBot="1" x14ac:dyDescent="0.3">
      <c r="A28" s="119" t="s">
        <v>87</v>
      </c>
      <c r="B28" s="82" t="s">
        <v>88</v>
      </c>
      <c r="C28" s="83" t="s">
        <v>89</v>
      </c>
      <c r="D28" s="84" t="s">
        <v>90</v>
      </c>
      <c r="E28" s="87">
        <v>140.27000000000001</v>
      </c>
      <c r="F28" s="87">
        <f>+E28*1.16</f>
        <v>162.7132</v>
      </c>
      <c r="G28" s="126" t="s">
        <v>91</v>
      </c>
      <c r="H28" s="88" t="s">
        <v>77</v>
      </c>
      <c r="I28" s="83">
        <v>20</v>
      </c>
      <c r="J28" s="83" t="s">
        <v>63</v>
      </c>
      <c r="K28" s="288">
        <f>+I28*$L$4/1000</f>
        <v>11.8</v>
      </c>
      <c r="L28" s="89" t="s">
        <v>92</v>
      </c>
      <c r="M28" s="258"/>
      <c r="N28" s="258"/>
      <c r="O28" s="216">
        <f>+F28/1000</f>
        <v>0.1627132</v>
      </c>
      <c r="P28" s="217">
        <f>+O28*I28</f>
        <v>3.254264</v>
      </c>
      <c r="Q28" s="218">
        <f t="shared" si="18"/>
        <v>1920.01576</v>
      </c>
      <c r="R28" s="314">
        <f t="shared" si="7"/>
        <v>0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s="59" customFormat="1" ht="15.75" thickBot="1" x14ac:dyDescent="0.3">
      <c r="A29" s="127" t="s">
        <v>93</v>
      </c>
      <c r="B29" s="128" t="s">
        <v>94</v>
      </c>
      <c r="C29" s="100" t="s">
        <v>95</v>
      </c>
      <c r="D29" s="129" t="s">
        <v>96</v>
      </c>
      <c r="E29" s="130">
        <v>150</v>
      </c>
      <c r="F29" s="130">
        <f>+E29*1</f>
        <v>150</v>
      </c>
      <c r="G29" s="131" t="s">
        <v>97</v>
      </c>
      <c r="H29" s="132" t="s">
        <v>77</v>
      </c>
      <c r="I29" s="133">
        <v>4</v>
      </c>
      <c r="J29" s="133" t="s">
        <v>78</v>
      </c>
      <c r="K29" s="288">
        <f>+I29*$L$4/1000</f>
        <v>2.36</v>
      </c>
      <c r="L29" s="134" t="s">
        <v>92</v>
      </c>
      <c r="M29" s="259"/>
      <c r="N29" s="259"/>
      <c r="O29" s="116">
        <f>+F29/1000</f>
        <v>0.15</v>
      </c>
      <c r="P29" s="117">
        <f t="shared" si="17"/>
        <v>0.6</v>
      </c>
      <c r="Q29" s="118">
        <f t="shared" si="18"/>
        <v>354</v>
      </c>
      <c r="R29" s="311">
        <f t="shared" si="7"/>
        <v>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s="137" customFormat="1" ht="18.75" customHeight="1" x14ac:dyDescent="0.25">
      <c r="A30" s="319" t="s">
        <v>98</v>
      </c>
      <c r="B30" s="135" t="s">
        <v>152</v>
      </c>
      <c r="C30" s="136" t="s">
        <v>155</v>
      </c>
      <c r="D30" s="53" t="s">
        <v>99</v>
      </c>
      <c r="E30" s="95">
        <v>1.72</v>
      </c>
      <c r="F30" s="95">
        <f>+E30*1.16</f>
        <v>1.9951999999999999</v>
      </c>
      <c r="G30" s="95" t="s">
        <v>76</v>
      </c>
      <c r="H30" s="96" t="s">
        <v>77</v>
      </c>
      <c r="I30" s="54">
        <v>1</v>
      </c>
      <c r="J30" s="54" t="s">
        <v>78</v>
      </c>
      <c r="K30" s="289">
        <v>0</v>
      </c>
      <c r="L30" s="55" t="s">
        <v>76</v>
      </c>
      <c r="M30" s="322"/>
      <c r="N30" s="260"/>
      <c r="O30" s="90">
        <v>0</v>
      </c>
      <c r="P30" s="91">
        <f t="shared" ref="P30:P37" si="19">+I30*O30</f>
        <v>0</v>
      </c>
      <c r="Q30" s="92">
        <f t="shared" si="18"/>
        <v>0</v>
      </c>
      <c r="R30" s="315">
        <f t="shared" si="7"/>
        <v>0</v>
      </c>
    </row>
    <row r="31" spans="1:60" s="137" customFormat="1" ht="18.75" customHeight="1" x14ac:dyDescent="0.25">
      <c r="A31" s="320"/>
      <c r="B31" s="138" t="s">
        <v>153</v>
      </c>
      <c r="C31" s="139" t="s">
        <v>155</v>
      </c>
      <c r="D31" s="64" t="s">
        <v>99</v>
      </c>
      <c r="E31" s="62">
        <v>1.73</v>
      </c>
      <c r="F31" s="62">
        <f>+E31*1.16</f>
        <v>2.0067999999999997</v>
      </c>
      <c r="G31" s="62" t="s">
        <v>76</v>
      </c>
      <c r="H31" s="63" t="s">
        <v>77</v>
      </c>
      <c r="I31" s="65">
        <v>1</v>
      </c>
      <c r="J31" s="65" t="s">
        <v>78</v>
      </c>
      <c r="K31" s="290">
        <f t="shared" ref="K31:K34" si="20">+I31*$L$4</f>
        <v>590</v>
      </c>
      <c r="L31" s="66" t="s">
        <v>76</v>
      </c>
      <c r="M31" s="323"/>
      <c r="N31" s="261"/>
      <c r="O31" s="67">
        <f>+F31</f>
        <v>2.0067999999999997</v>
      </c>
      <c r="P31" s="120">
        <f t="shared" si="19"/>
        <v>2.0067999999999997</v>
      </c>
      <c r="Q31" s="69">
        <f t="shared" si="18"/>
        <v>1184.0119999999997</v>
      </c>
      <c r="R31" s="316">
        <f t="shared" ref="R31:R35" si="21">+F31*N31</f>
        <v>0</v>
      </c>
    </row>
    <row r="32" spans="1:60" s="137" customFormat="1" ht="18.75" customHeight="1" x14ac:dyDescent="0.25">
      <c r="A32" s="320"/>
      <c r="B32" s="138" t="s">
        <v>154</v>
      </c>
      <c r="C32" s="139" t="s">
        <v>155</v>
      </c>
      <c r="D32" s="64" t="s">
        <v>99</v>
      </c>
      <c r="E32" s="62">
        <v>1.86</v>
      </c>
      <c r="F32" s="62">
        <f t="shared" ref="F32:F35" si="22">+E32*1.16</f>
        <v>2.1576</v>
      </c>
      <c r="G32" s="62" t="s">
        <v>76</v>
      </c>
      <c r="H32" s="63" t="s">
        <v>77</v>
      </c>
      <c r="I32" s="65">
        <v>1</v>
      </c>
      <c r="J32" s="65" t="s">
        <v>78</v>
      </c>
      <c r="K32" s="290">
        <v>0</v>
      </c>
      <c r="L32" s="66" t="s">
        <v>76</v>
      </c>
      <c r="M32" s="323"/>
      <c r="N32" s="261"/>
      <c r="O32" s="67">
        <v>0</v>
      </c>
      <c r="P32" s="120">
        <f t="shared" si="19"/>
        <v>0</v>
      </c>
      <c r="Q32" s="69">
        <f t="shared" si="18"/>
        <v>0</v>
      </c>
      <c r="R32" s="316">
        <f t="shared" si="21"/>
        <v>0</v>
      </c>
    </row>
    <row r="33" spans="1:60" s="137" customFormat="1" ht="18.75" customHeight="1" x14ac:dyDescent="0.25">
      <c r="A33" s="321" t="s">
        <v>100</v>
      </c>
      <c r="B33" s="138" t="s">
        <v>160</v>
      </c>
      <c r="C33" s="64" t="s">
        <v>159</v>
      </c>
      <c r="D33" s="64" t="s">
        <v>99</v>
      </c>
      <c r="E33" s="62">
        <v>1.77</v>
      </c>
      <c r="F33" s="62">
        <f t="shared" si="22"/>
        <v>2.0531999999999999</v>
      </c>
      <c r="G33" s="62" t="s">
        <v>76</v>
      </c>
      <c r="H33" s="63" t="s">
        <v>77</v>
      </c>
      <c r="I33" s="65">
        <v>1</v>
      </c>
      <c r="J33" s="65" t="s">
        <v>78</v>
      </c>
      <c r="K33" s="290">
        <v>0</v>
      </c>
      <c r="L33" s="66" t="s">
        <v>76</v>
      </c>
      <c r="M33" s="323"/>
      <c r="N33" s="261"/>
      <c r="O33" s="67">
        <v>0</v>
      </c>
      <c r="P33" s="120">
        <f t="shared" si="19"/>
        <v>0</v>
      </c>
      <c r="Q33" s="69">
        <f t="shared" si="18"/>
        <v>0</v>
      </c>
      <c r="R33" s="316">
        <f t="shared" si="21"/>
        <v>0</v>
      </c>
    </row>
    <row r="34" spans="1:60" s="137" customFormat="1" ht="18.75" customHeight="1" x14ac:dyDescent="0.25">
      <c r="A34" s="320"/>
      <c r="B34" s="138" t="s">
        <v>161</v>
      </c>
      <c r="C34" s="64" t="s">
        <v>159</v>
      </c>
      <c r="D34" s="64" t="s">
        <v>99</v>
      </c>
      <c r="E34" s="62">
        <v>1.86</v>
      </c>
      <c r="F34" s="62">
        <f t="shared" si="22"/>
        <v>2.1576</v>
      </c>
      <c r="G34" s="62" t="s">
        <v>76</v>
      </c>
      <c r="H34" s="63" t="s">
        <v>77</v>
      </c>
      <c r="I34" s="65">
        <v>1</v>
      </c>
      <c r="J34" s="65" t="s">
        <v>78</v>
      </c>
      <c r="K34" s="290">
        <f t="shared" si="20"/>
        <v>590</v>
      </c>
      <c r="L34" s="66" t="s">
        <v>76</v>
      </c>
      <c r="M34" s="323"/>
      <c r="N34" s="261"/>
      <c r="O34" s="67">
        <f>+F34</f>
        <v>2.1576</v>
      </c>
      <c r="P34" s="120">
        <f t="shared" si="19"/>
        <v>2.1576</v>
      </c>
      <c r="Q34" s="69">
        <f t="shared" si="18"/>
        <v>1272.9839999999999</v>
      </c>
      <c r="R34" s="316">
        <f t="shared" si="21"/>
        <v>0</v>
      </c>
    </row>
    <row r="35" spans="1:60" s="137" customFormat="1" ht="18.75" customHeight="1" thickBot="1" x14ac:dyDescent="0.3">
      <c r="A35" s="320"/>
      <c r="B35" s="140" t="s">
        <v>162</v>
      </c>
      <c r="C35" s="75" t="s">
        <v>159</v>
      </c>
      <c r="D35" s="75" t="s">
        <v>99</v>
      </c>
      <c r="E35" s="78">
        <v>2.0499999999999998</v>
      </c>
      <c r="F35" s="78">
        <f t="shared" si="22"/>
        <v>2.3779999999999997</v>
      </c>
      <c r="G35" s="78" t="s">
        <v>76</v>
      </c>
      <c r="H35" s="79" t="s">
        <v>77</v>
      </c>
      <c r="I35" s="74">
        <v>1</v>
      </c>
      <c r="J35" s="74" t="s">
        <v>78</v>
      </c>
      <c r="K35" s="291">
        <v>0</v>
      </c>
      <c r="L35" s="80" t="s">
        <v>76</v>
      </c>
      <c r="M35" s="323"/>
      <c r="N35" s="262"/>
      <c r="O35" s="226">
        <v>0</v>
      </c>
      <c r="P35" s="227">
        <f t="shared" si="19"/>
        <v>0</v>
      </c>
      <c r="Q35" s="58">
        <f t="shared" si="18"/>
        <v>0</v>
      </c>
      <c r="R35" s="317">
        <f t="shared" si="21"/>
        <v>0</v>
      </c>
    </row>
    <row r="36" spans="1:60" s="141" customFormat="1" ht="29.25" customHeight="1" thickBot="1" x14ac:dyDescent="0.3">
      <c r="A36" s="145" t="s">
        <v>104</v>
      </c>
      <c r="B36" s="297" t="s">
        <v>151</v>
      </c>
      <c r="C36" s="83" t="s">
        <v>95</v>
      </c>
      <c r="D36" s="84" t="s">
        <v>101</v>
      </c>
      <c r="E36" s="87">
        <v>0.3</v>
      </c>
      <c r="F36" s="87">
        <f t="shared" ref="F36" si="23">+E36*1</f>
        <v>0.3</v>
      </c>
      <c r="G36" s="87" t="s">
        <v>63</v>
      </c>
      <c r="H36" s="88" t="s">
        <v>77</v>
      </c>
      <c r="I36" s="83">
        <v>2</v>
      </c>
      <c r="J36" s="83" t="s">
        <v>102</v>
      </c>
      <c r="K36" s="287">
        <f t="shared" ref="K36:K40" si="24">+I36*$L$4</f>
        <v>1180</v>
      </c>
      <c r="L36" s="124" t="s">
        <v>103</v>
      </c>
      <c r="M36" s="257"/>
      <c r="N36" s="263"/>
      <c r="O36" s="216">
        <f t="shared" ref="O36:O37" si="25">+F36</f>
        <v>0.3</v>
      </c>
      <c r="P36" s="230">
        <f t="shared" si="19"/>
        <v>0.6</v>
      </c>
      <c r="Q36" s="218">
        <f t="shared" si="18"/>
        <v>354</v>
      </c>
      <c r="R36" s="314">
        <f t="shared" ref="R36:R40" si="26">+F36*N36</f>
        <v>0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141" customFormat="1" ht="31.5" customHeight="1" thickBot="1" x14ac:dyDescent="0.3">
      <c r="A37" s="119" t="s">
        <v>105</v>
      </c>
      <c r="B37" s="82" t="s">
        <v>156</v>
      </c>
      <c r="C37" s="123" t="s">
        <v>106</v>
      </c>
      <c r="D37" s="84" t="s">
        <v>101</v>
      </c>
      <c r="E37" s="87">
        <v>0.32</v>
      </c>
      <c r="F37" s="87">
        <f>+E37*1</f>
        <v>0.32</v>
      </c>
      <c r="G37" s="87" t="s">
        <v>107</v>
      </c>
      <c r="H37" s="88" t="s">
        <v>77</v>
      </c>
      <c r="I37" s="83">
        <v>2</v>
      </c>
      <c r="J37" s="83" t="s">
        <v>107</v>
      </c>
      <c r="K37" s="287">
        <f>+I37*L4</f>
        <v>1180</v>
      </c>
      <c r="L37" s="124" t="s">
        <v>103</v>
      </c>
      <c r="M37" s="257"/>
      <c r="N37" s="263"/>
      <c r="O37" s="216">
        <f t="shared" si="25"/>
        <v>0.32</v>
      </c>
      <c r="P37" s="230">
        <f t="shared" si="19"/>
        <v>0.64</v>
      </c>
      <c r="Q37" s="218">
        <f t="shared" si="18"/>
        <v>377.6</v>
      </c>
      <c r="R37" s="308">
        <f t="shared" si="26"/>
        <v>0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144" customFormat="1" ht="15" customHeight="1" thickBot="1" x14ac:dyDescent="0.3">
      <c r="A38" s="142" t="s">
        <v>108</v>
      </c>
      <c r="B38" s="99" t="s">
        <v>163</v>
      </c>
      <c r="C38" s="101"/>
      <c r="D38" s="101" t="s">
        <v>157</v>
      </c>
      <c r="E38" s="104">
        <v>7.32</v>
      </c>
      <c r="F38" s="104">
        <f>+E38*1</f>
        <v>7.32</v>
      </c>
      <c r="G38" s="104" t="s">
        <v>63</v>
      </c>
      <c r="H38" s="105" t="s">
        <v>77</v>
      </c>
      <c r="I38" s="101">
        <v>1</v>
      </c>
      <c r="J38" s="101" t="s">
        <v>102</v>
      </c>
      <c r="K38" s="292">
        <f>+L4</f>
        <v>590</v>
      </c>
      <c r="L38" s="143" t="s">
        <v>103</v>
      </c>
      <c r="M38" s="253"/>
      <c r="N38" s="253"/>
      <c r="O38" s="216">
        <f>+F38</f>
        <v>7.32</v>
      </c>
      <c r="P38" s="230">
        <f>+O38</f>
        <v>7.32</v>
      </c>
      <c r="Q38" s="218">
        <f t="shared" si="18"/>
        <v>4318.8</v>
      </c>
      <c r="R38" s="314">
        <f t="shared" si="26"/>
        <v>0</v>
      </c>
    </row>
    <row r="39" spans="1:60" s="144" customFormat="1" ht="15" customHeight="1" thickBot="1" x14ac:dyDescent="0.3">
      <c r="A39" s="145" t="s">
        <v>109</v>
      </c>
      <c r="B39" s="145" t="s">
        <v>111</v>
      </c>
      <c r="C39" s="298" t="s">
        <v>4</v>
      </c>
      <c r="D39" s="84" t="s">
        <v>112</v>
      </c>
      <c r="E39" s="87">
        <v>0.34300000000000003</v>
      </c>
      <c r="F39" s="146">
        <f>+E39</f>
        <v>0.34300000000000003</v>
      </c>
      <c r="G39" s="87" t="s">
        <v>92</v>
      </c>
      <c r="H39" s="88" t="s">
        <v>77</v>
      </c>
      <c r="I39" s="84">
        <v>1</v>
      </c>
      <c r="J39" s="84" t="s">
        <v>102</v>
      </c>
      <c r="K39" s="293">
        <f t="shared" si="24"/>
        <v>590</v>
      </c>
      <c r="L39" s="147" t="s">
        <v>103</v>
      </c>
      <c r="M39" s="280"/>
      <c r="N39" s="257"/>
      <c r="O39" s="216">
        <f>+F39/1000</f>
        <v>3.4300000000000004E-4</v>
      </c>
      <c r="P39" s="230">
        <f>+O39</f>
        <v>3.4300000000000004E-4</v>
      </c>
      <c r="Q39" s="218">
        <f t="shared" si="18"/>
        <v>0.20237000000000002</v>
      </c>
      <c r="R39" s="219">
        <f t="shared" si="26"/>
        <v>0</v>
      </c>
    </row>
    <row r="40" spans="1:60" s="144" customFormat="1" ht="15" customHeight="1" thickBot="1" x14ac:dyDescent="0.3">
      <c r="A40" s="148" t="s">
        <v>110</v>
      </c>
      <c r="B40" s="128" t="s">
        <v>111</v>
      </c>
      <c r="C40" s="129" t="s">
        <v>4</v>
      </c>
      <c r="D40" s="48" t="s">
        <v>112</v>
      </c>
      <c r="E40" s="130">
        <v>0.152</v>
      </c>
      <c r="F40" s="149">
        <v>0.152</v>
      </c>
      <c r="G40" s="130" t="s">
        <v>92</v>
      </c>
      <c r="H40" s="132" t="s">
        <v>77</v>
      </c>
      <c r="I40" s="129">
        <v>4</v>
      </c>
      <c r="J40" s="129" t="s">
        <v>102</v>
      </c>
      <c r="K40" s="294">
        <f t="shared" si="24"/>
        <v>2360</v>
      </c>
      <c r="L40" s="150" t="s">
        <v>103</v>
      </c>
      <c r="M40" s="281"/>
      <c r="N40" s="279"/>
      <c r="O40" s="116">
        <f>+F40</f>
        <v>0.152</v>
      </c>
      <c r="P40" s="236">
        <f>+I40*O40</f>
        <v>0.60799999999999998</v>
      </c>
      <c r="Q40" s="118">
        <f t="shared" si="18"/>
        <v>358.71999999999997</v>
      </c>
      <c r="R40" s="221">
        <f t="shared" si="26"/>
        <v>0</v>
      </c>
    </row>
    <row r="41" spans="1:60" s="162" customFormat="1" ht="30.75" customHeight="1" x14ac:dyDescent="0.25">
      <c r="A41" s="151" t="str">
        <f>+A36</f>
        <v>TRANSFER PLANTILLA</v>
      </c>
      <c r="B41" s="152" t="str">
        <f>+B36</f>
        <v>VAZZA</v>
      </c>
      <c r="C41" s="153" t="str">
        <f>+C36</f>
        <v>ORO</v>
      </c>
      <c r="D41" s="153"/>
      <c r="E41" s="154"/>
      <c r="F41" s="154"/>
      <c r="G41" s="154"/>
      <c r="H41" s="155"/>
      <c r="I41" s="153"/>
      <c r="J41" s="153"/>
      <c r="K41" s="156"/>
      <c r="L41" s="157"/>
      <c r="M41" s="264"/>
      <c r="N41" s="264"/>
      <c r="O41" s="232">
        <v>0</v>
      </c>
      <c r="P41" s="233">
        <f t="shared" ref="P41:P54" si="27">+I41*O41</f>
        <v>0</v>
      </c>
      <c r="Q41" s="234">
        <f t="shared" si="18"/>
        <v>0</v>
      </c>
      <c r="R41" s="235">
        <v>0</v>
      </c>
    </row>
    <row r="42" spans="1:60" s="162" customFormat="1" ht="15.75" thickBot="1" x14ac:dyDescent="0.3">
      <c r="A42" s="163" t="s">
        <v>113</v>
      </c>
      <c r="B42" s="164" t="str">
        <f>+B37</f>
        <v>NOM 020 13501</v>
      </c>
      <c r="C42" s="165" t="s">
        <v>114</v>
      </c>
      <c r="D42" s="166" t="s">
        <v>115</v>
      </c>
      <c r="E42" s="167" t="s">
        <v>116</v>
      </c>
      <c r="F42" s="167" t="s">
        <v>117</v>
      </c>
      <c r="G42" s="167"/>
      <c r="H42" s="168"/>
      <c r="I42" s="165"/>
      <c r="J42" s="169"/>
      <c r="K42" s="170"/>
      <c r="L42" s="171"/>
      <c r="M42" s="265"/>
      <c r="N42" s="265"/>
      <c r="O42" s="158">
        <v>0</v>
      </c>
      <c r="P42" s="159">
        <v>0</v>
      </c>
      <c r="Q42" s="160">
        <f t="shared" si="18"/>
        <v>0</v>
      </c>
      <c r="R42" s="161">
        <v>0</v>
      </c>
    </row>
    <row r="43" spans="1:60" s="162" customFormat="1" ht="15.75" thickBot="1" x14ac:dyDescent="0.3">
      <c r="A43" s="163" t="s">
        <v>118</v>
      </c>
      <c r="B43" s="164" t="s">
        <v>119</v>
      </c>
      <c r="C43" s="169"/>
      <c r="D43" s="169"/>
      <c r="E43" s="167"/>
      <c r="F43" s="167"/>
      <c r="G43" s="167"/>
      <c r="H43" s="168"/>
      <c r="I43" s="169"/>
      <c r="J43" s="169"/>
      <c r="K43" s="170"/>
      <c r="L43" s="171"/>
      <c r="M43" s="265"/>
      <c r="N43" s="265"/>
      <c r="O43" s="158">
        <v>0</v>
      </c>
      <c r="P43" s="159">
        <f t="shared" si="27"/>
        <v>0</v>
      </c>
      <c r="Q43" s="160">
        <f t="shared" si="18"/>
        <v>0</v>
      </c>
      <c r="R43" s="161">
        <v>0</v>
      </c>
    </row>
    <row r="44" spans="1:60" s="162" customFormat="1" ht="15.75" thickBot="1" x14ac:dyDescent="0.3">
      <c r="A44" s="163" t="s">
        <v>120</v>
      </c>
      <c r="B44" s="164" t="s">
        <v>4</v>
      </c>
      <c r="C44" s="165">
        <v>1</v>
      </c>
      <c r="D44" s="165" t="s">
        <v>121</v>
      </c>
      <c r="E44" s="167"/>
      <c r="F44" s="167" t="s">
        <v>122</v>
      </c>
      <c r="G44" s="167"/>
      <c r="H44" s="168"/>
      <c r="I44" s="165"/>
      <c r="J44" s="169"/>
      <c r="K44" s="170"/>
      <c r="L44" s="171"/>
      <c r="M44" s="265"/>
      <c r="N44" s="265"/>
      <c r="O44" s="158">
        <v>0</v>
      </c>
      <c r="P44" s="159">
        <f t="shared" si="27"/>
        <v>0</v>
      </c>
      <c r="Q44" s="160">
        <f t="shared" si="18"/>
        <v>0</v>
      </c>
      <c r="R44" s="161">
        <v>0</v>
      </c>
    </row>
    <row r="45" spans="1:60" s="162" customFormat="1" ht="15.75" thickBot="1" x14ac:dyDescent="0.3">
      <c r="A45" s="163" t="s">
        <v>123</v>
      </c>
      <c r="B45" s="164" t="s">
        <v>4</v>
      </c>
      <c r="C45" s="165">
        <v>1</v>
      </c>
      <c r="D45" s="165" t="s">
        <v>121</v>
      </c>
      <c r="E45" s="167"/>
      <c r="F45" s="167" t="s">
        <v>124</v>
      </c>
      <c r="G45" s="167"/>
      <c r="H45" s="168"/>
      <c r="I45" s="169"/>
      <c r="J45" s="169"/>
      <c r="K45" s="170"/>
      <c r="L45" s="171"/>
      <c r="M45" s="265"/>
      <c r="N45" s="265"/>
      <c r="O45" s="158">
        <v>0</v>
      </c>
      <c r="P45" s="159">
        <f t="shared" si="27"/>
        <v>0</v>
      </c>
      <c r="Q45" s="160">
        <f t="shared" si="18"/>
        <v>0</v>
      </c>
      <c r="R45" s="161">
        <v>0</v>
      </c>
    </row>
    <row r="46" spans="1:60" x14ac:dyDescent="0.25">
      <c r="A46" s="172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266"/>
      <c r="N46" s="267"/>
      <c r="O46" s="158">
        <v>0</v>
      </c>
      <c r="P46" s="159">
        <f t="shared" si="27"/>
        <v>0</v>
      </c>
      <c r="Q46" s="160">
        <f t="shared" si="18"/>
        <v>0</v>
      </c>
      <c r="R46" s="161">
        <v>0</v>
      </c>
    </row>
    <row r="47" spans="1:60" x14ac:dyDescent="0.25">
      <c r="A47" s="174"/>
      <c r="B47" s="1"/>
      <c r="C47" s="1"/>
      <c r="D47" s="28"/>
      <c r="E47" s="28" t="s">
        <v>158</v>
      </c>
      <c r="F47" s="28"/>
      <c r="G47" s="1"/>
      <c r="H47" s="1"/>
      <c r="I47" s="27"/>
      <c r="J47" s="1"/>
      <c r="K47" s="1"/>
      <c r="L47" s="28" t="s">
        <v>125</v>
      </c>
      <c r="M47" s="248"/>
      <c r="N47" s="268"/>
      <c r="O47" s="158">
        <v>0</v>
      </c>
      <c r="P47" s="159">
        <f t="shared" si="27"/>
        <v>0</v>
      </c>
      <c r="Q47" s="160">
        <f t="shared" si="18"/>
        <v>0</v>
      </c>
      <c r="R47" s="161">
        <v>0</v>
      </c>
    </row>
    <row r="48" spans="1:60" x14ac:dyDescent="0.25">
      <c r="A48" s="174"/>
      <c r="B48" s="1"/>
      <c r="C48" s="1"/>
      <c r="D48" s="1"/>
      <c r="E48" s="1"/>
      <c r="F48" s="1"/>
      <c r="G48" s="1"/>
      <c r="H48" s="1"/>
      <c r="I48" s="27"/>
      <c r="J48" s="1"/>
      <c r="K48" s="1"/>
      <c r="L48" s="1"/>
      <c r="M48" s="248"/>
      <c r="N48" s="268"/>
      <c r="O48" s="158">
        <v>0</v>
      </c>
      <c r="P48" s="159">
        <f t="shared" si="27"/>
        <v>0</v>
      </c>
      <c r="Q48" s="160">
        <f t="shared" si="18"/>
        <v>0</v>
      </c>
      <c r="R48" s="161">
        <v>0</v>
      </c>
    </row>
    <row r="49" spans="1:60" x14ac:dyDescent="0.25">
      <c r="A49" s="17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48"/>
      <c r="N49" s="268"/>
      <c r="O49" s="158">
        <v>0</v>
      </c>
      <c r="P49" s="159">
        <f t="shared" si="27"/>
        <v>0</v>
      </c>
      <c r="Q49" s="160">
        <f t="shared" si="18"/>
        <v>0</v>
      </c>
      <c r="R49" s="161">
        <v>0</v>
      </c>
    </row>
    <row r="50" spans="1:60" ht="54.75" customHeight="1" x14ac:dyDescent="0.25">
      <c r="A50" s="174"/>
      <c r="B50" s="1"/>
      <c r="C50" s="1"/>
      <c r="D50" s="1"/>
      <c r="E50" s="1"/>
      <c r="F50" s="1"/>
      <c r="G50" s="1"/>
      <c r="H50" s="1"/>
      <c r="I50" s="27"/>
      <c r="J50" s="1"/>
      <c r="K50" s="1"/>
      <c r="L50" s="1"/>
      <c r="M50" s="248"/>
      <c r="N50" s="268"/>
      <c r="O50" s="299">
        <v>0</v>
      </c>
      <c r="P50" s="300">
        <f t="shared" si="27"/>
        <v>0</v>
      </c>
      <c r="Q50" s="301">
        <f t="shared" si="18"/>
        <v>0</v>
      </c>
      <c r="R50" s="302">
        <v>0</v>
      </c>
    </row>
    <row r="51" spans="1:60" s="176" customFormat="1" ht="42" customHeight="1" x14ac:dyDescent="0.25">
      <c r="A51" s="17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48"/>
      <c r="N51" s="268"/>
      <c r="O51" s="299">
        <v>0</v>
      </c>
      <c r="P51" s="300">
        <f t="shared" si="27"/>
        <v>0</v>
      </c>
      <c r="Q51" s="301">
        <f t="shared" si="18"/>
        <v>0</v>
      </c>
      <c r="R51" s="302">
        <v>0</v>
      </c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</row>
    <row r="52" spans="1:60" s="176" customFormat="1" ht="27" customHeight="1" x14ac:dyDescent="0.25">
      <c r="A52" s="174"/>
      <c r="B52" s="1"/>
      <c r="C52" s="177"/>
      <c r="D52" s="1"/>
      <c r="E52" s="1"/>
      <c r="F52" s="1"/>
      <c r="G52" s="1"/>
      <c r="H52" s="1"/>
      <c r="I52" s="1"/>
      <c r="J52" s="1"/>
      <c r="K52" s="1"/>
      <c r="L52" s="1"/>
      <c r="M52" s="248"/>
      <c r="N52" s="268"/>
      <c r="O52" s="299">
        <v>0</v>
      </c>
      <c r="P52" s="300">
        <f t="shared" si="27"/>
        <v>0</v>
      </c>
      <c r="Q52" s="301">
        <f t="shared" si="18"/>
        <v>0</v>
      </c>
      <c r="R52" s="302">
        <v>0</v>
      </c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</row>
    <row r="53" spans="1:60" s="176" customFormat="1" ht="34.5" customHeight="1" x14ac:dyDescent="0.25">
      <c r="A53" s="178" t="s">
        <v>126</v>
      </c>
      <c r="B53" s="179"/>
      <c r="C53" s="179"/>
      <c r="D53" s="1"/>
      <c r="E53" s="1"/>
      <c r="F53" s="1"/>
      <c r="G53" s="1"/>
      <c r="H53" s="1"/>
      <c r="I53" s="1"/>
      <c r="J53" s="1"/>
      <c r="K53" s="1"/>
      <c r="L53" s="1"/>
      <c r="M53" s="248"/>
      <c r="N53" s="268"/>
      <c r="O53" s="299">
        <v>0</v>
      </c>
      <c r="P53" s="300">
        <f t="shared" si="27"/>
        <v>0</v>
      </c>
      <c r="Q53" s="301">
        <f t="shared" si="18"/>
        <v>0</v>
      </c>
      <c r="R53" s="302">
        <v>0</v>
      </c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</row>
    <row r="54" spans="1:60" s="176" customFormat="1" ht="15.75" thickBot="1" x14ac:dyDescent="0.3">
      <c r="A54" s="180"/>
      <c r="B54" s="181"/>
      <c r="C54" s="182"/>
      <c r="D54" s="181"/>
      <c r="E54" s="181"/>
      <c r="F54" s="181"/>
      <c r="G54" s="181"/>
      <c r="H54" s="181"/>
      <c r="I54" s="181"/>
      <c r="J54" s="181"/>
      <c r="K54" s="181"/>
      <c r="L54" s="181"/>
      <c r="M54" s="269"/>
      <c r="N54" s="270"/>
      <c r="O54" s="303">
        <v>0</v>
      </c>
      <c r="P54" s="304">
        <f t="shared" si="27"/>
        <v>0</v>
      </c>
      <c r="Q54" s="305">
        <f t="shared" si="18"/>
        <v>0</v>
      </c>
      <c r="R54" s="306">
        <v>0</v>
      </c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</row>
    <row r="55" spans="1:60" ht="15.75" thickBot="1" x14ac:dyDescent="0.3">
      <c r="J55" s="183"/>
      <c r="K55" s="184"/>
      <c r="L55" s="184"/>
      <c r="M55" s="271"/>
      <c r="N55" s="272" t="s">
        <v>127</v>
      </c>
      <c r="O55" s="185"/>
      <c r="P55" s="244">
        <f>SUM(P10:P54)</f>
        <v>74.78473439511906</v>
      </c>
      <c r="Q55" s="244">
        <f>SUM(Q10:Q54)</f>
        <v>44122.993293120257</v>
      </c>
      <c r="R55" s="245">
        <f>SUM(R10:R54)</f>
        <v>0</v>
      </c>
    </row>
    <row r="56" spans="1:60" ht="15.75" thickBot="1" x14ac:dyDescent="0.3">
      <c r="J56" s="186">
        <v>178</v>
      </c>
      <c r="K56" s="187"/>
      <c r="L56" s="188"/>
      <c r="M56" s="273" t="s">
        <v>128</v>
      </c>
      <c r="N56" s="274" t="s">
        <v>129</v>
      </c>
      <c r="O56" s="185">
        <v>448.57</v>
      </c>
      <c r="P56" s="185">
        <f>+O56/L4</f>
        <v>0.76028813559322028</v>
      </c>
      <c r="Q56" s="189">
        <f>+P56*$L$4</f>
        <v>448.57</v>
      </c>
      <c r="R56" s="318">
        <f>+O56</f>
        <v>448.57</v>
      </c>
    </row>
    <row r="57" spans="1:60" x14ac:dyDescent="0.25">
      <c r="J57" s="190"/>
      <c r="K57" s="191"/>
      <c r="L57" s="192"/>
      <c r="M57" s="275" t="s">
        <v>130</v>
      </c>
      <c r="N57" s="276" t="s">
        <v>131</v>
      </c>
      <c r="O57" s="185"/>
      <c r="P57" s="185">
        <f>+O57/L4</f>
        <v>0</v>
      </c>
      <c r="Q57" s="189">
        <f t="shared" ref="Q57:Q63" si="28">+P57*$L$4</f>
        <v>0</v>
      </c>
      <c r="R57" s="189">
        <v>0</v>
      </c>
    </row>
    <row r="58" spans="1:60" x14ac:dyDescent="0.25">
      <c r="J58" s="190"/>
      <c r="K58" s="191"/>
      <c r="L58" s="192"/>
      <c r="M58" s="275" t="s">
        <v>132</v>
      </c>
      <c r="N58" s="277" t="s">
        <v>133</v>
      </c>
      <c r="O58" s="185">
        <v>0</v>
      </c>
      <c r="P58" s="185">
        <v>0</v>
      </c>
      <c r="Q58" s="189">
        <f t="shared" si="28"/>
        <v>0</v>
      </c>
      <c r="R58" s="189">
        <v>0</v>
      </c>
    </row>
    <row r="59" spans="1:60" x14ac:dyDescent="0.25">
      <c r="J59" s="190"/>
      <c r="K59" s="191"/>
      <c r="L59" s="192"/>
      <c r="M59" s="275" t="s">
        <v>134</v>
      </c>
      <c r="N59" s="277" t="s">
        <v>135</v>
      </c>
      <c r="O59" s="185">
        <v>0</v>
      </c>
      <c r="P59" s="185">
        <f>+O59/1900</f>
        <v>0</v>
      </c>
      <c r="Q59" s="189">
        <f t="shared" si="28"/>
        <v>0</v>
      </c>
      <c r="R59" s="189">
        <v>0</v>
      </c>
    </row>
    <row r="60" spans="1:60" x14ac:dyDescent="0.25">
      <c r="J60" s="190"/>
      <c r="K60" s="191"/>
      <c r="L60" s="192"/>
      <c r="M60" s="275" t="s">
        <v>134</v>
      </c>
      <c r="N60" s="277" t="s">
        <v>136</v>
      </c>
      <c r="O60" s="185">
        <v>0</v>
      </c>
      <c r="P60" s="185">
        <f>+O60/1900</f>
        <v>0</v>
      </c>
      <c r="Q60" s="189">
        <f t="shared" si="28"/>
        <v>0</v>
      </c>
      <c r="R60" s="189">
        <v>0</v>
      </c>
      <c r="V60" s="176"/>
    </row>
    <row r="61" spans="1:60" x14ac:dyDescent="0.25">
      <c r="J61" s="190"/>
      <c r="K61" s="191"/>
      <c r="L61" s="192"/>
      <c r="M61" s="275" t="s">
        <v>134</v>
      </c>
      <c r="N61" s="277" t="s">
        <v>137</v>
      </c>
      <c r="O61" s="185">
        <v>0</v>
      </c>
      <c r="P61" s="185">
        <f t="shared" ref="P61" si="29">+O61</f>
        <v>0</v>
      </c>
      <c r="Q61" s="189">
        <f t="shared" si="28"/>
        <v>0</v>
      </c>
      <c r="R61" s="189">
        <v>0</v>
      </c>
      <c r="V61" s="176"/>
    </row>
    <row r="62" spans="1:60" ht="15.75" thickBot="1" x14ac:dyDescent="0.3">
      <c r="J62" s="193"/>
      <c r="K62" s="194"/>
      <c r="L62" s="195"/>
      <c r="M62" s="278" t="s">
        <v>134</v>
      </c>
      <c r="N62" s="254" t="s">
        <v>133</v>
      </c>
      <c r="O62" s="185">
        <v>0</v>
      </c>
      <c r="P62" s="185">
        <v>0</v>
      </c>
      <c r="Q62" s="189">
        <f t="shared" si="28"/>
        <v>0</v>
      </c>
      <c r="R62" s="189">
        <v>0</v>
      </c>
      <c r="V62" s="176"/>
    </row>
    <row r="63" spans="1:60" x14ac:dyDescent="0.25">
      <c r="J63" s="192"/>
      <c r="K63" s="192"/>
      <c r="L63" s="192"/>
      <c r="M63" s="275">
        <f>25.78*1.16</f>
        <v>29.904799999999998</v>
      </c>
      <c r="P63" s="196">
        <f>SUM(P55:P62)-P59-P60</f>
        <v>75.545022530712274</v>
      </c>
      <c r="Q63" s="246">
        <f t="shared" si="28"/>
        <v>44571.563293120242</v>
      </c>
      <c r="R63" s="247">
        <f>+R55+R56</f>
        <v>448.57</v>
      </c>
      <c r="S63">
        <v>22414.030799999997</v>
      </c>
      <c r="T63" s="237">
        <f>+R63-S63</f>
        <v>-21965.460799999997</v>
      </c>
      <c r="V63" s="176"/>
    </row>
    <row r="64" spans="1:60" ht="15.75" x14ac:dyDescent="0.25">
      <c r="J64" s="192"/>
      <c r="K64" s="192"/>
      <c r="L64" s="192"/>
      <c r="O64" s="197" t="s">
        <v>138</v>
      </c>
      <c r="P64" s="198">
        <v>36</v>
      </c>
      <c r="S64" s="176"/>
      <c r="T64" s="176"/>
      <c r="V64" s="176"/>
    </row>
    <row r="65" spans="10:22" ht="15.75" x14ac:dyDescent="0.25">
      <c r="J65" s="192"/>
      <c r="K65" s="192"/>
      <c r="L65" s="192"/>
      <c r="O65" s="197" t="s">
        <v>139</v>
      </c>
      <c r="P65" s="199">
        <v>30</v>
      </c>
      <c r="V65" s="176"/>
    </row>
    <row r="66" spans="10:22" ht="16.5" thickBot="1" x14ac:dyDescent="0.3">
      <c r="O66" s="197"/>
      <c r="P66" s="196">
        <f>SUM(P63:P65)</f>
        <v>141.54502253071229</v>
      </c>
      <c r="V66" s="237"/>
    </row>
    <row r="67" spans="10:22" ht="16.5" thickBot="1" x14ac:dyDescent="0.3">
      <c r="O67" s="200" t="s">
        <v>140</v>
      </c>
      <c r="P67" s="201">
        <f>+J56</f>
        <v>178</v>
      </c>
    </row>
    <row r="68" spans="10:22" ht="15.75" x14ac:dyDescent="0.25">
      <c r="O68" s="197" t="s">
        <v>141</v>
      </c>
      <c r="P68" s="202">
        <f>+P67-P66</f>
        <v>36.454977469287712</v>
      </c>
      <c r="S68" s="176">
        <f>+S67/5683</f>
        <v>0</v>
      </c>
    </row>
    <row r="70" spans="10:22" x14ac:dyDescent="0.25">
      <c r="P70">
        <f>+P67*1.12</f>
        <v>199.36</v>
      </c>
    </row>
    <row r="71" spans="10:22" x14ac:dyDescent="0.25">
      <c r="O71" s="162" t="s">
        <v>141</v>
      </c>
      <c r="P71" s="237">
        <f>+P70-P66</f>
        <v>57.814977469287726</v>
      </c>
    </row>
  </sheetData>
  <mergeCells count="12">
    <mergeCell ref="C3:D3"/>
    <mergeCell ref="O3:R3"/>
    <mergeCell ref="C4:D4"/>
    <mergeCell ref="R10:R15"/>
    <mergeCell ref="R16:R17"/>
    <mergeCell ref="A30:A32"/>
    <mergeCell ref="A33:A35"/>
    <mergeCell ref="M10:M15"/>
    <mergeCell ref="N10:N15"/>
    <mergeCell ref="M16:M17"/>
    <mergeCell ref="N16:N17"/>
    <mergeCell ref="M30:M35"/>
  </mergeCells>
  <printOptions horizontalCentered="1"/>
  <pageMargins left="0" right="0" top="0" bottom="0" header="0" footer="0"/>
  <pageSetup scale="49" orientation="portrait" r:id="rId1"/>
  <ignoredErrors>
    <ignoredError sqref="K38 Q55 O22 O39 O16 K21 F29 F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16A7-F4B2-47AA-99B8-29CCCEFFD808}">
  <sheetPr>
    <pageSetUpPr fitToPage="1"/>
  </sheetPr>
  <dimension ref="A1:BE24"/>
  <sheetViews>
    <sheetView zoomScale="90" zoomScaleNormal="90" workbookViewId="0">
      <pane ySplit="9" topLeftCell="A19" activePane="bottomLeft" state="frozen"/>
      <selection pane="bottomLeft" activeCell="D19" sqref="D19"/>
    </sheetView>
  </sheetViews>
  <sheetFormatPr baseColWidth="10" defaultRowHeight="15" x14ac:dyDescent="0.25"/>
  <cols>
    <col min="1" max="1" width="17.7109375" customWidth="1"/>
    <col min="2" max="2" width="25.85546875" customWidth="1"/>
    <col min="3" max="3" width="18.85546875" bestFit="1" customWidth="1"/>
    <col min="4" max="4" width="16.42578125" customWidth="1"/>
    <col min="5" max="5" width="13.28515625" hidden="1" customWidth="1"/>
    <col min="6" max="6" width="10.5703125" hidden="1" customWidth="1"/>
    <col min="7" max="7" width="9.28515625" hidden="1" customWidth="1"/>
    <col min="8" max="8" width="8" hidden="1" customWidth="1"/>
    <col min="9" max="9" width="12.140625" customWidth="1"/>
    <col min="10" max="10" width="10.7109375" customWidth="1"/>
    <col min="11" max="11" width="16.140625" customWidth="1"/>
    <col min="12" max="12" width="20.85546875" customWidth="1"/>
    <col min="13" max="16" width="11.42578125" customWidth="1"/>
  </cols>
  <sheetData>
    <row r="1" spans="1:57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57" ht="15.75" thickBot="1" x14ac:dyDescent="0.3">
      <c r="A2" s="1"/>
      <c r="B2" s="1"/>
      <c r="C2" s="1" t="s">
        <v>0</v>
      </c>
      <c r="D2" s="6"/>
      <c r="E2" s="1"/>
      <c r="F2" s="1"/>
      <c r="G2" s="1"/>
      <c r="H2" s="1"/>
      <c r="I2" s="1"/>
      <c r="J2" s="1"/>
      <c r="K2" s="7" t="s">
        <v>1</v>
      </c>
      <c r="L2" s="8">
        <f>+'863712 BASE DEL 330-69'!L2</f>
        <v>0</v>
      </c>
      <c r="M2" s="1"/>
      <c r="N2" s="1"/>
      <c r="O2" s="1"/>
      <c r="P2" s="1"/>
    </row>
    <row r="3" spans="1:57" ht="24" thickBot="1" x14ac:dyDescent="0.4">
      <c r="A3" s="1"/>
      <c r="B3" s="1"/>
      <c r="C3" s="325">
        <v>863712</v>
      </c>
      <c r="D3" s="326"/>
      <c r="E3" s="1"/>
      <c r="F3" s="1"/>
      <c r="G3" s="1"/>
      <c r="H3" s="1"/>
      <c r="I3" s="1"/>
      <c r="J3" s="1"/>
      <c r="K3" s="13" t="s">
        <v>2</v>
      </c>
      <c r="L3" s="14">
        <f>+'863712 BASE DEL 330-69'!L3</f>
        <v>202540</v>
      </c>
      <c r="M3" s="1"/>
      <c r="N3" s="1"/>
      <c r="O3" s="1"/>
      <c r="P3" s="1"/>
    </row>
    <row r="4" spans="1:57" ht="16.5" thickBot="1" x14ac:dyDescent="0.3">
      <c r="A4" s="1"/>
      <c r="B4" s="1"/>
      <c r="C4" s="325" t="s">
        <v>4</v>
      </c>
      <c r="D4" s="326"/>
      <c r="E4" s="1"/>
      <c r="F4" s="1"/>
      <c r="G4" s="1"/>
      <c r="H4" s="1"/>
      <c r="I4" s="1"/>
      <c r="J4" s="1"/>
      <c r="K4" s="6" t="s">
        <v>5</v>
      </c>
      <c r="L4" s="15">
        <f>+'863712 BASE DEL 330-69'!L4</f>
        <v>590</v>
      </c>
      <c r="M4" s="16"/>
      <c r="N4" s="16"/>
      <c r="O4" s="16"/>
      <c r="P4" s="8"/>
    </row>
    <row r="5" spans="1:57" ht="15.75" thickBot="1" x14ac:dyDescent="0.3">
      <c r="A5" s="1"/>
      <c r="B5" s="1"/>
      <c r="C5" s="17" t="s">
        <v>6</v>
      </c>
      <c r="D5" s="18" t="s">
        <v>7</v>
      </c>
      <c r="E5" s="1"/>
      <c r="F5" s="1"/>
      <c r="G5" s="1"/>
      <c r="H5" s="1"/>
      <c r="I5" s="1"/>
      <c r="J5" s="1"/>
      <c r="K5" s="1"/>
      <c r="L5" s="19"/>
      <c r="M5" s="1"/>
      <c r="N5" s="1"/>
      <c r="O5" s="1"/>
      <c r="P5" s="1"/>
    </row>
    <row r="6" spans="1:57" x14ac:dyDescent="0.25">
      <c r="A6" s="20"/>
      <c r="B6" s="21"/>
      <c r="C6" s="1"/>
      <c r="D6" s="1"/>
      <c r="E6" s="1"/>
      <c r="F6" s="1"/>
      <c r="G6" s="1"/>
      <c r="H6" s="1"/>
      <c r="I6" s="1"/>
      <c r="J6" s="1"/>
      <c r="K6" s="22" t="s">
        <v>8</v>
      </c>
      <c r="L6" s="23"/>
      <c r="M6" s="24"/>
      <c r="N6" s="24"/>
      <c r="O6" s="24"/>
      <c r="P6" s="1"/>
    </row>
    <row r="7" spans="1:57" ht="15.75" x14ac:dyDescent="0.25">
      <c r="A7" s="20" t="s">
        <v>9</v>
      </c>
      <c r="B7" s="21"/>
      <c r="C7" s="25" t="s">
        <v>10</v>
      </c>
      <c r="D7" s="1"/>
      <c r="E7" s="1"/>
      <c r="F7" s="1"/>
      <c r="G7" s="1"/>
      <c r="H7" s="1"/>
      <c r="I7" s="1"/>
      <c r="J7" s="26"/>
      <c r="K7" s="27"/>
      <c r="L7" s="28"/>
      <c r="M7" s="1"/>
      <c r="N7" s="1"/>
      <c r="O7" s="1"/>
      <c r="P7" s="1"/>
    </row>
    <row r="8" spans="1:57" ht="36.75" customHeight="1" thickBot="1" x14ac:dyDescent="0.3">
      <c r="A8" s="30">
        <v>45252</v>
      </c>
      <c r="B8" s="31" t="s">
        <v>11</v>
      </c>
      <c r="C8" s="32" t="s">
        <v>12</v>
      </c>
      <c r="D8" s="1"/>
      <c r="E8" s="1"/>
      <c r="F8" s="1"/>
      <c r="G8" s="1"/>
      <c r="H8" s="1"/>
      <c r="I8" s="1"/>
      <c r="J8" s="33"/>
      <c r="K8" s="34" t="s">
        <v>13</v>
      </c>
      <c r="L8" s="35"/>
      <c r="M8" s="1"/>
      <c r="N8" s="1"/>
      <c r="O8" s="1"/>
      <c r="P8" s="1"/>
    </row>
    <row r="9" spans="1:57" s="44" customFormat="1" ht="39.75" customHeight="1" thickBot="1" x14ac:dyDescent="0.3">
      <c r="A9" s="40" t="s">
        <v>14</v>
      </c>
      <c r="B9" s="41" t="s">
        <v>15</v>
      </c>
      <c r="C9" s="41" t="s">
        <v>16</v>
      </c>
      <c r="D9" s="41" t="s">
        <v>17</v>
      </c>
      <c r="E9" s="42" t="s">
        <v>18</v>
      </c>
      <c r="F9" s="42" t="s">
        <v>19</v>
      </c>
      <c r="G9" s="42" t="s">
        <v>20</v>
      </c>
      <c r="H9" s="42" t="s">
        <v>21</v>
      </c>
      <c r="I9" s="42" t="s">
        <v>22</v>
      </c>
      <c r="J9" s="42" t="s">
        <v>23</v>
      </c>
      <c r="K9" s="41" t="s">
        <v>24</v>
      </c>
      <c r="L9" s="43" t="s">
        <v>25</v>
      </c>
      <c r="M9" s="43" t="s">
        <v>142</v>
      </c>
      <c r="N9" s="43" t="s">
        <v>25</v>
      </c>
      <c r="O9" s="43" t="s">
        <v>143</v>
      </c>
      <c r="P9" s="43" t="s">
        <v>27</v>
      </c>
    </row>
    <row r="10" spans="1:57" s="59" customFormat="1" ht="27" customHeight="1" x14ac:dyDescent="0.25">
      <c r="A10" s="45" t="s">
        <v>32</v>
      </c>
      <c r="B10" s="46" t="s">
        <v>33</v>
      </c>
      <c r="C10" s="47" t="s">
        <v>34</v>
      </c>
      <c r="D10" s="48" t="s">
        <v>35</v>
      </c>
      <c r="E10" s="49">
        <v>66.62</v>
      </c>
      <c r="F10" s="50">
        <f>+E10*1.16</f>
        <v>77.279200000000003</v>
      </c>
      <c r="G10" s="51" t="s">
        <v>36</v>
      </c>
      <c r="H10" s="52">
        <v>137</v>
      </c>
      <c r="I10" s="53">
        <v>2.35</v>
      </c>
      <c r="J10" s="54" t="s">
        <v>37</v>
      </c>
      <c r="K10" s="203">
        <f>(I10*$L$4)/H10</f>
        <v>10.120437956204379</v>
      </c>
      <c r="L10" s="209" t="s">
        <v>38</v>
      </c>
      <c r="M10" s="335">
        <f>SUM(K10:K14)</f>
        <v>51.85109489051095</v>
      </c>
      <c r="N10" s="335" t="s">
        <v>38</v>
      </c>
      <c r="O10" s="335"/>
      <c r="P10" s="3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s="59" customFormat="1" ht="27" customHeight="1" x14ac:dyDescent="0.25">
      <c r="A11" s="60" t="s">
        <v>39</v>
      </c>
      <c r="B11" s="46" t="s">
        <v>33</v>
      </c>
      <c r="C11" s="47" t="s">
        <v>34</v>
      </c>
      <c r="D11" s="48" t="s">
        <v>35</v>
      </c>
      <c r="E11" s="49">
        <v>66.62</v>
      </c>
      <c r="F11" s="61">
        <f>+E11*1.16</f>
        <v>77.279200000000003</v>
      </c>
      <c r="G11" s="62" t="s">
        <v>36</v>
      </c>
      <c r="H11" s="63">
        <v>137</v>
      </c>
      <c r="I11" s="64">
        <v>2.25</v>
      </c>
      <c r="J11" s="65" t="s">
        <v>37</v>
      </c>
      <c r="K11" s="204">
        <f t="shared" ref="K11:K20" si="0">(I11*$L$4)/H11</f>
        <v>9.6897810218978098</v>
      </c>
      <c r="L11" s="211" t="s">
        <v>38</v>
      </c>
      <c r="M11" s="336"/>
      <c r="N11" s="336"/>
      <c r="O11" s="336"/>
      <c r="P11" s="336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s="59" customFormat="1" ht="27" customHeight="1" x14ac:dyDescent="0.25">
      <c r="A12" s="70" t="s">
        <v>40</v>
      </c>
      <c r="B12" s="46" t="s">
        <v>33</v>
      </c>
      <c r="C12" s="47" t="s">
        <v>34</v>
      </c>
      <c r="D12" s="48" t="s">
        <v>35</v>
      </c>
      <c r="E12" s="49">
        <v>66.62</v>
      </c>
      <c r="F12" s="61">
        <f t="shared" ref="F12:F22" si="1">+E12*1.16</f>
        <v>77.279200000000003</v>
      </c>
      <c r="G12" s="62" t="s">
        <v>36</v>
      </c>
      <c r="H12" s="63">
        <v>137</v>
      </c>
      <c r="I12" s="65">
        <v>4.82</v>
      </c>
      <c r="J12" s="65" t="s">
        <v>37</v>
      </c>
      <c r="K12" s="204">
        <f t="shared" si="0"/>
        <v>20.757664233576644</v>
      </c>
      <c r="L12" s="211" t="s">
        <v>38</v>
      </c>
      <c r="M12" s="336"/>
      <c r="N12" s="336"/>
      <c r="O12" s="336"/>
      <c r="P12" s="336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s="59" customFormat="1" ht="27" customHeight="1" x14ac:dyDescent="0.25">
      <c r="A13" s="71" t="s">
        <v>41</v>
      </c>
      <c r="B13" s="46" t="s">
        <v>33</v>
      </c>
      <c r="C13" s="47" t="s">
        <v>34</v>
      </c>
      <c r="D13" s="48" t="s">
        <v>35</v>
      </c>
      <c r="E13" s="49">
        <v>66.62</v>
      </c>
      <c r="F13" s="61">
        <f t="shared" si="1"/>
        <v>77.279200000000003</v>
      </c>
      <c r="G13" s="62" t="s">
        <v>36</v>
      </c>
      <c r="H13" s="63">
        <v>137</v>
      </c>
      <c r="I13" s="64">
        <v>0.48</v>
      </c>
      <c r="J13" s="65" t="s">
        <v>37</v>
      </c>
      <c r="K13" s="204">
        <f t="shared" si="0"/>
        <v>2.0671532846715328</v>
      </c>
      <c r="L13" s="211" t="s">
        <v>38</v>
      </c>
      <c r="M13" s="336"/>
      <c r="N13" s="336"/>
      <c r="O13" s="336"/>
      <c r="P13" s="336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s="59" customFormat="1" ht="27" customHeight="1" thickBot="1" x14ac:dyDescent="0.3">
      <c r="A14" s="72" t="s">
        <v>42</v>
      </c>
      <c r="B14" s="73" t="s">
        <v>33</v>
      </c>
      <c r="C14" s="74" t="s">
        <v>34</v>
      </c>
      <c r="D14" s="75" t="s">
        <v>35</v>
      </c>
      <c r="E14" s="76">
        <v>66.62</v>
      </c>
      <c r="F14" s="77">
        <f t="shared" si="1"/>
        <v>77.279200000000003</v>
      </c>
      <c r="G14" s="78" t="s">
        <v>36</v>
      </c>
      <c r="H14" s="79">
        <v>137</v>
      </c>
      <c r="I14" s="75">
        <v>2.14</v>
      </c>
      <c r="J14" s="74" t="s">
        <v>37</v>
      </c>
      <c r="K14" s="205">
        <f t="shared" si="0"/>
        <v>9.2160583941605854</v>
      </c>
      <c r="L14" s="210" t="s">
        <v>38</v>
      </c>
      <c r="M14" s="337"/>
      <c r="N14" s="337"/>
      <c r="O14" s="337"/>
      <c r="P14" s="337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s="59" customFormat="1" ht="27" customHeight="1" thickBot="1" x14ac:dyDescent="0.3">
      <c r="A15" s="81" t="s">
        <v>43</v>
      </c>
      <c r="B15" s="82" t="s">
        <v>44</v>
      </c>
      <c r="C15" s="83" t="s">
        <v>34</v>
      </c>
      <c r="D15" s="84" t="s">
        <v>35</v>
      </c>
      <c r="E15" s="85">
        <v>66.62</v>
      </c>
      <c r="F15" s="86">
        <f>+E15*1.16</f>
        <v>77.279200000000003</v>
      </c>
      <c r="G15" s="87" t="s">
        <v>36</v>
      </c>
      <c r="H15" s="88">
        <v>137</v>
      </c>
      <c r="I15" s="84">
        <v>7.452</v>
      </c>
      <c r="J15" s="83" t="s">
        <v>37</v>
      </c>
      <c r="K15" s="206">
        <f t="shared" si="0"/>
        <v>32.09255474452555</v>
      </c>
      <c r="L15" s="124" t="s">
        <v>38</v>
      </c>
      <c r="M15" s="212">
        <f>+K15</f>
        <v>32.09255474452555</v>
      </c>
      <c r="N15" s="212" t="s">
        <v>38</v>
      </c>
      <c r="O15" s="212"/>
      <c r="P15" s="21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ht="44.25" customHeight="1" x14ac:dyDescent="0.25">
      <c r="A16" s="93" t="s">
        <v>45</v>
      </c>
      <c r="B16" s="94" t="s">
        <v>46</v>
      </c>
      <c r="C16" s="54" t="s">
        <v>47</v>
      </c>
      <c r="D16" s="53" t="s">
        <v>48</v>
      </c>
      <c r="E16" s="51">
        <v>72</v>
      </c>
      <c r="F16" s="50">
        <f t="shared" si="1"/>
        <v>83.52</v>
      </c>
      <c r="G16" s="95" t="s">
        <v>36</v>
      </c>
      <c r="H16" s="96">
        <v>137</v>
      </c>
      <c r="I16" s="97">
        <v>2.35</v>
      </c>
      <c r="J16" s="54" t="s">
        <v>37</v>
      </c>
      <c r="K16" s="207">
        <f>(I16*$L$4)/H16</f>
        <v>10.120437956204379</v>
      </c>
      <c r="L16" s="209" t="s">
        <v>38</v>
      </c>
      <c r="M16" s="335">
        <f>SUM(K16:K17)</f>
        <v>14.082481751824817</v>
      </c>
      <c r="N16" s="335" t="s">
        <v>38</v>
      </c>
      <c r="O16" s="335"/>
      <c r="P16" s="335"/>
    </row>
    <row r="17" spans="1:57" s="59" customFormat="1" ht="29.25" customHeight="1" thickBot="1" x14ac:dyDescent="0.3">
      <c r="A17" s="98" t="s">
        <v>49</v>
      </c>
      <c r="B17" s="99" t="s">
        <v>46</v>
      </c>
      <c r="C17" s="100" t="s">
        <v>47</v>
      </c>
      <c r="D17" s="101" t="s">
        <v>48</v>
      </c>
      <c r="E17" s="102">
        <v>72</v>
      </c>
      <c r="F17" s="103">
        <f t="shared" si="1"/>
        <v>83.52</v>
      </c>
      <c r="G17" s="104" t="s">
        <v>36</v>
      </c>
      <c r="H17" s="105">
        <v>137</v>
      </c>
      <c r="I17" s="106">
        <v>0.92</v>
      </c>
      <c r="J17" s="100" t="s">
        <v>37</v>
      </c>
      <c r="K17" s="208">
        <f t="shared" si="0"/>
        <v>3.9620437956204384</v>
      </c>
      <c r="L17" s="115" t="s">
        <v>38</v>
      </c>
      <c r="M17" s="337"/>
      <c r="N17" s="337"/>
      <c r="O17" s="337"/>
      <c r="P17" s="33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s="59" customFormat="1" ht="39" customHeight="1" thickBot="1" x14ac:dyDescent="0.3">
      <c r="A18" s="81" t="s">
        <v>50</v>
      </c>
      <c r="B18" s="108" t="s">
        <v>51</v>
      </c>
      <c r="C18" s="109" t="s">
        <v>52</v>
      </c>
      <c r="D18" s="84" t="s">
        <v>53</v>
      </c>
      <c r="E18" s="87">
        <v>43</v>
      </c>
      <c r="F18" s="86">
        <f t="shared" si="1"/>
        <v>49.879999999999995</v>
      </c>
      <c r="G18" s="85" t="s">
        <v>36</v>
      </c>
      <c r="H18" s="110">
        <v>137</v>
      </c>
      <c r="I18" s="84">
        <f>16.51+0.4</f>
        <v>16.91</v>
      </c>
      <c r="J18" s="83" t="s">
        <v>37</v>
      </c>
      <c r="K18" s="206">
        <f t="shared" si="0"/>
        <v>72.824087591240868</v>
      </c>
      <c r="L18" s="124" t="s">
        <v>38</v>
      </c>
      <c r="M18" s="212">
        <f t="shared" ref="M18:M24" si="2">+K18</f>
        <v>72.824087591240868</v>
      </c>
      <c r="N18" s="212" t="s">
        <v>38</v>
      </c>
      <c r="O18" s="212"/>
      <c r="P18" s="21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s="59" customFormat="1" ht="29.25" customHeight="1" thickBot="1" x14ac:dyDescent="0.3">
      <c r="A19" s="81" t="s">
        <v>54</v>
      </c>
      <c r="B19" s="108" t="s">
        <v>55</v>
      </c>
      <c r="C19" s="83" t="s">
        <v>4</v>
      </c>
      <c r="D19" s="84" t="s">
        <v>53</v>
      </c>
      <c r="E19" s="87">
        <v>17.86</v>
      </c>
      <c r="F19" s="86">
        <f t="shared" si="1"/>
        <v>20.717599999999997</v>
      </c>
      <c r="G19" s="85" t="s">
        <v>36</v>
      </c>
      <c r="H19" s="110">
        <v>137</v>
      </c>
      <c r="I19" s="84">
        <v>10.08</v>
      </c>
      <c r="J19" s="83" t="s">
        <v>37</v>
      </c>
      <c r="K19" s="206">
        <f t="shared" si="0"/>
        <v>43.410218978102186</v>
      </c>
      <c r="L19" s="124" t="s">
        <v>38</v>
      </c>
      <c r="M19" s="212">
        <f t="shared" si="2"/>
        <v>43.410218978102186</v>
      </c>
      <c r="N19" s="212" t="s">
        <v>38</v>
      </c>
      <c r="O19" s="212"/>
      <c r="P19" s="21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s="59" customFormat="1" ht="39" customHeight="1" thickBot="1" x14ac:dyDescent="0.3">
      <c r="A20" s="98" t="s">
        <v>56</v>
      </c>
      <c r="B20" s="111" t="s">
        <v>57</v>
      </c>
      <c r="C20" s="100" t="s">
        <v>58</v>
      </c>
      <c r="D20" s="101" t="s">
        <v>59</v>
      </c>
      <c r="E20" s="104">
        <v>56.3</v>
      </c>
      <c r="F20" s="103">
        <f t="shared" si="1"/>
        <v>65.307999999999993</v>
      </c>
      <c r="G20" s="102" t="s">
        <v>36</v>
      </c>
      <c r="H20" s="112">
        <v>137</v>
      </c>
      <c r="I20" s="101">
        <v>4.5</v>
      </c>
      <c r="J20" s="100" t="s">
        <v>37</v>
      </c>
      <c r="K20" s="208">
        <f t="shared" si="0"/>
        <v>19.37956204379562</v>
      </c>
      <c r="L20" s="115" t="s">
        <v>38</v>
      </c>
      <c r="M20" s="213">
        <f t="shared" si="2"/>
        <v>19.37956204379562</v>
      </c>
      <c r="N20" s="213" t="s">
        <v>38</v>
      </c>
      <c r="O20" s="213"/>
      <c r="P20" s="213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ht="30.75" thickBot="1" x14ac:dyDescent="0.3">
      <c r="A21" s="113" t="s">
        <v>60</v>
      </c>
      <c r="B21" s="111" t="s">
        <v>61</v>
      </c>
      <c r="C21" s="114" t="s">
        <v>62</v>
      </c>
      <c r="D21" s="101" t="s">
        <v>59</v>
      </c>
      <c r="E21" s="104">
        <v>7.48</v>
      </c>
      <c r="F21" s="102">
        <f>+E21*1</f>
        <v>7.48</v>
      </c>
      <c r="G21" s="102" t="s">
        <v>63</v>
      </c>
      <c r="H21" s="112">
        <v>18</v>
      </c>
      <c r="I21" s="101">
        <f>(1/12)</f>
        <v>8.3333333333333329E-2</v>
      </c>
      <c r="J21" s="100" t="s">
        <v>63</v>
      </c>
      <c r="K21" s="208">
        <f>(I21*$L$4)</f>
        <v>49.166666666666664</v>
      </c>
      <c r="L21" s="115" t="s">
        <v>63</v>
      </c>
      <c r="M21" s="213">
        <f t="shared" si="2"/>
        <v>49.166666666666664</v>
      </c>
      <c r="N21" s="213" t="s">
        <v>144</v>
      </c>
      <c r="O21" s="213"/>
      <c r="P21" s="213"/>
    </row>
    <row r="22" spans="1:57" ht="33.75" customHeight="1" thickBot="1" x14ac:dyDescent="0.3">
      <c r="A22" s="119" t="s">
        <v>64</v>
      </c>
      <c r="B22" s="82" t="s">
        <v>65</v>
      </c>
      <c r="C22" s="83" t="s">
        <v>66</v>
      </c>
      <c r="D22" s="84" t="s">
        <v>53</v>
      </c>
      <c r="E22" s="87">
        <v>91.8</v>
      </c>
      <c r="F22" s="87">
        <f t="shared" si="1"/>
        <v>106.48799999999999</v>
      </c>
      <c r="G22" s="87" t="s">
        <v>67</v>
      </c>
      <c r="H22" s="88">
        <f>1.2*100</f>
        <v>120</v>
      </c>
      <c r="I22" s="83">
        <v>2.14</v>
      </c>
      <c r="J22" s="83" t="s">
        <v>37</v>
      </c>
      <c r="K22" s="206">
        <f>(I22*$L$4)/H22</f>
        <v>10.521666666666668</v>
      </c>
      <c r="L22" s="124" t="s">
        <v>68</v>
      </c>
      <c r="M22" s="212">
        <f t="shared" si="2"/>
        <v>10.521666666666668</v>
      </c>
      <c r="N22" s="212" t="s">
        <v>129</v>
      </c>
      <c r="O22" s="212"/>
      <c r="P22" s="212"/>
    </row>
    <row r="23" spans="1:57" ht="28.5" customHeight="1" thickBot="1" x14ac:dyDescent="0.3">
      <c r="A23" s="121" t="s">
        <v>69</v>
      </c>
      <c r="B23" s="82" t="s">
        <v>70</v>
      </c>
      <c r="C23" s="83" t="s">
        <v>71</v>
      </c>
      <c r="D23" s="84" t="s">
        <v>72</v>
      </c>
      <c r="E23" s="85">
        <v>18</v>
      </c>
      <c r="F23" s="86">
        <f>+E23*1.16</f>
        <v>20.88</v>
      </c>
      <c r="G23" s="87" t="s">
        <v>36</v>
      </c>
      <c r="H23" s="88">
        <f>0.54*120</f>
        <v>64.800000000000011</v>
      </c>
      <c r="I23" s="122">
        <v>1.7929999999999999</v>
      </c>
      <c r="J23" s="83" t="s">
        <v>37</v>
      </c>
      <c r="K23" s="206">
        <f>(I23*$L$4)/H23</f>
        <v>16.32515432098765</v>
      </c>
      <c r="L23" s="124" t="s">
        <v>68</v>
      </c>
      <c r="M23" s="212">
        <f t="shared" si="2"/>
        <v>16.32515432098765</v>
      </c>
      <c r="N23" s="212" t="s">
        <v>129</v>
      </c>
      <c r="O23" s="212"/>
      <c r="P23" s="212"/>
    </row>
    <row r="24" spans="1:57" s="59" customFormat="1" ht="46.5" customHeight="1" thickBot="1" x14ac:dyDescent="0.3">
      <c r="A24" s="119" t="s">
        <v>79</v>
      </c>
      <c r="B24" s="82" t="s">
        <v>80</v>
      </c>
      <c r="C24" s="83" t="s">
        <v>81</v>
      </c>
      <c r="D24" s="84" t="s">
        <v>53</v>
      </c>
      <c r="E24" s="87">
        <v>46.79</v>
      </c>
      <c r="F24" s="87">
        <f t="shared" ref="F24" si="3">+E24*1.16</f>
        <v>54.276399999999995</v>
      </c>
      <c r="G24" s="87" t="s">
        <v>67</v>
      </c>
      <c r="H24" s="88" t="s">
        <v>77</v>
      </c>
      <c r="I24" s="125">
        <f>1/36</f>
        <v>2.7777777777777776E-2</v>
      </c>
      <c r="J24" s="83" t="s">
        <v>67</v>
      </c>
      <c r="K24" s="206">
        <f>+I24*$L$4</f>
        <v>16.388888888888889</v>
      </c>
      <c r="L24" s="124" t="s">
        <v>68</v>
      </c>
      <c r="M24" s="214">
        <f t="shared" si="2"/>
        <v>16.388888888888889</v>
      </c>
      <c r="N24" s="214" t="s">
        <v>129</v>
      </c>
      <c r="O24" s="214"/>
      <c r="P24" s="21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</sheetData>
  <mergeCells count="10">
    <mergeCell ref="C3:D3"/>
    <mergeCell ref="C4:D4"/>
    <mergeCell ref="M10:M14"/>
    <mergeCell ref="M16:M17"/>
    <mergeCell ref="N10:N14"/>
    <mergeCell ref="O10:O14"/>
    <mergeCell ref="P10:P14"/>
    <mergeCell ref="N16:N17"/>
    <mergeCell ref="O16:O17"/>
    <mergeCell ref="P16:P17"/>
  </mergeCells>
  <printOptions horizontalCentered="1"/>
  <pageMargins left="0" right="0" top="0" bottom="0" header="0" footer="0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863712 BASE DEL 330-69</vt:lpstr>
      <vt:lpstr>PARA CORTE</vt:lpstr>
      <vt:lpstr>'863712 BASE DEL 330-69'!Área_de_impresión</vt:lpstr>
      <vt:lpstr>'PARA CORTE'!Área_de_impresión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Admon lenmarq</dc:creator>
  <cp:lastModifiedBy>AdmonLen</cp:lastModifiedBy>
  <cp:lastPrinted>2025-04-01T23:47:07Z</cp:lastPrinted>
  <dcterms:created xsi:type="dcterms:W3CDTF">2024-01-22T17:10:19Z</dcterms:created>
  <dcterms:modified xsi:type="dcterms:W3CDTF">2025-09-24T23:09:50Z</dcterms:modified>
</cp:coreProperties>
</file>