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s\COMPARTIDO\MACC 2025\SEM 202541\"/>
    </mc:Choice>
  </mc:AlternateContent>
  <xr:revisionPtr revIDLastSave="0" documentId="13_ncr:1_{945DEDBE-3C55-41FB-9649-F3D4AC5BFA52}" xr6:coauthVersionLast="47" xr6:coauthVersionMax="47" xr10:uidLastSave="{00000000-0000-0000-0000-000000000000}"/>
  <bookViews>
    <workbookView xWindow="-120" yWindow="-120" windowWidth="20730" windowHeight="11310" xr2:uid="{CF42726B-5DAA-4C3D-A307-D88C004C9398}"/>
  </bookViews>
  <sheets>
    <sheet name="80380201" sheetId="3" r:id="rId1"/>
    <sheet name="PARA CORTE" sheetId="4" r:id="rId2"/>
  </sheets>
  <definedNames>
    <definedName name="_xlnm.Print_Area" localSheetId="0">'80380201'!$A$2:$N$40</definedName>
    <definedName name="_xlnm.Print_Area" localSheetId="1">'PARA CORTE'!$A$2:$P$12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3" l="1"/>
  <c r="F13" i="3"/>
  <c r="R13" i="3"/>
  <c r="R16" i="3"/>
  <c r="F17" i="3"/>
  <c r="R17" i="3"/>
  <c r="R14" i="3"/>
  <c r="R15" i="3"/>
  <c r="R9" i="3"/>
  <c r="R11" i="3"/>
  <c r="R18" i="3"/>
  <c r="R19" i="3"/>
  <c r="R20" i="3"/>
  <c r="R21" i="3"/>
  <c r="R22" i="3"/>
  <c r="R23" i="3"/>
  <c r="R24" i="3"/>
  <c r="R25" i="3"/>
  <c r="R41" i="3"/>
  <c r="T41" i="3"/>
  <c r="K22" i="3"/>
  <c r="F16" i="3"/>
  <c r="F9" i="3"/>
  <c r="F11" i="3"/>
  <c r="F14" i="3"/>
  <c r="F18" i="3"/>
  <c r="F19" i="3"/>
  <c r="F20" i="3"/>
  <c r="F21" i="3"/>
  <c r="F22" i="3"/>
  <c r="F23" i="3"/>
  <c r="F25" i="3"/>
  <c r="I15" i="3"/>
  <c r="O13" i="3"/>
  <c r="P13" i="3"/>
  <c r="Q13" i="3"/>
  <c r="K13" i="3"/>
  <c r="R42" i="3"/>
  <c r="K16" i="3"/>
  <c r="O16" i="3"/>
  <c r="P16" i="3"/>
  <c r="Q16" i="3"/>
  <c r="K23" i="3"/>
  <c r="F10" i="3"/>
  <c r="F12" i="3"/>
  <c r="O21" i="3"/>
  <c r="P21" i="3"/>
  <c r="Q21" i="3"/>
  <c r="O9" i="3"/>
  <c r="P9" i="3"/>
  <c r="Q9" i="3"/>
  <c r="O10" i="3"/>
  <c r="P10" i="3"/>
  <c r="Q10" i="3"/>
  <c r="O11" i="3"/>
  <c r="P11" i="3"/>
  <c r="Q11" i="3"/>
  <c r="O14" i="3"/>
  <c r="P14" i="3"/>
  <c r="Q14" i="3"/>
  <c r="O12" i="3"/>
  <c r="P12" i="3"/>
  <c r="Q12" i="3"/>
  <c r="O15" i="3"/>
  <c r="P15" i="3"/>
  <c r="Q15" i="3"/>
  <c r="O17" i="3"/>
  <c r="P17" i="3"/>
  <c r="Q17" i="3"/>
  <c r="Q18" i="3"/>
  <c r="O19" i="3"/>
  <c r="P19" i="3"/>
  <c r="Q19" i="3"/>
  <c r="Q20" i="3"/>
  <c r="O22" i="3"/>
  <c r="P22" i="3"/>
  <c r="Q22" i="3"/>
  <c r="O23" i="3"/>
  <c r="P23" i="3"/>
  <c r="Q23" i="3"/>
  <c r="O25" i="3"/>
  <c r="P25" i="3"/>
  <c r="Q25" i="3"/>
  <c r="O26" i="3"/>
  <c r="P26" i="3"/>
  <c r="Q26" i="3"/>
  <c r="O27" i="3"/>
  <c r="P27" i="3"/>
  <c r="Q27" i="3"/>
  <c r="O28" i="3"/>
  <c r="P28" i="3"/>
  <c r="Q28" i="3"/>
  <c r="P29" i="3"/>
  <c r="Q29" i="3"/>
  <c r="P30" i="3"/>
  <c r="Q30" i="3"/>
  <c r="O31" i="3"/>
  <c r="P31" i="3"/>
  <c r="Q31" i="3"/>
  <c r="P32" i="3"/>
  <c r="Q32" i="3"/>
  <c r="P33" i="3"/>
  <c r="Q33" i="3"/>
  <c r="O34" i="3"/>
  <c r="P34" i="3"/>
  <c r="Q34" i="3"/>
  <c r="P35" i="3"/>
  <c r="Q35" i="3"/>
  <c r="O36" i="3"/>
  <c r="P36" i="3"/>
  <c r="Q36" i="3"/>
  <c r="O37" i="3"/>
  <c r="P37" i="3"/>
  <c r="Q37" i="3"/>
  <c r="O38" i="3"/>
  <c r="P38" i="3"/>
  <c r="Q38" i="3"/>
  <c r="P39" i="3"/>
  <c r="Q39" i="3"/>
  <c r="P40" i="3"/>
  <c r="Q40" i="3"/>
  <c r="Q41" i="3"/>
  <c r="K12" i="3"/>
  <c r="K15" i="3"/>
  <c r="L4" i="4"/>
  <c r="K10" i="4"/>
  <c r="K11" i="4"/>
  <c r="M10" i="4"/>
  <c r="L5" i="4"/>
  <c r="L3" i="4"/>
  <c r="L2" i="4"/>
  <c r="I12" i="4"/>
  <c r="Q49" i="3"/>
  <c r="R49" i="3"/>
  <c r="F12" i="4"/>
  <c r="F11" i="4"/>
  <c r="F10" i="4"/>
  <c r="F9" i="4"/>
  <c r="P59" i="3"/>
  <c r="P57" i="3"/>
  <c r="P55" i="3"/>
  <c r="P54" i="3"/>
  <c r="Q54" i="3"/>
  <c r="R54" i="3"/>
  <c r="B27" i="3"/>
  <c r="C26" i="3"/>
  <c r="B26" i="3"/>
  <c r="A26" i="3"/>
  <c r="O20" i="3"/>
  <c r="O18" i="3"/>
  <c r="K9" i="3"/>
  <c r="P42" i="3"/>
  <c r="Q52" i="3"/>
  <c r="R52" i="3"/>
  <c r="K25" i="3"/>
  <c r="Q47" i="3"/>
  <c r="R47" i="3"/>
  <c r="K9" i="4"/>
  <c r="M9" i="4"/>
  <c r="K12" i="4"/>
  <c r="M12" i="4"/>
  <c r="Q43" i="3"/>
  <c r="R43" i="3"/>
  <c r="K11" i="3"/>
  <c r="K21" i="3"/>
  <c r="K24" i="3"/>
  <c r="Q45" i="3"/>
  <c r="R45" i="3"/>
  <c r="Q50" i="3"/>
  <c r="R50" i="3"/>
  <c r="Q57" i="3"/>
  <c r="R57" i="3"/>
  <c r="K10" i="3"/>
  <c r="K18" i="3"/>
  <c r="Q46" i="3"/>
  <c r="R46" i="3"/>
  <c r="Q51" i="3"/>
  <c r="R51" i="3"/>
  <c r="Q59" i="3"/>
  <c r="R59" i="3"/>
  <c r="K14" i="3"/>
  <c r="K17" i="3"/>
  <c r="Q44" i="3"/>
  <c r="R44" i="3"/>
  <c r="Q48" i="3"/>
  <c r="R48" i="3"/>
  <c r="Q55" i="3"/>
  <c r="R55" i="3"/>
  <c r="P41" i="3"/>
  <c r="Q42" i="3"/>
  <c r="R53" i="3"/>
  <c r="R56" i="3"/>
  <c r="R58" i="3"/>
  <c r="R64" i="3"/>
  <c r="P53" i="3"/>
  <c r="P56" i="3"/>
  <c r="P58" i="3"/>
  <c r="P60" i="3"/>
  <c r="P62" i="3"/>
  <c r="Q53" i="3"/>
  <c r="Q56" i="3"/>
  <c r="Q58" i="3"/>
  <c r="Q60" i="3"/>
  <c r="R60" i="3"/>
  <c r="Q64" i="3"/>
  <c r="Q65" i="3"/>
  <c r="Q62" i="3"/>
</calcChain>
</file>

<file path=xl/sharedStrings.xml><?xml version="1.0" encoding="utf-8"?>
<sst xmlns="http://schemas.openxmlformats.org/spreadsheetml/2006/main" count="260" uniqueCount="142">
  <si>
    <t>SEMANA :</t>
  </si>
  <si>
    <t>ANALISIS PROPUESTA DE COSTOS</t>
  </si>
  <si>
    <t>NEGRO</t>
  </si>
  <si>
    <t>PARES</t>
  </si>
  <si>
    <t>CLIENTE:</t>
  </si>
  <si>
    <t>ULTIMA ACTUALIZACION</t>
  </si>
  <si>
    <t>DISEÑADORA:</t>
  </si>
  <si>
    <t>DESCRIPCIÓN</t>
  </si>
  <si>
    <t>NOMBRE</t>
  </si>
  <si>
    <t xml:space="preserve">COLOR </t>
  </si>
  <si>
    <t>PROVEDOR</t>
  </si>
  <si>
    <t>PRECIO (SIN IVA)</t>
  </si>
  <si>
    <t>PRECIO NETO</t>
  </si>
  <si>
    <t>UNIDAD COMPRA</t>
  </si>
  <si>
    <t>ANCHO</t>
  </si>
  <si>
    <t>CONSUMOS</t>
  </si>
  <si>
    <t>UNIDAD CONSUMO</t>
  </si>
  <si>
    <t>REQUERIMIENTO A COMPRAR</t>
  </si>
  <si>
    <t>UNIDAD</t>
  </si>
  <si>
    <t>OC</t>
  </si>
  <si>
    <t>SOBRANTE</t>
  </si>
  <si>
    <t>CONVERSION</t>
  </si>
  <si>
    <t>CTO/PAR</t>
  </si>
  <si>
    <t>PRESUPUESTO</t>
  </si>
  <si>
    <t>COSTO REAL</t>
  </si>
  <si>
    <t>CHINELA</t>
  </si>
  <si>
    <t>MT</t>
  </si>
  <si>
    <t>DM</t>
  </si>
  <si>
    <t>MTS</t>
  </si>
  <si>
    <t>FORRO CHINELA</t>
  </si>
  <si>
    <t>COTEXCA</t>
  </si>
  <si>
    <t>N/A</t>
  </si>
  <si>
    <t>PRS</t>
  </si>
  <si>
    <t>PR</t>
  </si>
  <si>
    <t>RESORTE HEBILLERO</t>
  </si>
  <si>
    <t>PZAS</t>
  </si>
  <si>
    <t>PZS</t>
  </si>
  <si>
    <t>REFUERZOS 4xPAR</t>
  </si>
  <si>
    <t>BLANCO</t>
  </si>
  <si>
    <t>M2</t>
  </si>
  <si>
    <t>1x150</t>
  </si>
  <si>
    <t>LAM</t>
  </si>
  <si>
    <t>SUELA</t>
  </si>
  <si>
    <t>NEGRA</t>
  </si>
  <si>
    <t>CASCO</t>
  </si>
  <si>
    <t>MIBOR</t>
  </si>
  <si>
    <t>CAJA</t>
  </si>
  <si>
    <t>PZ</t>
  </si>
  <si>
    <t>MILLARES</t>
  </si>
  <si>
    <t>PAPEL RELLENO</t>
  </si>
  <si>
    <t>PAPEL CHINA 30X70</t>
  </si>
  <si>
    <t>ALOT</t>
  </si>
  <si>
    <t xml:space="preserve">NOM 20 </t>
  </si>
  <si>
    <t>FORRO SINTETICO</t>
  </si>
  <si>
    <t>SUELA SINTETICA</t>
  </si>
  <si>
    <t>HORMA</t>
  </si>
  <si>
    <t>KELLY</t>
  </si>
  <si>
    <t>HILO CORTE</t>
  </si>
  <si>
    <t xml:space="preserve">CODIGO DEL GALLO </t>
  </si>
  <si>
    <t>HILO FORRO</t>
  </si>
  <si>
    <t>MATERIALES DIRECTOS</t>
  </si>
  <si>
    <t>PROCESO EXTERNO 1</t>
  </si>
  <si>
    <t>LAMINADO</t>
  </si>
  <si>
    <t>PROCESO EXTERNO 2</t>
  </si>
  <si>
    <t>TIRAS</t>
  </si>
  <si>
    <t>PROCESO EXTERNO 3</t>
  </si>
  <si>
    <t>OTROS</t>
  </si>
  <si>
    <t>INVERSION / PARES</t>
  </si>
  <si>
    <t>SUAJES</t>
  </si>
  <si>
    <t>HORMAS</t>
  </si>
  <si>
    <t>TROQUEL</t>
  </si>
  <si>
    <t>COSTOS DIRECTOS DE MATERIA PRIMA/HERRAMENTALES</t>
  </si>
  <si>
    <t>PROCESO ESPECIAL M.O. 1</t>
  </si>
  <si>
    <t>PROCESO ESPECIAL M.O. 2</t>
  </si>
  <si>
    <t>PROCESO ESPECIAL M.O. 3</t>
  </si>
  <si>
    <t>PROCESO ESPECIAL DE M.O.</t>
  </si>
  <si>
    <t>MATERIALES INDIRECTOS</t>
  </si>
  <si>
    <t>MANO DE OBRA DIRECTA</t>
  </si>
  <si>
    <t>TOTAL COSTO DE PRODUCCION</t>
  </si>
  <si>
    <t>GASTO DE FABRICACION Y ADMINISTRACION</t>
  </si>
  <si>
    <t>COSTO TOTAL</t>
  </si>
  <si>
    <t>UTILIDAD</t>
  </si>
  <si>
    <t>PRESUPUESTO POR PAR</t>
  </si>
  <si>
    <t>PRECIO AL CLIENTE</t>
  </si>
  <si>
    <t>BALANCE FINAL</t>
  </si>
  <si>
    <t>ANALISIS ANTES DE UTILIDAD</t>
  </si>
  <si>
    <t>UTILIDAD REAL</t>
  </si>
  <si>
    <t>TRANSFER NOM</t>
  </si>
  <si>
    <t>PAPEL ENCAJILLADO</t>
  </si>
  <si>
    <t>KARLA</t>
  </si>
  <si>
    <t>PLANTA CUADRADA PARA  FORRADA COMPLETA</t>
  </si>
  <si>
    <t>PEDIDO:</t>
  </si>
  <si>
    <t>MARCA SAHARA</t>
  </si>
  <si>
    <t>COPPEL</t>
  </si>
  <si>
    <t>TOTAL BLOQUE</t>
  </si>
  <si>
    <t>ENTREGADO</t>
  </si>
  <si>
    <t>MIBORMASS 400 H</t>
  </si>
  <si>
    <t>AZUL 1 X 1.6</t>
  </si>
  <si>
    <t>PLANTA ARMADA</t>
  </si>
  <si>
    <t>MOLDURA 821377</t>
  </si>
  <si>
    <t>SELMA LAM COAGULADO NEGRO</t>
  </si>
  <si>
    <t>MACHITO IOWA virgen</t>
  </si>
  <si>
    <t>BOXFLEX</t>
  </si>
  <si>
    <t>EVA 2 ECO 2 F SIN CAMBRELLON</t>
  </si>
  <si>
    <t>UPAR</t>
  </si>
  <si>
    <t>INKKO</t>
  </si>
  <si>
    <t>COMPRADO</t>
  </si>
  <si>
    <t>FORRO DE PLANTA</t>
  </si>
  <si>
    <t>CORTE SINTETICO</t>
  </si>
  <si>
    <t>PLANTILLA</t>
  </si>
  <si>
    <t xml:space="preserve">MOLDURA </t>
  </si>
  <si>
    <t>PLANTA KELLY</t>
  </si>
  <si>
    <t>HEBILLA</t>
  </si>
  <si>
    <t>VINO</t>
  </si>
  <si>
    <t>AMIGSA</t>
  </si>
  <si>
    <t>TRANSFER PLANTILLA</t>
  </si>
  <si>
    <t>WHIP</t>
  </si>
  <si>
    <t>ELASTICO ACANALADO 8 MM</t>
  </si>
  <si>
    <t>LARGA 4D12844</t>
  </si>
  <si>
    <t>ORO</t>
  </si>
  <si>
    <t>LENMARQ</t>
  </si>
  <si>
    <t>ALICE PVC</t>
  </si>
  <si>
    <t>FELIPE</t>
  </si>
  <si>
    <t>ENTRETELA</t>
  </si>
  <si>
    <t>NATURAL</t>
  </si>
  <si>
    <r>
      <rPr>
        <b/>
        <sz val="11"/>
        <rFont val="Calibri"/>
        <family val="2"/>
        <scheme val="minor"/>
      </rPr>
      <t>2013 CH</t>
    </r>
    <r>
      <rPr>
        <sz val="11"/>
        <rFont val="Calibri"/>
        <family val="2"/>
        <scheme val="minor"/>
      </rPr>
      <t xml:space="preserve"> (CSC 22-23)</t>
    </r>
  </si>
  <si>
    <r>
      <rPr>
        <b/>
        <sz val="11"/>
        <rFont val="Calibri"/>
        <family val="2"/>
        <scheme val="minor"/>
      </rPr>
      <t>2013 MED</t>
    </r>
    <r>
      <rPr>
        <sz val="11"/>
        <rFont val="Calibri"/>
        <family val="2"/>
        <scheme val="minor"/>
      </rPr>
      <t xml:space="preserve"> (CSC 24-25)</t>
    </r>
  </si>
  <si>
    <r>
      <rPr>
        <b/>
        <sz val="11"/>
        <rFont val="Calibri"/>
        <family val="2"/>
        <scheme val="minor"/>
      </rPr>
      <t>2013 GDE</t>
    </r>
    <r>
      <rPr>
        <sz val="11"/>
        <rFont val="Calibri"/>
        <family val="2"/>
        <scheme val="minor"/>
      </rPr>
      <t xml:space="preserve"> CSC (26-27)</t>
    </r>
  </si>
  <si>
    <t>COURASTAN D 15/04</t>
  </si>
  <si>
    <t>COURASTAND 116/20</t>
  </si>
  <si>
    <t>ROLLO</t>
  </si>
  <si>
    <t>ROLLOS</t>
  </si>
  <si>
    <t xml:space="preserve"> COPPEL</t>
  </si>
  <si>
    <t>MARCA STRONA</t>
  </si>
  <si>
    <t>CHAROL HQ WACO</t>
  </si>
  <si>
    <t>SULTANA</t>
  </si>
  <si>
    <t>STRONA 31*18*12</t>
  </si>
  <si>
    <t>strona</t>
  </si>
  <si>
    <t>SIN FONDO LETRAS ORO</t>
  </si>
  <si>
    <t>TORRETI</t>
  </si>
  <si>
    <t>PAPEL STRONA 30X70</t>
  </si>
  <si>
    <t>GUISAR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</si>
</sst>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-&quot;$&quot;* #,##0.000_-;\-&quot;$&quot;* #,##0.000_-;_-&quot;$&quot;* &quot;-&quot;??_-;_-@_-"/>
    <numFmt numFmtId="165" formatCode="_-&quot;$&quot;* #,##0.0_-;\-&quot;$&quot;* #,##0.0_-;_-&quot;$&quot;* &quot;-&quot;??_-;_-@_-"/>
    <numFmt numFmtId="166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stellar"/>
      <family val="1"/>
    </font>
    <font>
      <b/>
      <sz val="16"/>
      <color theme="1"/>
      <name val="Calibri"/>
      <family val="2"/>
      <scheme val="minor"/>
    </font>
    <font>
      <sz val="7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u/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12"/>
      <name val="Calibri"/>
      <family val="2"/>
      <scheme val="minor"/>
    </font>
    <font>
      <sz val="7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5" fillId="2" borderId="2" xfId="0" applyFont="1" applyFill="1" applyBorder="1"/>
    <xf numFmtId="0" fontId="0" fillId="2" borderId="3" xfId="0" applyFill="1" applyBorder="1"/>
    <xf numFmtId="164" fontId="0" fillId="2" borderId="1" xfId="1" applyNumberFormat="1" applyFont="1" applyFill="1" applyBorder="1"/>
    <xf numFmtId="164" fontId="0" fillId="2" borderId="2" xfId="1" applyNumberFormat="1" applyFont="1" applyFill="1" applyBorder="1"/>
    <xf numFmtId="165" fontId="0" fillId="2" borderId="2" xfId="1" applyNumberFormat="1" applyFont="1" applyFill="1" applyBorder="1"/>
    <xf numFmtId="165" fontId="0" fillId="2" borderId="3" xfId="1" applyNumberFormat="1" applyFont="1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164" fontId="0" fillId="2" borderId="4" xfId="1" applyNumberFormat="1" applyFont="1" applyFill="1" applyBorder="1"/>
    <xf numFmtId="164" fontId="0" fillId="2" borderId="0" xfId="1" applyNumberFormat="1" applyFont="1" applyFill="1" applyBorder="1"/>
    <xf numFmtId="165" fontId="0" fillId="2" borderId="0" xfId="1" applyNumberFormat="1" applyFont="1" applyFill="1" applyBorder="1"/>
    <xf numFmtId="165" fontId="0" fillId="2" borderId="5" xfId="1" applyNumberFormat="1" applyFont="1" applyFill="1" applyBorder="1"/>
    <xf numFmtId="0" fontId="6" fillId="2" borderId="0" xfId="0" applyFont="1" applyFill="1"/>
    <xf numFmtId="164" fontId="7" fillId="2" borderId="6" xfId="1" applyNumberFormat="1" applyFont="1" applyFill="1" applyBorder="1"/>
    <xf numFmtId="164" fontId="7" fillId="2" borderId="8" xfId="1" applyNumberFormat="1" applyFont="1" applyFill="1" applyBorder="1"/>
    <xf numFmtId="165" fontId="7" fillId="2" borderId="8" xfId="1" applyNumberFormat="1" applyFont="1" applyFill="1" applyBorder="1"/>
    <xf numFmtId="165" fontId="7" fillId="2" borderId="7" xfId="1" applyNumberFormat="1" applyFont="1" applyFill="1" applyBorder="1"/>
    <xf numFmtId="0" fontId="4" fillId="2" borderId="0" xfId="0" applyFont="1" applyFill="1" applyAlignment="1">
      <alignment horizontal="right"/>
    </xf>
    <xf numFmtId="0" fontId="4" fillId="2" borderId="9" xfId="0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0" fillId="2" borderId="5" xfId="0" applyFill="1" applyBorder="1" applyAlignment="1">
      <alignment horizontal="center"/>
    </xf>
    <xf numFmtId="0" fontId="4" fillId="2" borderId="6" xfId="0" applyFont="1" applyFill="1" applyBorder="1"/>
    <xf numFmtId="0" fontId="4" fillId="2" borderId="7" xfId="0" applyFont="1" applyFill="1" applyBorder="1"/>
    <xf numFmtId="0" fontId="8" fillId="2" borderId="0" xfId="0" applyFont="1" applyFill="1"/>
    <xf numFmtId="0" fontId="9" fillId="2" borderId="4" xfId="0" applyFont="1" applyFill="1" applyBorder="1"/>
    <xf numFmtId="14" fontId="9" fillId="2" borderId="0" xfId="0" applyNumberFormat="1" applyFont="1" applyFill="1" applyAlignment="1">
      <alignment horizontal="left"/>
    </xf>
    <xf numFmtId="164" fontId="10" fillId="2" borderId="0" xfId="1" applyNumberFormat="1" applyFont="1" applyFill="1" applyBorder="1"/>
    <xf numFmtId="0" fontId="9" fillId="2" borderId="0" xfId="0" applyFont="1" applyFill="1"/>
    <xf numFmtId="164" fontId="0" fillId="2" borderId="10" xfId="1" applyNumberFormat="1" applyFont="1" applyFill="1" applyBorder="1"/>
    <xf numFmtId="164" fontId="0" fillId="2" borderId="9" xfId="1" applyNumberFormat="1" applyFont="1" applyFill="1" applyBorder="1"/>
    <xf numFmtId="165" fontId="0" fillId="2" borderId="9" xfId="1" applyNumberFormat="1" applyFont="1" applyFill="1" applyBorder="1"/>
    <xf numFmtId="165" fontId="0" fillId="2" borderId="11" xfId="1" applyNumberFormat="1" applyFont="1" applyFill="1" applyBorder="1"/>
    <xf numFmtId="0" fontId="4" fillId="4" borderId="12" xfId="0" applyFont="1" applyFill="1" applyBorder="1" applyAlignment="1">
      <alignment horizontal="center" vertical="top" wrapText="1"/>
    </xf>
    <xf numFmtId="0" fontId="4" fillId="4" borderId="13" xfId="0" applyFont="1" applyFill="1" applyBorder="1" applyAlignment="1">
      <alignment horizontal="center" vertical="top" wrapText="1"/>
    </xf>
    <xf numFmtId="44" fontId="4" fillId="4" borderId="13" xfId="1" applyFont="1" applyFill="1" applyBorder="1" applyAlignment="1">
      <alignment horizontal="center" vertical="top" wrapText="1"/>
    </xf>
    <xf numFmtId="0" fontId="4" fillId="4" borderId="14" xfId="0" applyFont="1" applyFill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5" fontId="0" fillId="0" borderId="20" xfId="1" applyNumberFormat="1" applyFont="1" applyBorder="1"/>
    <xf numFmtId="0" fontId="0" fillId="0" borderId="13" xfId="0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4" fontId="0" fillId="0" borderId="22" xfId="1" applyFont="1" applyFill="1" applyBorder="1" applyAlignment="1">
      <alignment horizontal="center" vertical="center"/>
    </xf>
    <xf numFmtId="44" fontId="0" fillId="0" borderId="23" xfId="1" applyFont="1" applyFill="1" applyBorder="1" applyAlignment="1">
      <alignment horizontal="center" vertical="center"/>
    </xf>
    <xf numFmtId="0" fontId="0" fillId="0" borderId="23" xfId="1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44" fontId="11" fillId="0" borderId="17" xfId="1" applyFont="1" applyFill="1" applyBorder="1" applyAlignment="1">
      <alignment horizontal="center" vertical="center"/>
    </xf>
    <xf numFmtId="0" fontId="11" fillId="0" borderId="17" xfId="1" applyNumberFormat="1" applyFont="1" applyFill="1" applyBorder="1" applyAlignment="1">
      <alignment horizontal="center" vertical="center"/>
    </xf>
    <xf numFmtId="44" fontId="11" fillId="0" borderId="26" xfId="1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0" fontId="11" fillId="0" borderId="30" xfId="0" applyFont="1" applyBorder="1" applyAlignment="1">
      <alignment horizontal="left" vertical="center" wrapText="1"/>
    </xf>
    <xf numFmtId="44" fontId="11" fillId="0" borderId="30" xfId="1" applyFont="1" applyFill="1" applyBorder="1" applyAlignment="1">
      <alignment horizontal="center" vertical="center"/>
    </xf>
    <xf numFmtId="0" fontId="11" fillId="0" borderId="30" xfId="1" applyNumberFormat="1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4" fontId="0" fillId="0" borderId="20" xfId="1" applyNumberFormat="1" applyFont="1" applyFill="1" applyBorder="1"/>
    <xf numFmtId="165" fontId="0" fillId="0" borderId="20" xfId="1" applyNumberFormat="1" applyFont="1" applyFill="1" applyBorder="1"/>
    <xf numFmtId="44" fontId="11" fillId="0" borderId="13" xfId="1" applyFont="1" applyFill="1" applyBorder="1" applyAlignment="1">
      <alignment horizontal="center" vertical="center"/>
    </xf>
    <xf numFmtId="0" fontId="11" fillId="0" borderId="13" xfId="1" applyNumberFormat="1" applyFont="1" applyFill="1" applyBorder="1" applyAlignment="1">
      <alignment horizontal="center" vertical="center"/>
    </xf>
    <xf numFmtId="0" fontId="11" fillId="0" borderId="26" xfId="0" applyFont="1" applyBorder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11" fillId="0" borderId="12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/>
    </xf>
    <xf numFmtId="0" fontId="2" fillId="7" borderId="34" xfId="0" applyFont="1" applyFill="1" applyBorder="1" applyAlignment="1">
      <alignment horizontal="left" vertical="center"/>
    </xf>
    <xf numFmtId="0" fontId="2" fillId="7" borderId="22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/>
    </xf>
    <xf numFmtId="44" fontId="2" fillId="7" borderId="22" xfId="1" applyFont="1" applyFill="1" applyBorder="1" applyAlignment="1">
      <alignment vertical="center"/>
    </xf>
    <xf numFmtId="0" fontId="2" fillId="7" borderId="22" xfId="1" applyNumberFormat="1" applyFont="1" applyFill="1" applyBorder="1" applyAlignment="1">
      <alignment horizontal="center" vertical="center"/>
    </xf>
    <xf numFmtId="2" fontId="2" fillId="7" borderId="22" xfId="0" applyNumberFormat="1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164" fontId="0" fillId="0" borderId="36" xfId="1" applyNumberFormat="1" applyFont="1" applyBorder="1"/>
    <xf numFmtId="0" fontId="4" fillId="0" borderId="0" xfId="0" applyFont="1"/>
    <xf numFmtId="0" fontId="2" fillId="7" borderId="25" xfId="0" applyFont="1" applyFill="1" applyBorder="1" applyAlignment="1">
      <alignment horizontal="left" vertical="center"/>
    </xf>
    <xf numFmtId="0" fontId="2" fillId="7" borderId="26" xfId="0" applyFont="1" applyFill="1" applyBorder="1" applyAlignment="1">
      <alignment horizontal="center" vertical="center"/>
    </xf>
    <xf numFmtId="44" fontId="2" fillId="7" borderId="26" xfId="1" applyFont="1" applyFill="1" applyBorder="1" applyAlignment="1">
      <alignment vertical="center"/>
    </xf>
    <xf numFmtId="0" fontId="2" fillId="7" borderId="26" xfId="1" applyNumberFormat="1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left" vertical="center"/>
    </xf>
    <xf numFmtId="2" fontId="2" fillId="7" borderId="26" xfId="0" applyNumberFormat="1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left" vertical="center" wrapText="1"/>
    </xf>
    <xf numFmtId="0" fontId="2" fillId="7" borderId="26" xfId="0" applyFont="1" applyFill="1" applyBorder="1" applyAlignment="1">
      <alignment horizontal="left" vertical="center" wrapText="1"/>
    </xf>
    <xf numFmtId="164" fontId="0" fillId="0" borderId="37" xfId="1" applyNumberFormat="1" applyFont="1" applyBorder="1"/>
    <xf numFmtId="0" fontId="16" fillId="2" borderId="10" xfId="0" applyFont="1" applyFill="1" applyBorder="1"/>
    <xf numFmtId="0" fontId="0" fillId="2" borderId="9" xfId="0" applyFill="1" applyBorder="1"/>
    <xf numFmtId="0" fontId="0" fillId="2" borderId="11" xfId="0" applyFill="1" applyBorder="1"/>
    <xf numFmtId="0" fontId="0" fillId="8" borderId="6" xfId="0" applyFill="1" applyBorder="1"/>
    <xf numFmtId="0" fontId="0" fillId="8" borderId="8" xfId="0" applyFill="1" applyBorder="1"/>
    <xf numFmtId="164" fontId="0" fillId="0" borderId="0" xfId="1" applyNumberFormat="1" applyFont="1"/>
    <xf numFmtId="164" fontId="0" fillId="4" borderId="15" xfId="1" applyNumberFormat="1" applyFont="1" applyFill="1" applyBorder="1"/>
    <xf numFmtId="0" fontId="0" fillId="0" borderId="1" xfId="0" applyBorder="1"/>
    <xf numFmtId="0" fontId="0" fillId="0" borderId="2" xfId="0" applyBorder="1"/>
    <xf numFmtId="165" fontId="0" fillId="0" borderId="0" xfId="1" applyNumberFormat="1" applyFont="1"/>
    <xf numFmtId="0" fontId="0" fillId="0" borderId="4" xfId="0" applyBorder="1"/>
    <xf numFmtId="0" fontId="0" fillId="0" borderId="10" xfId="0" applyBorder="1"/>
    <xf numFmtId="0" fontId="0" fillId="0" borderId="9" xfId="0" applyBorder="1"/>
    <xf numFmtId="165" fontId="0" fillId="4" borderId="15" xfId="1" applyNumberFormat="1" applyFont="1" applyFill="1" applyBorder="1"/>
    <xf numFmtId="164" fontId="4" fillId="4" borderId="15" xfId="1" applyNumberFormat="1" applyFont="1" applyFill="1" applyBorder="1"/>
    <xf numFmtId="165" fontId="4" fillId="4" borderId="15" xfId="1" applyNumberFormat="1" applyFont="1" applyFill="1" applyBorder="1"/>
    <xf numFmtId="0" fontId="0" fillId="3" borderId="6" xfId="0" applyFill="1" applyBorder="1"/>
    <xf numFmtId="0" fontId="0" fillId="3" borderId="8" xfId="0" applyFill="1" applyBorder="1"/>
    <xf numFmtId="164" fontId="0" fillId="2" borderId="0" xfId="1" applyNumberFormat="1" applyFont="1" applyFill="1"/>
    <xf numFmtId="164" fontId="8" fillId="3" borderId="15" xfId="1" applyNumberFormat="1" applyFont="1" applyFill="1" applyBorder="1"/>
    <xf numFmtId="0" fontId="0" fillId="6" borderId="0" xfId="0" applyFill="1"/>
    <xf numFmtId="164" fontId="4" fillId="6" borderId="15" xfId="1" applyNumberFormat="1" applyFont="1" applyFill="1" applyBorder="1"/>
    <xf numFmtId="165" fontId="0" fillId="2" borderId="0" xfId="1" applyNumberFormat="1" applyFont="1" applyFill="1"/>
    <xf numFmtId="0" fontId="0" fillId="4" borderId="6" xfId="0" applyFill="1" applyBorder="1"/>
    <xf numFmtId="0" fontId="0" fillId="4" borderId="8" xfId="0" applyFill="1" applyBorder="1"/>
    <xf numFmtId="164" fontId="0" fillId="0" borderId="15" xfId="1" applyNumberFormat="1" applyFont="1" applyBorder="1"/>
    <xf numFmtId="165" fontId="4" fillId="0" borderId="6" xfId="1" applyNumberFormat="1" applyFont="1" applyBorder="1" applyAlignment="1">
      <alignment horizontal="center"/>
    </xf>
    <xf numFmtId="165" fontId="4" fillId="0" borderId="7" xfId="1" applyNumberFormat="1" applyFont="1" applyBorder="1" applyAlignment="1">
      <alignment horizontal="center"/>
    </xf>
    <xf numFmtId="165" fontId="0" fillId="4" borderId="6" xfId="1" applyNumberFormat="1" applyFont="1" applyFill="1" applyBorder="1"/>
    <xf numFmtId="0" fontId="17" fillId="0" borderId="0" xfId="0" applyFont="1"/>
    <xf numFmtId="164" fontId="17" fillId="2" borderId="0" xfId="1" applyNumberFormat="1" applyFont="1" applyFill="1"/>
    <xf numFmtId="165" fontId="7" fillId="0" borderId="6" xfId="1" applyNumberFormat="1" applyFont="1" applyBorder="1" applyAlignment="1">
      <alignment horizontal="center"/>
    </xf>
    <xf numFmtId="165" fontId="7" fillId="0" borderId="7" xfId="1" applyNumberFormat="1" applyFont="1" applyBorder="1" applyAlignment="1">
      <alignment horizontal="center"/>
    </xf>
    <xf numFmtId="44" fontId="11" fillId="0" borderId="13" xfId="2" applyFont="1" applyFill="1" applyBorder="1" applyAlignment="1">
      <alignment horizontal="center" vertical="center"/>
    </xf>
    <xf numFmtId="0" fontId="11" fillId="0" borderId="13" xfId="2" applyNumberFormat="1" applyFont="1" applyFill="1" applyBorder="1" applyAlignment="1">
      <alignment horizontal="center" vertical="center"/>
    </xf>
    <xf numFmtId="164" fontId="0" fillId="0" borderId="12" xfId="2" applyNumberFormat="1" applyFont="1" applyFill="1" applyBorder="1" applyAlignment="1">
      <alignment vertical="center"/>
    </xf>
    <xf numFmtId="164" fontId="0" fillId="0" borderId="38" xfId="2" applyNumberFormat="1" applyFont="1" applyFill="1" applyBorder="1" applyAlignment="1">
      <alignment vertical="center"/>
    </xf>
    <xf numFmtId="165" fontId="0" fillId="0" borderId="13" xfId="2" applyNumberFormat="1" applyFont="1" applyFill="1" applyBorder="1" applyAlignment="1">
      <alignment vertical="center"/>
    </xf>
    <xf numFmtId="165" fontId="0" fillId="0" borderId="14" xfId="2" applyNumberFormat="1" applyFont="1" applyFill="1" applyBorder="1" applyAlignment="1">
      <alignment vertical="center"/>
    </xf>
    <xf numFmtId="44" fontId="11" fillId="0" borderId="26" xfId="1" applyFont="1" applyBorder="1" applyAlignment="1">
      <alignment horizontal="center" vertical="center"/>
    </xf>
    <xf numFmtId="0" fontId="11" fillId="0" borderId="25" xfId="0" applyFont="1" applyBorder="1" applyAlignment="1">
      <alignment horizontal="left" vertical="center" wrapText="1"/>
    </xf>
    <xf numFmtId="0" fontId="11" fillId="0" borderId="26" xfId="1" applyNumberFormat="1" applyFont="1" applyBorder="1" applyAlignment="1">
      <alignment horizontal="center" vertical="center"/>
    </xf>
    <xf numFmtId="164" fontId="0" fillId="0" borderId="25" xfId="1" applyNumberFormat="1" applyFont="1" applyBorder="1" applyAlignment="1">
      <alignment vertical="center"/>
    </xf>
    <xf numFmtId="164" fontId="0" fillId="0" borderId="26" xfId="1" applyNumberFormat="1" applyFont="1" applyBorder="1" applyAlignment="1">
      <alignment vertical="center"/>
    </xf>
    <xf numFmtId="165" fontId="0" fillId="0" borderId="26" xfId="1" applyNumberFormat="1" applyFont="1" applyBorder="1" applyAlignment="1">
      <alignment vertical="center"/>
    </xf>
    <xf numFmtId="165" fontId="0" fillId="0" borderId="28" xfId="1" applyNumberFormat="1" applyFont="1" applyBorder="1" applyAlignment="1">
      <alignment vertical="center"/>
    </xf>
    <xf numFmtId="0" fontId="19" fillId="2" borderId="15" xfId="0" applyFont="1" applyFill="1" applyBorder="1" applyAlignment="1">
      <alignment horizontal="center" vertical="center"/>
    </xf>
    <xf numFmtId="164" fontId="0" fillId="0" borderId="12" xfId="1" applyNumberFormat="1" applyFont="1" applyFill="1" applyBorder="1" applyAlignment="1">
      <alignment vertical="center"/>
    </xf>
    <xf numFmtId="164" fontId="0" fillId="0" borderId="13" xfId="1" applyNumberFormat="1" applyFont="1" applyFill="1" applyBorder="1" applyAlignment="1">
      <alignment vertical="center"/>
    </xf>
    <xf numFmtId="165" fontId="0" fillId="0" borderId="13" xfId="1" applyNumberFormat="1" applyFont="1" applyFill="1" applyBorder="1" applyAlignment="1">
      <alignment vertical="center"/>
    </xf>
    <xf numFmtId="165" fontId="0" fillId="0" borderId="14" xfId="1" applyNumberFormat="1" applyFont="1" applyFill="1" applyBorder="1" applyAlignment="1">
      <alignment vertical="center"/>
    </xf>
    <xf numFmtId="0" fontId="20" fillId="7" borderId="26" xfId="0" applyFont="1" applyFill="1" applyBorder="1" applyAlignment="1">
      <alignment vertical="center" wrapText="1"/>
    </xf>
    <xf numFmtId="0" fontId="21" fillId="2" borderId="0" xfId="0" applyFont="1" applyFill="1"/>
    <xf numFmtId="0" fontId="22" fillId="2" borderId="0" xfId="0" applyFont="1" applyFill="1"/>
    <xf numFmtId="166" fontId="0" fillId="0" borderId="13" xfId="0" applyNumberForma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11" fillId="0" borderId="26" xfId="0" applyFont="1" applyFill="1" applyBorder="1" applyAlignment="1">
      <alignment horizontal="center" vertical="center"/>
    </xf>
    <xf numFmtId="44" fontId="0" fillId="0" borderId="13" xfId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0" xfId="0" applyFill="1"/>
    <xf numFmtId="0" fontId="0" fillId="0" borderId="12" xfId="0" applyFill="1" applyBorder="1" applyAlignment="1">
      <alignment horizontal="left" vertical="center"/>
    </xf>
    <xf numFmtId="0" fontId="0" fillId="0" borderId="21" xfId="0" applyFill="1" applyBorder="1" applyAlignment="1">
      <alignment horizontal="left" vertical="center" wrapText="1"/>
    </xf>
    <xf numFmtId="0" fontId="11" fillId="0" borderId="23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66" fontId="0" fillId="0" borderId="22" xfId="0" applyNumberForma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9" xfId="0" applyFill="1" applyBorder="1" applyAlignment="1">
      <alignment horizontal="left" vertical="center"/>
    </xf>
    <xf numFmtId="0" fontId="11" fillId="0" borderId="30" xfId="0" applyFont="1" applyFill="1" applyBorder="1" applyAlignment="1">
      <alignment horizontal="left" vertical="center"/>
    </xf>
    <xf numFmtId="0" fontId="0" fillId="0" borderId="30" xfId="0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166" fontId="0" fillId="0" borderId="30" xfId="0" applyNumberForma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1" fillId="0" borderId="13" xfId="0" applyFont="1" applyFill="1" applyBorder="1" applyAlignment="1">
      <alignment vertical="center" wrapText="1"/>
    </xf>
    <xf numFmtId="0" fontId="0" fillId="0" borderId="13" xfId="1" applyNumberFormat="1" applyFont="1" applyFill="1" applyBorder="1" applyAlignment="1">
      <alignment horizontal="center" vertical="center"/>
    </xf>
    <xf numFmtId="166" fontId="23" fillId="0" borderId="14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10" xfId="0" applyFill="1" applyBorder="1"/>
    <xf numFmtId="0" fontId="0" fillId="0" borderId="34" xfId="0" applyBorder="1" applyAlignment="1">
      <alignment horizontal="left" vertical="center"/>
    </xf>
    <xf numFmtId="0" fontId="11" fillId="0" borderId="13" xfId="0" applyFont="1" applyBorder="1" applyAlignment="1">
      <alignment horizontal="left" vertical="center" wrapText="1"/>
    </xf>
    <xf numFmtId="165" fontId="0" fillId="0" borderId="32" xfId="1" applyNumberFormat="1" applyFont="1" applyBorder="1"/>
    <xf numFmtId="165" fontId="0" fillId="0" borderId="32" xfId="1" applyNumberFormat="1" applyFont="1" applyFill="1" applyBorder="1"/>
    <xf numFmtId="164" fontId="0" fillId="0" borderId="25" xfId="1" applyNumberFormat="1" applyFont="1" applyBorder="1"/>
    <xf numFmtId="164" fontId="0" fillId="0" borderId="39" xfId="1" applyNumberFormat="1" applyFont="1" applyBorder="1"/>
    <xf numFmtId="165" fontId="0" fillId="0" borderId="26" xfId="1" applyNumberFormat="1" applyFont="1" applyBorder="1"/>
    <xf numFmtId="165" fontId="0" fillId="0" borderId="28" xfId="1" applyNumberFormat="1" applyFont="1" applyBorder="1"/>
    <xf numFmtId="0" fontId="11" fillId="0" borderId="22" xfId="0" applyFont="1" applyFill="1" applyBorder="1" applyAlignment="1">
      <alignment horizontal="left" vertical="center" wrapText="1"/>
    </xf>
    <xf numFmtId="0" fontId="0" fillId="0" borderId="22" xfId="0" applyFill="1" applyBorder="1" applyAlignment="1">
      <alignment horizontal="center" vertical="center"/>
    </xf>
    <xf numFmtId="0" fontId="0" fillId="0" borderId="12" xfId="0" applyFill="1" applyBorder="1" applyAlignment="1">
      <alignment vertical="center"/>
    </xf>
    <xf numFmtId="166" fontId="23" fillId="0" borderId="14" xfId="0" applyNumberFormat="1" applyFont="1" applyFill="1" applyBorder="1" applyAlignment="1">
      <alignment horizontal="center"/>
    </xf>
    <xf numFmtId="0" fontId="0" fillId="0" borderId="13" xfId="0" applyFill="1" applyBorder="1" applyAlignment="1">
      <alignment horizontal="center" vertical="center" wrapText="1"/>
    </xf>
    <xf numFmtId="0" fontId="11" fillId="0" borderId="33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/>
    </xf>
    <xf numFmtId="0" fontId="11" fillId="0" borderId="27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11" fillId="0" borderId="17" xfId="0" applyFont="1" applyFill="1" applyBorder="1" applyAlignment="1">
      <alignment horizontal="left" vertical="center"/>
    </xf>
    <xf numFmtId="0" fontId="13" fillId="0" borderId="17" xfId="0" applyFont="1" applyFill="1" applyBorder="1" applyAlignment="1">
      <alignment horizontal="center" vertical="center"/>
    </xf>
    <xf numFmtId="44" fontId="11" fillId="0" borderId="27" xfId="2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0" fillId="0" borderId="12" xfId="0" applyFont="1" applyFill="1" applyBorder="1" applyAlignment="1">
      <alignment horizontal="left" vertical="center"/>
    </xf>
    <xf numFmtId="44" fontId="11" fillId="0" borderId="27" xfId="2" applyFont="1" applyFill="1" applyBorder="1" applyAlignment="1">
      <alignment vertical="center"/>
    </xf>
    <xf numFmtId="0" fontId="11" fillId="0" borderId="27" xfId="2" applyNumberFormat="1" applyFont="1" applyFill="1" applyBorder="1" applyAlignment="1">
      <alignment vertical="center"/>
    </xf>
    <xf numFmtId="165" fontId="0" fillId="0" borderId="41" xfId="2" applyNumberFormat="1" applyFont="1" applyFill="1" applyBorder="1" applyAlignment="1">
      <alignment vertical="center"/>
    </xf>
    <xf numFmtId="164" fontId="0" fillId="0" borderId="33" xfId="2" applyNumberFormat="1" applyFont="1" applyFill="1" applyBorder="1" applyAlignment="1">
      <alignment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44" fontId="4" fillId="4" borderId="13" xfId="1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4" fontId="4" fillId="5" borderId="6" xfId="1" applyNumberFormat="1" applyFont="1" applyFill="1" applyBorder="1" applyAlignment="1">
      <alignment horizontal="center" vertical="center"/>
    </xf>
    <xf numFmtId="164" fontId="4" fillId="5" borderId="15" xfId="1" applyNumberFormat="1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/>
    </xf>
    <xf numFmtId="0" fontId="26" fillId="2" borderId="3" xfId="0" applyFont="1" applyFill="1" applyBorder="1" applyAlignment="1">
      <alignment horizontal="center"/>
    </xf>
    <xf numFmtId="0" fontId="26" fillId="2" borderId="0" xfId="0" applyFont="1" applyFill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26" fillId="4" borderId="14" xfId="0" applyFont="1" applyFill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6" fillId="7" borderId="35" xfId="0" applyFont="1" applyFill="1" applyBorder="1" applyAlignment="1">
      <alignment horizontal="center" vertical="center"/>
    </xf>
    <xf numFmtId="0" fontId="26" fillId="7" borderId="28" xfId="0" applyFont="1" applyFill="1" applyBorder="1" applyAlignment="1">
      <alignment horizontal="center" vertical="center"/>
    </xf>
    <xf numFmtId="0" fontId="26" fillId="2" borderId="9" xfId="0" applyFont="1" applyFill="1" applyBorder="1" applyAlignment="1">
      <alignment horizontal="center"/>
    </xf>
    <xf numFmtId="0" fontId="26" fillId="2" borderId="11" xfId="0" applyFont="1" applyFill="1" applyBorder="1" applyAlignment="1">
      <alignment horizontal="center"/>
    </xf>
    <xf numFmtId="0" fontId="26" fillId="8" borderId="8" xfId="0" applyFont="1" applyFill="1" applyBorder="1" applyAlignment="1">
      <alignment horizontal="center"/>
    </xf>
    <xf numFmtId="0" fontId="26" fillId="8" borderId="7" xfId="0" applyFont="1" applyFill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5" xfId="0" applyFont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26" fillId="0" borderId="11" xfId="0" applyFont="1" applyBorder="1" applyAlignment="1">
      <alignment horizontal="center"/>
    </xf>
    <xf numFmtId="0" fontId="26" fillId="3" borderId="8" xfId="0" applyFont="1" applyFill="1" applyBorder="1" applyAlignment="1">
      <alignment horizontal="center"/>
    </xf>
    <xf numFmtId="0" fontId="26" fillId="3" borderId="7" xfId="0" applyFont="1" applyFill="1" applyBorder="1" applyAlignment="1">
      <alignment horizontal="center"/>
    </xf>
    <xf numFmtId="0" fontId="26" fillId="6" borderId="0" xfId="0" applyFont="1" applyFill="1" applyAlignment="1">
      <alignment horizontal="center"/>
    </xf>
    <xf numFmtId="0" fontId="26" fillId="6" borderId="5" xfId="0" applyFont="1" applyFill="1" applyBorder="1" applyAlignment="1">
      <alignment horizontal="center"/>
    </xf>
    <xf numFmtId="0" fontId="26" fillId="4" borderId="8" xfId="0" applyFont="1" applyFill="1" applyBorder="1" applyAlignment="1">
      <alignment horizontal="center"/>
    </xf>
    <xf numFmtId="0" fontId="26" fillId="4" borderId="7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164" fontId="0" fillId="0" borderId="22" xfId="1" applyNumberFormat="1" applyFont="1" applyFill="1" applyBorder="1"/>
    <xf numFmtId="165" fontId="0" fillId="0" borderId="22" xfId="1" applyNumberFormat="1" applyFont="1" applyFill="1" applyBorder="1"/>
    <xf numFmtId="165" fontId="0" fillId="0" borderId="35" xfId="1" applyNumberFormat="1" applyFont="1" applyFill="1" applyBorder="1"/>
    <xf numFmtId="0" fontId="11" fillId="0" borderId="12" xfId="0" applyFont="1" applyBorder="1" applyAlignment="1">
      <alignment horizontal="left" vertical="center"/>
    </xf>
    <xf numFmtId="0" fontId="14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44" fontId="11" fillId="0" borderId="13" xfId="2" applyFont="1" applyFill="1" applyBorder="1" applyAlignment="1">
      <alignment vertical="center"/>
    </xf>
    <xf numFmtId="0" fontId="11" fillId="0" borderId="13" xfId="2" applyNumberFormat="1" applyFont="1" applyFill="1" applyBorder="1" applyAlignment="1">
      <alignment vertical="center"/>
    </xf>
    <xf numFmtId="164" fontId="0" fillId="0" borderId="13" xfId="2" applyNumberFormat="1" applyFont="1" applyFill="1" applyBorder="1" applyAlignment="1">
      <alignment vertical="center"/>
    </xf>
    <xf numFmtId="44" fontId="11" fillId="0" borderId="38" xfId="2" applyFont="1" applyFill="1" applyBorder="1" applyAlignment="1">
      <alignment horizontal="center" vertical="center"/>
    </xf>
    <xf numFmtId="44" fontId="11" fillId="0" borderId="43" xfId="2" applyFont="1" applyFill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164" fontId="0" fillId="0" borderId="12" xfId="1" applyNumberFormat="1" applyFont="1" applyBorder="1" applyAlignment="1">
      <alignment vertical="center"/>
    </xf>
    <xf numFmtId="164" fontId="0" fillId="0" borderId="13" xfId="1" applyNumberFormat="1" applyFont="1" applyBorder="1" applyAlignment="1">
      <alignment vertical="center"/>
    </xf>
    <xf numFmtId="165" fontId="0" fillId="0" borderId="13" xfId="1" applyNumberFormat="1" applyFont="1" applyBorder="1" applyAlignment="1">
      <alignment vertical="center"/>
    </xf>
    <xf numFmtId="164" fontId="4" fillId="4" borderId="40" xfId="1" applyNumberFormat="1" applyFont="1" applyFill="1" applyBorder="1"/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/>
    </xf>
    <xf numFmtId="164" fontId="0" fillId="0" borderId="34" xfId="1" applyNumberFormat="1" applyFont="1" applyFill="1" applyBorder="1"/>
    <xf numFmtId="0" fontId="11" fillId="0" borderId="20" xfId="0" applyFont="1" applyFill="1" applyBorder="1" applyAlignment="1">
      <alignment horizontal="center" vertical="center"/>
    </xf>
    <xf numFmtId="44" fontId="11" fillId="0" borderId="20" xfId="1" applyFont="1" applyFill="1" applyBorder="1" applyAlignment="1">
      <alignment horizontal="center" vertical="center"/>
    </xf>
    <xf numFmtId="0" fontId="11" fillId="0" borderId="20" xfId="1" applyNumberFormat="1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horizontal="center" vertical="center"/>
    </xf>
    <xf numFmtId="0" fontId="26" fillId="0" borderId="32" xfId="0" applyFont="1" applyFill="1" applyBorder="1" applyAlignment="1">
      <alignment horizontal="center" vertical="center"/>
    </xf>
    <xf numFmtId="164" fontId="0" fillId="0" borderId="37" xfId="1" applyNumberFormat="1" applyFont="1" applyFill="1" applyBorder="1"/>
    <xf numFmtId="0" fontId="11" fillId="0" borderId="26" xfId="1" applyNumberFormat="1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26" fillId="0" borderId="28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1" fontId="26" fillId="0" borderId="44" xfId="2" applyNumberFormat="1" applyFont="1" applyFill="1" applyBorder="1" applyAlignment="1">
      <alignment horizontal="center" vertical="center"/>
    </xf>
    <xf numFmtId="1" fontId="26" fillId="0" borderId="45" xfId="2" applyNumberFormat="1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left" vertical="center" wrapText="1"/>
    </xf>
    <xf numFmtId="0" fontId="24" fillId="0" borderId="13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26" fillId="0" borderId="38" xfId="0" applyFont="1" applyFill="1" applyBorder="1" applyAlignment="1">
      <alignment horizontal="center" vertical="center"/>
    </xf>
    <xf numFmtId="44" fontId="4" fillId="0" borderId="0" xfId="0" applyNumberFormat="1" applyFont="1"/>
    <xf numFmtId="0" fontId="11" fillId="0" borderId="27" xfId="0" applyFont="1" applyFill="1" applyBorder="1" applyAlignment="1">
      <alignment horizontal="center" vertical="center"/>
    </xf>
    <xf numFmtId="0" fontId="0" fillId="0" borderId="33" xfId="0" applyBorder="1" applyAlignment="1">
      <alignment horizontal="left" vertical="center" wrapText="1"/>
    </xf>
    <xf numFmtId="0" fontId="11" fillId="0" borderId="27" xfId="0" applyFont="1" applyBorder="1" applyAlignment="1">
      <alignment horizontal="left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44" fontId="0" fillId="0" borderId="27" xfId="1" applyFont="1" applyFill="1" applyBorder="1" applyAlignment="1">
      <alignment horizontal="center" vertical="center"/>
    </xf>
    <xf numFmtId="0" fontId="0" fillId="0" borderId="27" xfId="1" applyNumberFormat="1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64" fontId="0" fillId="0" borderId="33" xfId="1" applyNumberFormat="1" applyFont="1" applyBorder="1" applyAlignment="1">
      <alignment vertical="center"/>
    </xf>
    <xf numFmtId="164" fontId="0" fillId="0" borderId="27" xfId="1" applyNumberFormat="1" applyFont="1" applyBorder="1" applyAlignment="1">
      <alignment vertical="center"/>
    </xf>
    <xf numFmtId="165" fontId="0" fillId="0" borderId="27" xfId="1" applyNumberFormat="1" applyFont="1" applyBorder="1" applyAlignment="1">
      <alignment vertical="center"/>
    </xf>
    <xf numFmtId="0" fontId="0" fillId="0" borderId="16" xfId="0" applyBorder="1" applyAlignment="1">
      <alignment vertical="center"/>
    </xf>
    <xf numFmtId="0" fontId="11" fillId="0" borderId="17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44" fontId="0" fillId="0" borderId="17" xfId="1" applyFont="1" applyFill="1" applyBorder="1" applyAlignment="1">
      <alignment horizontal="center" vertical="center"/>
    </xf>
    <xf numFmtId="0" fontId="0" fillId="0" borderId="17" xfId="1" applyNumberFormat="1" applyFont="1" applyFill="1" applyBorder="1" applyAlignment="1">
      <alignment horizontal="center" vertical="center"/>
    </xf>
    <xf numFmtId="164" fontId="0" fillId="0" borderId="16" xfId="1" applyNumberFormat="1" applyFont="1" applyBorder="1" applyAlignment="1">
      <alignment vertical="center"/>
    </xf>
    <xf numFmtId="164" fontId="0" fillId="0" borderId="17" xfId="1" applyNumberFormat="1" applyFont="1" applyBorder="1" applyAlignment="1">
      <alignment vertical="center"/>
    </xf>
    <xf numFmtId="165" fontId="0" fillId="0" borderId="17" xfId="1" applyNumberFormat="1" applyFont="1" applyBorder="1" applyAlignment="1">
      <alignment vertical="center"/>
    </xf>
    <xf numFmtId="164" fontId="0" fillId="0" borderId="33" xfId="1" applyNumberFormat="1" applyFont="1" applyFill="1" applyBorder="1" applyAlignment="1">
      <alignment vertical="center"/>
    </xf>
    <xf numFmtId="164" fontId="0" fillId="0" borderId="27" xfId="1" applyNumberFormat="1" applyFont="1" applyFill="1" applyBorder="1" applyAlignment="1">
      <alignment vertical="center"/>
    </xf>
    <xf numFmtId="165" fontId="0" fillId="0" borderId="27" xfId="1" applyNumberFormat="1" applyFont="1" applyFill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11" fillId="0" borderId="17" xfId="0" applyFont="1" applyBorder="1" applyAlignment="1">
      <alignment horizontal="center" vertical="center"/>
    </xf>
    <xf numFmtId="166" fontId="0" fillId="4" borderId="17" xfId="0" applyNumberFormat="1" applyFill="1" applyBorder="1" applyAlignment="1">
      <alignment horizontal="center" vertical="center"/>
    </xf>
    <xf numFmtId="166" fontId="0" fillId="4" borderId="27" xfId="0" applyNumberFormat="1" applyFill="1" applyBorder="1" applyAlignment="1">
      <alignment horizontal="center" vertical="center"/>
    </xf>
    <xf numFmtId="166" fontId="0" fillId="4" borderId="13" xfId="0" applyNumberFormat="1" applyFill="1" applyBorder="1" applyAlignment="1">
      <alignment horizontal="center" vertical="center"/>
    </xf>
    <xf numFmtId="166" fontId="0" fillId="4" borderId="30" xfId="0" applyNumberFormat="1" applyFill="1" applyBorder="1" applyAlignment="1">
      <alignment horizontal="center" vertical="center"/>
    </xf>
    <xf numFmtId="1" fontId="11" fillId="4" borderId="13" xfId="0" applyNumberFormat="1" applyFont="1" applyFill="1" applyBorder="1" applyAlignment="1">
      <alignment horizontal="center" vertical="center"/>
    </xf>
    <xf numFmtId="2" fontId="11" fillId="4" borderId="13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horizontal="center" vertical="center"/>
    </xf>
    <xf numFmtId="1" fontId="26" fillId="0" borderId="15" xfId="2" applyNumberFormat="1" applyFont="1" applyFill="1" applyBorder="1" applyAlignment="1">
      <alignment horizontal="center" vertical="center"/>
    </xf>
    <xf numFmtId="44" fontId="0" fillId="0" borderId="0" xfId="0" applyNumberFormat="1"/>
    <xf numFmtId="1" fontId="26" fillId="0" borderId="40" xfId="2" applyNumberFormat="1" applyFont="1" applyFill="1" applyBorder="1" applyAlignment="1">
      <alignment horizontal="center" vertical="center"/>
    </xf>
    <xf numFmtId="16" fontId="8" fillId="2" borderId="0" xfId="0" applyNumberFormat="1" applyFont="1" applyFill="1"/>
    <xf numFmtId="0" fontId="0" fillId="0" borderId="33" xfId="0" applyBorder="1" applyAlignment="1">
      <alignment horizontal="left" vertical="center"/>
    </xf>
    <xf numFmtId="0" fontId="11" fillId="0" borderId="27" xfId="0" applyFont="1" applyFill="1" applyBorder="1" applyAlignment="1">
      <alignment horizontal="left" vertical="center"/>
    </xf>
    <xf numFmtId="0" fontId="0" fillId="0" borderId="27" xfId="0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44" fontId="11" fillId="0" borderId="27" xfId="1" applyFont="1" applyFill="1" applyBorder="1" applyAlignment="1">
      <alignment horizontal="center" vertical="center"/>
    </xf>
    <xf numFmtId="0" fontId="11" fillId="0" borderId="27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1" fillId="0" borderId="17" xfId="0" applyFont="1" applyFill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1" fillId="0" borderId="26" xfId="0" applyFont="1" applyFill="1" applyBorder="1" applyAlignment="1">
      <alignment horizontal="left" vertical="center" wrapText="1"/>
    </xf>
    <xf numFmtId="0" fontId="25" fillId="0" borderId="22" xfId="0" applyFont="1" applyFill="1" applyBorder="1" applyAlignment="1">
      <alignment horizontal="center" vertical="center"/>
    </xf>
    <xf numFmtId="0" fontId="25" fillId="0" borderId="20" xfId="0" applyFont="1" applyFill="1" applyBorder="1" applyAlignment="1">
      <alignment horizontal="center" vertical="center"/>
    </xf>
    <xf numFmtId="0" fontId="25" fillId="0" borderId="26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165" fontId="4" fillId="0" borderId="14" xfId="1" applyNumberFormat="1" applyFont="1" applyFill="1" applyBorder="1" applyAlignment="1">
      <alignment vertical="center"/>
    </xf>
    <xf numFmtId="0" fontId="8" fillId="0" borderId="18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164" fontId="0" fillId="0" borderId="0" xfId="0" applyNumberFormat="1"/>
    <xf numFmtId="165" fontId="0" fillId="0" borderId="31" xfId="1" applyNumberFormat="1" applyFont="1" applyFill="1" applyBorder="1" applyAlignment="1">
      <alignment horizontal="center" vertical="center"/>
    </xf>
    <xf numFmtId="165" fontId="0" fillId="0" borderId="41" xfId="1" applyNumberFormat="1" applyFont="1" applyFill="1" applyBorder="1" applyAlignment="1">
      <alignment horizontal="center" vertical="center"/>
    </xf>
    <xf numFmtId="0" fontId="26" fillId="0" borderId="42" xfId="0" applyFont="1" applyFill="1" applyBorder="1" applyAlignment="1">
      <alignment horizontal="center" vertical="center"/>
    </xf>
    <xf numFmtId="0" fontId="26" fillId="0" borderId="48" xfId="0" applyFont="1" applyFill="1" applyBorder="1" applyAlignment="1">
      <alignment horizontal="center" vertical="center"/>
    </xf>
    <xf numFmtId="0" fontId="26" fillId="0" borderId="40" xfId="0" applyFont="1" applyFill="1" applyBorder="1" applyAlignment="1">
      <alignment horizontal="center" vertical="center"/>
    </xf>
    <xf numFmtId="166" fontId="11" fillId="4" borderId="30" xfId="0" applyNumberFormat="1" applyFont="1" applyFill="1" applyBorder="1" applyAlignment="1">
      <alignment horizontal="center" vertical="center"/>
    </xf>
    <xf numFmtId="166" fontId="11" fillId="4" borderId="23" xfId="0" applyNumberFormat="1" applyFont="1" applyFill="1" applyBorder="1" applyAlignment="1">
      <alignment horizontal="center" vertical="center"/>
    </xf>
    <xf numFmtId="166" fontId="11" fillId="4" borderId="27" xfId="0" applyNumberFormat="1" applyFont="1" applyFill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11" fillId="0" borderId="29" xfId="0" applyFont="1" applyFill="1" applyBorder="1" applyAlignment="1">
      <alignment horizontal="left" vertical="center"/>
    </xf>
    <xf numFmtId="0" fontId="11" fillId="0" borderId="21" xfId="0" applyFont="1" applyFill="1" applyBorder="1" applyAlignment="1">
      <alignment horizontal="left" vertical="center"/>
    </xf>
    <xf numFmtId="0" fontId="11" fillId="0" borderId="33" xfId="0" applyFont="1" applyFill="1" applyBorder="1" applyAlignment="1">
      <alignment horizontal="left" vertical="center"/>
    </xf>
    <xf numFmtId="0" fontId="11" fillId="0" borderId="30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166" fontId="23" fillId="0" borderId="42" xfId="0" applyNumberFormat="1" applyFont="1" applyFill="1" applyBorder="1" applyAlignment="1">
      <alignment horizontal="center" vertical="center"/>
    </xf>
    <xf numFmtId="166" fontId="23" fillId="0" borderId="40" xfId="0" applyNumberFormat="1" applyFont="1" applyFill="1" applyBorder="1" applyAlignment="1">
      <alignment horizontal="center" vertical="center"/>
    </xf>
  </cellXfs>
  <cellStyles count="3">
    <cellStyle name="Moneda" xfId="1" builtinId="4"/>
    <cellStyle name="Moneda 2" xfId="2" xr:uid="{BF5C8605-BF5E-48E9-800E-7FFA7B61F2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104775</xdr:colOff>
      <xdr:row>0</xdr:row>
      <xdr:rowOff>152400</xdr:rowOff>
    </xdr:from>
    <xdr:ext cx="3200400" cy="924805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A8AF2472-2A94-4A84-87FB-52B3F78D089D}"/>
            </a:ext>
          </a:extLst>
        </xdr:cNvPr>
        <xdr:cNvSpPr/>
      </xdr:nvSpPr>
      <xdr:spPr>
        <a:xfrm>
          <a:off x="5791200" y="152400"/>
          <a:ext cx="3200400" cy="924805"/>
        </a:xfrm>
        <a:prstGeom prst="rect">
          <a:avLst/>
        </a:prstGeom>
        <a:noFill/>
      </xdr:spPr>
      <xdr:txBody>
        <a:bodyPr wrap="square" lIns="91440" tIns="45720" rIns="91440" bIns="45720" anchor="ctr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Schoolbook" panose="02040604050505020304" pitchFamily="18" charset="0"/>
            </a:rPr>
            <a:t>Lenmarq</a:t>
          </a:r>
        </a:p>
      </xdr:txBody>
    </xdr:sp>
    <xdr:clientData/>
  </xdr:oneCellAnchor>
  <xdr:oneCellAnchor>
    <xdr:from>
      <xdr:col>2</xdr:col>
      <xdr:colOff>808926</xdr:colOff>
      <xdr:row>30</xdr:row>
      <xdr:rowOff>116946</xdr:rowOff>
    </xdr:from>
    <xdr:ext cx="1805157" cy="655949"/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1925F592-66D1-4BDD-B564-79AA27FF12EC}"/>
            </a:ext>
          </a:extLst>
        </xdr:cNvPr>
        <xdr:cNvSpPr/>
      </xdr:nvSpPr>
      <xdr:spPr>
        <a:xfrm>
          <a:off x="3941593" y="7758113"/>
          <a:ext cx="1805157" cy="655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200" b="1" cap="none" spc="0" baseline="0">
              <a:ln w="12700">
                <a:solidFill>
                  <a:schemeClr val="tx1"/>
                </a:solidFill>
                <a:prstDash val="solid"/>
              </a:ln>
              <a:solidFill>
                <a:srgbClr val="FF0000"/>
              </a:solidFill>
              <a:effectLst/>
            </a:rPr>
            <a:t>TRANSFER STRONA COLOR ORO EN PLANTILLA</a:t>
          </a:r>
        </a:p>
      </xdr:txBody>
    </xdr:sp>
    <xdr:clientData/>
  </xdr:oneCellAnchor>
  <xdr:oneCellAnchor>
    <xdr:from>
      <xdr:col>11</xdr:col>
      <xdr:colOff>10583</xdr:colOff>
      <xdr:row>30</xdr:row>
      <xdr:rowOff>42332</xdr:rowOff>
    </xdr:from>
    <xdr:ext cx="2385916" cy="468077"/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8543CBFC-8B49-4DFF-B49D-6A1D06C3CCA7}"/>
            </a:ext>
          </a:extLst>
        </xdr:cNvPr>
        <xdr:cNvSpPr/>
      </xdr:nvSpPr>
      <xdr:spPr>
        <a:xfrm>
          <a:off x="10879666" y="7503582"/>
          <a:ext cx="2385916" cy="46807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200" b="1" cap="none" spc="0" baseline="0">
              <a:ln w="12700">
                <a:solidFill>
                  <a:schemeClr val="tx1"/>
                </a:solidFill>
                <a:prstDash val="solid"/>
              </a:ln>
              <a:solidFill>
                <a:srgbClr val="FF0000"/>
              </a:solidFill>
              <a:effectLst/>
            </a:rPr>
            <a:t>TRANSFER EN PLANTILLA NOM 20</a:t>
          </a:r>
        </a:p>
        <a:p>
          <a:pPr algn="ctr"/>
          <a:r>
            <a:rPr lang="es-ES" sz="1200" b="1" cap="none" spc="0" baseline="0">
              <a:ln w="12700">
                <a:solidFill>
                  <a:schemeClr val="tx1"/>
                </a:solidFill>
                <a:prstDash val="solid"/>
              </a:ln>
              <a:solidFill>
                <a:srgbClr val="FF0000"/>
              </a:solidFill>
              <a:effectLst/>
            </a:rPr>
            <a:t>SINTETICO-SINTETICO-SINTETICO</a:t>
          </a:r>
        </a:p>
      </xdr:txBody>
    </xdr:sp>
    <xdr:clientData/>
  </xdr:oneCellAnchor>
  <xdr:twoCellAnchor>
    <xdr:from>
      <xdr:col>0</xdr:col>
      <xdr:colOff>222250</xdr:colOff>
      <xdr:row>0</xdr:row>
      <xdr:rowOff>127000</xdr:rowOff>
    </xdr:from>
    <xdr:to>
      <xdr:col>1</xdr:col>
      <xdr:colOff>1354667</xdr:colOff>
      <xdr:row>5</xdr:row>
      <xdr:rowOff>42334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065B87D-DDAA-41AF-A137-A939783F03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180" t="11390" r="-114" b="4657"/>
        <a:stretch/>
      </xdr:blipFill>
      <xdr:spPr>
        <a:xfrm>
          <a:off x="222250" y="127000"/>
          <a:ext cx="2540000" cy="1100667"/>
        </a:xfrm>
        <a:prstGeom prst="rect">
          <a:avLst/>
        </a:prstGeom>
      </xdr:spPr>
    </xdr:pic>
    <xdr:clientData/>
  </xdr:twoCellAnchor>
  <xdr:twoCellAnchor>
    <xdr:from>
      <xdr:col>4</xdr:col>
      <xdr:colOff>603250</xdr:colOff>
      <xdr:row>32</xdr:row>
      <xdr:rowOff>84667</xdr:rowOff>
    </xdr:from>
    <xdr:to>
      <xdr:col>9</xdr:col>
      <xdr:colOff>634999</xdr:colOff>
      <xdr:row>39</xdr:row>
      <xdr:rowOff>63501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316B9F9B-5F2E-4A1A-8E98-956BEC9D80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180" t="11390" r="-114" b="4657"/>
        <a:stretch/>
      </xdr:blipFill>
      <xdr:spPr>
        <a:xfrm>
          <a:off x="6297083" y="8106834"/>
          <a:ext cx="3407833" cy="1312334"/>
        </a:xfrm>
        <a:prstGeom prst="rect">
          <a:avLst/>
        </a:prstGeom>
      </xdr:spPr>
    </xdr:pic>
    <xdr:clientData/>
  </xdr:twoCellAnchor>
  <xdr:twoCellAnchor>
    <xdr:from>
      <xdr:col>3</xdr:col>
      <xdr:colOff>910166</xdr:colOff>
      <xdr:row>32</xdr:row>
      <xdr:rowOff>127000</xdr:rowOff>
    </xdr:from>
    <xdr:to>
      <xdr:col>6</xdr:col>
      <xdr:colOff>105833</xdr:colOff>
      <xdr:row>34</xdr:row>
      <xdr:rowOff>105833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6F7484FF-E68E-4A10-9120-BB5FB5F6FB90}"/>
            </a:ext>
          </a:extLst>
        </xdr:cNvPr>
        <xdr:cNvCxnSpPr/>
      </xdr:nvCxnSpPr>
      <xdr:spPr>
        <a:xfrm>
          <a:off x="5408083" y="8149167"/>
          <a:ext cx="1830917" cy="359833"/>
        </a:xfrm>
        <a:prstGeom prst="straightConnector1">
          <a:avLst/>
        </a:prstGeom>
        <a:ln w="38100">
          <a:solidFill>
            <a:srgbClr val="FF0000"/>
          </a:solidFill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359834</xdr:colOff>
      <xdr:row>31</xdr:row>
      <xdr:rowOff>179916</xdr:rowOff>
    </xdr:from>
    <xdr:to>
      <xdr:col>11</xdr:col>
      <xdr:colOff>95250</xdr:colOff>
      <xdr:row>36</xdr:row>
      <xdr:rowOff>74083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4E0F90EE-EAF1-4776-9F67-CAE034534A50}"/>
            </a:ext>
          </a:extLst>
        </xdr:cNvPr>
        <xdr:cNvCxnSpPr/>
      </xdr:nvCxnSpPr>
      <xdr:spPr>
        <a:xfrm flipH="1">
          <a:off x="8085667" y="8011583"/>
          <a:ext cx="2878666" cy="846667"/>
        </a:xfrm>
        <a:prstGeom prst="straightConnector1">
          <a:avLst/>
        </a:prstGeom>
        <a:ln w="38100">
          <a:solidFill>
            <a:srgbClr val="FF0000"/>
          </a:solidFill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370417</xdr:colOff>
      <xdr:row>31</xdr:row>
      <xdr:rowOff>148165</xdr:rowOff>
    </xdr:from>
    <xdr:to>
      <xdr:col>2</xdr:col>
      <xdr:colOff>150767</xdr:colOff>
      <xdr:row>37</xdr:row>
      <xdr:rowOff>62735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88A2C189-2C08-4ED6-80E7-F94608E95B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64" t="28179" b="14650"/>
        <a:stretch/>
      </xdr:blipFill>
      <xdr:spPr>
        <a:xfrm>
          <a:off x="370417" y="7979832"/>
          <a:ext cx="2913017" cy="1057570"/>
        </a:xfrm>
        <a:prstGeom prst="rect">
          <a:avLst/>
        </a:prstGeom>
      </xdr:spPr>
    </xdr:pic>
    <xdr:clientData/>
  </xdr:twoCellAnchor>
  <xdr:oneCellAnchor>
    <xdr:from>
      <xdr:col>0</xdr:col>
      <xdr:colOff>844910</xdr:colOff>
      <xdr:row>37</xdr:row>
      <xdr:rowOff>152927</xdr:rowOff>
    </xdr:from>
    <xdr:ext cx="1805157" cy="280205"/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E3E4A3A9-4518-4D77-A699-3184CDCB99A6}"/>
            </a:ext>
          </a:extLst>
        </xdr:cNvPr>
        <xdr:cNvSpPr/>
      </xdr:nvSpPr>
      <xdr:spPr>
        <a:xfrm>
          <a:off x="844910" y="9127594"/>
          <a:ext cx="1805157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200" b="1" cap="none" spc="0" baseline="0">
              <a:ln w="12700">
                <a:solidFill>
                  <a:schemeClr val="tx1"/>
                </a:solidFill>
                <a:prstDash val="solid"/>
              </a:ln>
              <a:solidFill>
                <a:srgbClr val="FF0000"/>
              </a:solidFill>
              <a:effectLst/>
            </a:rPr>
            <a:t>SUELA ALICE PVC NEGRO</a:t>
          </a:r>
        </a:p>
      </xdr:txBody>
    </xdr:sp>
    <xdr:clientData/>
  </xdr:oneCellAnchor>
  <xdr:twoCellAnchor editAs="oneCell">
    <xdr:from>
      <xdr:col>2</xdr:col>
      <xdr:colOff>836083</xdr:colOff>
      <xdr:row>34</xdr:row>
      <xdr:rowOff>105833</xdr:rowOff>
    </xdr:from>
    <xdr:to>
      <xdr:col>4</xdr:col>
      <xdr:colOff>46567</xdr:colOff>
      <xdr:row>39</xdr:row>
      <xdr:rowOff>2028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DB89836F-2A16-4815-9FB2-8BC52ECD3B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10" t="35132" r="22942" b="16322"/>
        <a:stretch/>
      </xdr:blipFill>
      <xdr:spPr>
        <a:xfrm>
          <a:off x="3968750" y="8509000"/>
          <a:ext cx="1771650" cy="848695"/>
        </a:xfrm>
        <a:prstGeom prst="rect">
          <a:avLst/>
        </a:prstGeom>
      </xdr:spPr>
    </xdr:pic>
    <xdr:clientData/>
  </xdr:twoCellAnchor>
  <xdr:twoCellAnchor editAs="oneCell">
    <xdr:from>
      <xdr:col>10</xdr:col>
      <xdr:colOff>899582</xdr:colOff>
      <xdr:row>33</xdr:row>
      <xdr:rowOff>0</xdr:rowOff>
    </xdr:from>
    <xdr:to>
      <xdr:col>13</xdr:col>
      <xdr:colOff>423332</xdr:colOff>
      <xdr:row>39</xdr:row>
      <xdr:rowOff>118301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9473A4E3-08AC-4157-A73D-578D4F13BB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18" t="50000" r="33469" b="26321"/>
        <a:stretch/>
      </xdr:blipFill>
      <xdr:spPr>
        <a:xfrm>
          <a:off x="10720915" y="8212667"/>
          <a:ext cx="2180167" cy="12613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455083</xdr:colOff>
      <xdr:row>1</xdr:row>
      <xdr:rowOff>37125</xdr:rowOff>
    </xdr:from>
    <xdr:ext cx="2437341" cy="647357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171289C7-29CC-464A-90BD-F67DC0CB5C8D}"/>
            </a:ext>
          </a:extLst>
        </xdr:cNvPr>
        <xdr:cNvSpPr/>
      </xdr:nvSpPr>
      <xdr:spPr>
        <a:xfrm>
          <a:off x="9560983" y="237150"/>
          <a:ext cx="2437341" cy="647357"/>
        </a:xfrm>
        <a:prstGeom prst="rect">
          <a:avLst/>
        </a:prstGeom>
        <a:noFill/>
      </xdr:spPr>
      <xdr:txBody>
        <a:bodyPr wrap="square" lIns="91440" tIns="45720" rIns="91440" bIns="45720" anchor="ctr">
          <a:spAutoFit/>
        </a:bodyPr>
        <a:lstStyle/>
        <a:p>
          <a:pPr algn="ctr"/>
          <a:r>
            <a:rPr lang="es-E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Schoolbook" panose="02040604050505020304" pitchFamily="18" charset="0"/>
            </a:rPr>
            <a:t>Lenmarq</a:t>
          </a:r>
        </a:p>
      </xdr:txBody>
    </xdr:sp>
    <xdr:clientData/>
  </xdr:oneCellAnchor>
  <xdr:twoCellAnchor editAs="oneCell">
    <xdr:from>
      <xdr:col>0</xdr:col>
      <xdr:colOff>0</xdr:colOff>
      <xdr:row>0</xdr:row>
      <xdr:rowOff>127000</xdr:rowOff>
    </xdr:from>
    <xdr:to>
      <xdr:col>1</xdr:col>
      <xdr:colOff>1590135</xdr:colOff>
      <xdr:row>5</xdr:row>
      <xdr:rowOff>47239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3BBD2FD-E306-483B-A616-B9C47A810F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50" t="15742" r="2641" b="22984"/>
        <a:stretch/>
      </xdr:blipFill>
      <xdr:spPr>
        <a:xfrm>
          <a:off x="0" y="127000"/>
          <a:ext cx="2999835" cy="11013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83D2D-E5DE-4043-A000-3BED72EB3EF2}">
  <sheetPr>
    <pageSetUpPr fitToPage="1"/>
  </sheetPr>
  <dimension ref="A1:U65"/>
  <sheetViews>
    <sheetView tabSelected="1" zoomScale="90" zoomScaleNormal="90" zoomScaleSheetLayoutView="80" workbookViewId="0">
      <pane ySplit="8" topLeftCell="A9" activePane="bottomLeft" state="frozen"/>
      <selection pane="bottomLeft" activeCell="L6" sqref="L6"/>
    </sheetView>
  </sheetViews>
  <sheetFormatPr baseColWidth="10" defaultRowHeight="15" x14ac:dyDescent="0.25"/>
  <cols>
    <col min="1" max="1" width="21.140625" customWidth="1"/>
    <col min="2" max="2" width="25.85546875" customWidth="1"/>
    <col min="3" max="3" width="20.42578125" customWidth="1"/>
    <col min="4" max="4" width="17.85546875" customWidth="1"/>
    <col min="5" max="6" width="10.85546875" customWidth="1"/>
    <col min="7" max="7" width="9.28515625" customWidth="1"/>
    <col min="8" max="8" width="8" bestFit="1" customWidth="1"/>
    <col min="9" max="9" width="12.140625" customWidth="1"/>
    <col min="10" max="10" width="10.7109375" bestFit="1" customWidth="1"/>
    <col min="11" max="11" width="16.140625" bestFit="1" customWidth="1"/>
    <col min="12" max="12" width="12.28515625" bestFit="1" customWidth="1"/>
    <col min="13" max="14" width="11.42578125" style="221"/>
    <col min="15" max="15" width="13.140625" style="93" bestFit="1" customWidth="1"/>
    <col min="16" max="16" width="11.42578125" style="93"/>
    <col min="17" max="17" width="19.5703125" style="97" bestFit="1" customWidth="1"/>
    <col min="18" max="18" width="17.140625" style="97" bestFit="1" customWidth="1"/>
    <col min="19" max="19" width="12.140625" bestFit="1" customWidth="1"/>
    <col min="20" max="20" width="14.42578125" bestFit="1" customWidth="1"/>
    <col min="21" max="21" width="12.140625" bestFit="1" customWidth="1"/>
  </cols>
  <sheetData>
    <row r="1" spans="1:18" ht="15.7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2"/>
      <c r="M1" s="203"/>
      <c r="N1" s="204"/>
      <c r="O1" s="5"/>
      <c r="P1" s="6"/>
      <c r="Q1" s="7"/>
      <c r="R1" s="8"/>
    </row>
    <row r="2" spans="1:18" ht="21.75" thickBot="1" x14ac:dyDescent="0.4">
      <c r="A2" s="9"/>
      <c r="B2" s="10"/>
      <c r="C2" s="140" t="s">
        <v>110</v>
      </c>
      <c r="D2" s="27"/>
      <c r="E2" s="10"/>
      <c r="F2" s="10"/>
      <c r="G2" s="10"/>
      <c r="H2" s="10"/>
      <c r="I2" s="10"/>
      <c r="J2" s="10"/>
      <c r="K2" s="10" t="s">
        <v>91</v>
      </c>
      <c r="L2" s="145"/>
      <c r="M2" s="205"/>
      <c r="N2" s="206"/>
      <c r="O2" s="12"/>
      <c r="P2" s="13"/>
      <c r="Q2" s="14"/>
      <c r="R2" s="15"/>
    </row>
    <row r="3" spans="1:18" ht="24" thickBot="1" x14ac:dyDescent="0.4">
      <c r="A3" s="9"/>
      <c r="B3" s="10"/>
      <c r="C3" s="339">
        <v>888887</v>
      </c>
      <c r="D3" s="340"/>
      <c r="E3" s="10"/>
      <c r="F3" s="10"/>
      <c r="G3" s="10"/>
      <c r="H3" s="10"/>
      <c r="I3" s="10"/>
      <c r="J3" s="10"/>
      <c r="K3" s="16" t="s">
        <v>0</v>
      </c>
      <c r="L3" s="134">
        <v>202541</v>
      </c>
      <c r="M3" s="205"/>
      <c r="N3" s="206"/>
      <c r="O3" s="17"/>
      <c r="P3" s="18" t="s">
        <v>1</v>
      </c>
      <c r="Q3" s="19"/>
      <c r="R3" s="20"/>
    </row>
    <row r="4" spans="1:18" ht="15.75" thickBot="1" x14ac:dyDescent="0.3">
      <c r="A4" s="9"/>
      <c r="B4" s="10"/>
      <c r="C4" s="339" t="s">
        <v>2</v>
      </c>
      <c r="D4" s="340"/>
      <c r="E4" s="10"/>
      <c r="F4" s="10"/>
      <c r="G4" s="10"/>
      <c r="H4" s="10"/>
      <c r="I4" s="10"/>
      <c r="J4" s="10"/>
      <c r="K4" s="21" t="s">
        <v>3</v>
      </c>
      <c r="L4" s="22">
        <v>1448</v>
      </c>
      <c r="M4" s="205"/>
      <c r="N4" s="206"/>
      <c r="O4" s="12"/>
      <c r="P4" s="13"/>
      <c r="Q4" s="14"/>
      <c r="R4" s="15"/>
    </row>
    <row r="5" spans="1:18" ht="15.75" thickBot="1" x14ac:dyDescent="0.3">
      <c r="A5" s="9"/>
      <c r="B5" s="10"/>
      <c r="C5" s="25" t="s">
        <v>4</v>
      </c>
      <c r="D5" s="26" t="s">
        <v>132</v>
      </c>
      <c r="E5" s="10"/>
      <c r="F5" s="10"/>
      <c r="G5" s="10"/>
      <c r="H5" s="10"/>
      <c r="I5" s="10"/>
      <c r="J5" s="10"/>
      <c r="K5" s="10"/>
      <c r="L5" s="307">
        <v>45953</v>
      </c>
      <c r="M5" s="205"/>
      <c r="N5" s="206"/>
      <c r="O5" s="12"/>
      <c r="P5" s="13"/>
      <c r="Q5" s="14"/>
      <c r="R5" s="15"/>
    </row>
    <row r="6" spans="1:18" ht="18.75" x14ac:dyDescent="0.3">
      <c r="A6" s="28" t="s">
        <v>5</v>
      </c>
      <c r="B6" s="29">
        <v>45104</v>
      </c>
      <c r="C6" s="341" t="s">
        <v>133</v>
      </c>
      <c r="D6" s="341"/>
      <c r="E6" s="10"/>
      <c r="F6" s="10"/>
      <c r="G6" s="10"/>
      <c r="H6" s="10"/>
      <c r="I6" s="10"/>
      <c r="J6" s="10"/>
      <c r="K6" s="141"/>
      <c r="L6" s="10"/>
      <c r="M6" s="205"/>
      <c r="N6" s="206"/>
      <c r="O6" s="12"/>
      <c r="P6" s="30"/>
      <c r="Q6" s="14"/>
      <c r="R6" s="15"/>
    </row>
    <row r="7" spans="1:18" ht="15.75" thickBot="1" x14ac:dyDescent="0.3">
      <c r="A7" s="28" t="s">
        <v>6</v>
      </c>
      <c r="B7" s="31" t="s">
        <v>89</v>
      </c>
      <c r="C7" s="10"/>
      <c r="D7" s="10"/>
      <c r="E7" s="10"/>
      <c r="F7" s="10"/>
      <c r="G7" s="10"/>
      <c r="H7" s="10"/>
      <c r="I7" s="10"/>
      <c r="J7" s="10"/>
      <c r="K7" s="27"/>
      <c r="L7" s="27"/>
      <c r="M7" s="205"/>
      <c r="N7" s="206"/>
      <c r="O7" s="32"/>
      <c r="P7" s="33"/>
      <c r="Q7" s="34"/>
      <c r="R7" s="35"/>
    </row>
    <row r="8" spans="1:18" s="40" customFormat="1" ht="32.25" customHeight="1" thickBot="1" x14ac:dyDescent="0.3">
      <c r="A8" s="197" t="s">
        <v>7</v>
      </c>
      <c r="B8" s="198" t="s">
        <v>8</v>
      </c>
      <c r="C8" s="198" t="s">
        <v>9</v>
      </c>
      <c r="D8" s="198" t="s">
        <v>10</v>
      </c>
      <c r="E8" s="199" t="s">
        <v>11</v>
      </c>
      <c r="F8" s="199" t="s">
        <v>12</v>
      </c>
      <c r="G8" s="199" t="s">
        <v>13</v>
      </c>
      <c r="H8" s="199" t="s">
        <v>14</v>
      </c>
      <c r="I8" s="199" t="s">
        <v>15</v>
      </c>
      <c r="J8" s="199" t="s">
        <v>16</v>
      </c>
      <c r="K8" s="198" t="s">
        <v>17</v>
      </c>
      <c r="L8" s="200" t="s">
        <v>18</v>
      </c>
      <c r="M8" s="207" t="s">
        <v>19</v>
      </c>
      <c r="N8" s="207" t="s">
        <v>106</v>
      </c>
      <c r="O8" s="201" t="s">
        <v>21</v>
      </c>
      <c r="P8" s="202" t="s">
        <v>22</v>
      </c>
      <c r="Q8" s="202" t="s">
        <v>23</v>
      </c>
      <c r="R8" s="202" t="s">
        <v>24</v>
      </c>
    </row>
    <row r="9" spans="1:18" x14ac:dyDescent="0.25">
      <c r="A9" s="284" t="s">
        <v>25</v>
      </c>
      <c r="B9" s="285" t="s">
        <v>134</v>
      </c>
      <c r="C9" s="286" t="s">
        <v>2</v>
      </c>
      <c r="D9" s="41" t="s">
        <v>135</v>
      </c>
      <c r="E9" s="287">
        <v>89</v>
      </c>
      <c r="F9" s="287">
        <f>+E9*1.16</f>
        <v>103.24</v>
      </c>
      <c r="G9" s="287" t="s">
        <v>26</v>
      </c>
      <c r="H9" s="288">
        <v>135</v>
      </c>
      <c r="I9" s="251">
        <v>11</v>
      </c>
      <c r="J9" s="41" t="s">
        <v>27</v>
      </c>
      <c r="K9" s="297">
        <f t="shared" ref="K9:K11" si="0">(I9*$L$4)/H9</f>
        <v>117.98518518518519</v>
      </c>
      <c r="L9" s="42" t="s">
        <v>28</v>
      </c>
      <c r="M9" s="337"/>
      <c r="N9" s="337"/>
      <c r="O9" s="289">
        <f>+F9/H9</f>
        <v>0.76474074074074072</v>
      </c>
      <c r="P9" s="290">
        <f>+I9*O9</f>
        <v>8.4121481481481482</v>
      </c>
      <c r="Q9" s="291">
        <f>+P9*$L$4</f>
        <v>12180.790518518519</v>
      </c>
      <c r="R9" s="329">
        <f>+F9*N9</f>
        <v>0</v>
      </c>
    </row>
    <row r="10" spans="1:18" ht="15.75" thickBot="1" x14ac:dyDescent="0.3">
      <c r="A10" s="274" t="s">
        <v>107</v>
      </c>
      <c r="B10" s="275" t="s">
        <v>134</v>
      </c>
      <c r="C10" s="276" t="s">
        <v>2</v>
      </c>
      <c r="D10" s="277" t="s">
        <v>135</v>
      </c>
      <c r="E10" s="278">
        <v>89</v>
      </c>
      <c r="F10" s="278">
        <f>+E10*1.16</f>
        <v>103.24</v>
      </c>
      <c r="G10" s="278" t="s">
        <v>26</v>
      </c>
      <c r="H10" s="279">
        <v>137</v>
      </c>
      <c r="I10" s="273">
        <v>5.49</v>
      </c>
      <c r="J10" s="277" t="s">
        <v>27</v>
      </c>
      <c r="K10" s="298">
        <f t="shared" si="0"/>
        <v>58.025693430656936</v>
      </c>
      <c r="L10" s="280" t="s">
        <v>28</v>
      </c>
      <c r="M10" s="338"/>
      <c r="N10" s="338"/>
      <c r="O10" s="281">
        <f t="shared" ref="O10" si="1">+F10/H10</f>
        <v>0.75357664233576638</v>
      </c>
      <c r="P10" s="282">
        <f>+I10*O10</f>
        <v>4.1371357664233575</v>
      </c>
      <c r="Q10" s="283">
        <f t="shared" ref="Q10:Q40" si="2">+P10*$L$4</f>
        <v>5990.5725897810216</v>
      </c>
      <c r="R10" s="330"/>
    </row>
    <row r="11" spans="1:18" ht="15" customHeight="1" x14ac:dyDescent="0.25">
      <c r="A11" s="50" t="s">
        <v>29</v>
      </c>
      <c r="B11" s="295" t="s">
        <v>116</v>
      </c>
      <c r="C11" s="41" t="s">
        <v>113</v>
      </c>
      <c r="D11" s="296" t="s">
        <v>30</v>
      </c>
      <c r="E11" s="51">
        <v>38</v>
      </c>
      <c r="F11" s="51">
        <f t="shared" ref="F11" si="3">+E11*1.16</f>
        <v>44.08</v>
      </c>
      <c r="G11" s="51" t="s">
        <v>26</v>
      </c>
      <c r="H11" s="52">
        <v>137</v>
      </c>
      <c r="I11" s="251">
        <v>11</v>
      </c>
      <c r="J11" s="41" t="s">
        <v>27</v>
      </c>
      <c r="K11" s="297">
        <f t="shared" si="0"/>
        <v>116.26277372262774</v>
      </c>
      <c r="L11" s="42" t="s">
        <v>28</v>
      </c>
      <c r="M11" s="337"/>
      <c r="N11" s="337"/>
      <c r="O11" s="289">
        <f>+F11/H11</f>
        <v>0.32175182481751824</v>
      </c>
      <c r="P11" s="290">
        <f t="shared" ref="P11" si="4">+I11*O11</f>
        <v>3.5392700729927005</v>
      </c>
      <c r="Q11" s="291">
        <f t="shared" si="2"/>
        <v>5124.8630656934301</v>
      </c>
      <c r="R11" s="329">
        <f t="shared" ref="R11:R25" si="5">+F11*N11</f>
        <v>0</v>
      </c>
    </row>
    <row r="12" spans="1:18" ht="15" customHeight="1" thickBot="1" x14ac:dyDescent="0.3">
      <c r="A12" s="308" t="s">
        <v>109</v>
      </c>
      <c r="B12" s="309" t="s">
        <v>116</v>
      </c>
      <c r="C12" s="310" t="s">
        <v>113</v>
      </c>
      <c r="D12" s="311" t="s">
        <v>30</v>
      </c>
      <c r="E12" s="312">
        <v>38</v>
      </c>
      <c r="F12" s="312">
        <f>+E12*1.16</f>
        <v>44.08</v>
      </c>
      <c r="G12" s="312" t="s">
        <v>26</v>
      </c>
      <c r="H12" s="313">
        <v>137</v>
      </c>
      <c r="I12" s="310">
        <v>4.41</v>
      </c>
      <c r="J12" s="277" t="s">
        <v>27</v>
      </c>
      <c r="K12" s="298">
        <f>(I12*$L$4)/H12</f>
        <v>46.610802919708028</v>
      </c>
      <c r="L12" s="280" t="s">
        <v>28</v>
      </c>
      <c r="M12" s="338"/>
      <c r="N12" s="338"/>
      <c r="O12" s="292">
        <f>+F12/H12</f>
        <v>0.32175182481751824</v>
      </c>
      <c r="P12" s="293">
        <f>+I12*O12</f>
        <v>1.4189255474452556</v>
      </c>
      <c r="Q12" s="294">
        <f>+P12*$L$4</f>
        <v>2054.60419270073</v>
      </c>
      <c r="R12" s="330"/>
    </row>
    <row r="13" spans="1:18" ht="15" customHeight="1" thickBot="1" x14ac:dyDescent="0.3">
      <c r="A13" s="169" t="s">
        <v>123</v>
      </c>
      <c r="B13" s="321" t="s">
        <v>129</v>
      </c>
      <c r="C13" s="44" t="s">
        <v>124</v>
      </c>
      <c r="D13" s="322" t="s">
        <v>102</v>
      </c>
      <c r="E13" s="63">
        <v>2755.0949999999998</v>
      </c>
      <c r="F13" s="63">
        <f>+E13*1.16</f>
        <v>3195.9101999999993</v>
      </c>
      <c r="G13" s="63" t="s">
        <v>130</v>
      </c>
      <c r="H13" s="64">
        <v>150</v>
      </c>
      <c r="I13" s="44">
        <v>9.9</v>
      </c>
      <c r="J13" s="44" t="s">
        <v>27</v>
      </c>
      <c r="K13" s="299">
        <f>((I13*$L$4)/H13)/33.4</f>
        <v>2.861317365269461</v>
      </c>
      <c r="L13" s="46" t="s">
        <v>131</v>
      </c>
      <c r="M13" s="323"/>
      <c r="N13" s="324"/>
      <c r="O13" s="135">
        <f>+F13/H13</f>
        <v>21.306067999999996</v>
      </c>
      <c r="P13" s="136">
        <f>+I13*O13</f>
        <v>210.93007319999998</v>
      </c>
      <c r="Q13" s="137">
        <f>+P13*$L$4</f>
        <v>305426.74599359999</v>
      </c>
      <c r="R13" s="138">
        <f t="shared" ref="R13" si="6">+F13*N13</f>
        <v>0</v>
      </c>
    </row>
    <row r="14" spans="1:18" ht="30.75" thickBot="1" x14ac:dyDescent="0.3">
      <c r="A14" s="192" t="s">
        <v>98</v>
      </c>
      <c r="B14" s="164" t="s">
        <v>111</v>
      </c>
      <c r="C14" s="181" t="s">
        <v>103</v>
      </c>
      <c r="D14" s="144" t="s">
        <v>104</v>
      </c>
      <c r="E14" s="63">
        <v>4.8499999999999996</v>
      </c>
      <c r="F14" s="63">
        <f>+E14*1</f>
        <v>4.8499999999999996</v>
      </c>
      <c r="G14" s="63" t="s">
        <v>32</v>
      </c>
      <c r="H14" s="64" t="s">
        <v>31</v>
      </c>
      <c r="I14" s="44">
        <v>1</v>
      </c>
      <c r="J14" s="44" t="s">
        <v>33</v>
      </c>
      <c r="K14" s="299">
        <f>+I14*$L$4</f>
        <v>1448</v>
      </c>
      <c r="L14" s="46" t="s">
        <v>32</v>
      </c>
      <c r="M14" s="208"/>
      <c r="N14" s="209"/>
      <c r="O14" s="135">
        <f>+F14</f>
        <v>4.8499999999999996</v>
      </c>
      <c r="P14" s="136">
        <f>+O14/35</f>
        <v>0.13857142857142857</v>
      </c>
      <c r="Q14" s="137">
        <f t="shared" si="2"/>
        <v>200.65142857142857</v>
      </c>
      <c r="R14" s="325">
        <f t="shared" si="5"/>
        <v>0</v>
      </c>
    </row>
    <row r="15" spans="1:18" s="149" customFormat="1" ht="15" customHeight="1" thickBot="1" x14ac:dyDescent="0.3">
      <c r="A15" s="50" t="s">
        <v>34</v>
      </c>
      <c r="B15" s="188" t="s">
        <v>117</v>
      </c>
      <c r="C15" s="148" t="s">
        <v>2</v>
      </c>
      <c r="D15" s="189" t="s">
        <v>105</v>
      </c>
      <c r="E15" s="51">
        <v>3.68</v>
      </c>
      <c r="F15" s="51">
        <f>+E15*1.16</f>
        <v>4.2687999999999997</v>
      </c>
      <c r="G15" s="51" t="s">
        <v>26</v>
      </c>
      <c r="H15" s="52" t="s">
        <v>31</v>
      </c>
      <c r="I15" s="148">
        <f>+(0.07)*2</f>
        <v>0.14000000000000001</v>
      </c>
      <c r="J15" s="41" t="s">
        <v>28</v>
      </c>
      <c r="K15" s="297">
        <f t="shared" ref="K15" si="7">+I15*$L$4</f>
        <v>202.72000000000003</v>
      </c>
      <c r="L15" s="42" t="s">
        <v>28</v>
      </c>
      <c r="M15" s="326"/>
      <c r="N15" s="210"/>
      <c r="O15" s="135">
        <f t="shared" ref="O15" si="8">+F15</f>
        <v>4.2687999999999997</v>
      </c>
      <c r="P15" s="136">
        <f>+I15*O15</f>
        <v>0.59763200000000005</v>
      </c>
      <c r="Q15" s="137">
        <f t="shared" ref="Q15" si="9">+P15*$L$4</f>
        <v>865.37113600000009</v>
      </c>
      <c r="R15" s="138">
        <f t="shared" si="5"/>
        <v>0</v>
      </c>
    </row>
    <row r="16" spans="1:18" s="149" customFormat="1" ht="15" customHeight="1" thickBot="1" x14ac:dyDescent="0.3">
      <c r="A16" s="55" t="s">
        <v>112</v>
      </c>
      <c r="B16" s="157" t="s">
        <v>118</v>
      </c>
      <c r="C16" s="158" t="s">
        <v>119</v>
      </c>
      <c r="D16" s="264" t="s">
        <v>120</v>
      </c>
      <c r="E16" s="57">
        <v>3.25</v>
      </c>
      <c r="F16" s="57">
        <f>+E16</f>
        <v>3.25</v>
      </c>
      <c r="G16" s="57" t="s">
        <v>32</v>
      </c>
      <c r="H16" s="58" t="s">
        <v>31</v>
      </c>
      <c r="I16" s="158">
        <v>2</v>
      </c>
      <c r="J16" s="59" t="s">
        <v>36</v>
      </c>
      <c r="K16" s="300">
        <f>+I16*L4</f>
        <v>2896</v>
      </c>
      <c r="L16" s="60" t="s">
        <v>36</v>
      </c>
      <c r="M16" s="327"/>
      <c r="N16" s="211"/>
      <c r="O16" s="135">
        <f t="shared" ref="O16" si="10">+F16</f>
        <v>3.25</v>
      </c>
      <c r="P16" s="136">
        <f>+I16*O16</f>
        <v>6.5</v>
      </c>
      <c r="Q16" s="137">
        <f t="shared" ref="Q16" si="11">+P16*$L$4</f>
        <v>9412</v>
      </c>
      <c r="R16" s="138">
        <f>+(F16*N16)</f>
        <v>0</v>
      </c>
    </row>
    <row r="17" spans="1:18" ht="29.25" customHeight="1" thickBot="1" x14ac:dyDescent="0.3">
      <c r="A17" s="55" t="s">
        <v>42</v>
      </c>
      <c r="B17" s="56" t="s">
        <v>121</v>
      </c>
      <c r="C17" s="186" t="s">
        <v>43</v>
      </c>
      <c r="D17" s="185" t="s">
        <v>122</v>
      </c>
      <c r="E17" s="57">
        <v>11.5</v>
      </c>
      <c r="F17" s="57">
        <f>+E17*1</f>
        <v>11.5</v>
      </c>
      <c r="G17" s="57" t="s">
        <v>32</v>
      </c>
      <c r="H17" s="58" t="s">
        <v>31</v>
      </c>
      <c r="I17" s="59">
        <v>1</v>
      </c>
      <c r="J17" s="59" t="s">
        <v>33</v>
      </c>
      <c r="K17" s="300">
        <f t="shared" ref="K17:K18" si="12">+I17*$L$4</f>
        <v>1448</v>
      </c>
      <c r="L17" s="60" t="s">
        <v>32</v>
      </c>
      <c r="M17" s="211"/>
      <c r="N17" s="211"/>
      <c r="O17" s="247">
        <f>+F17</f>
        <v>11.5</v>
      </c>
      <c r="P17" s="248">
        <f>+I17*O17</f>
        <v>11.5</v>
      </c>
      <c r="Q17" s="249">
        <f t="shared" si="2"/>
        <v>16652</v>
      </c>
      <c r="R17" s="325">
        <f t="shared" si="5"/>
        <v>0</v>
      </c>
    </row>
    <row r="18" spans="1:18" s="187" customFormat="1" ht="15" customHeight="1" x14ac:dyDescent="0.25">
      <c r="A18" s="342" t="s">
        <v>44</v>
      </c>
      <c r="B18" s="315" t="s">
        <v>125</v>
      </c>
      <c r="C18" s="318" t="s">
        <v>128</v>
      </c>
      <c r="D18" s="251" t="s">
        <v>102</v>
      </c>
      <c r="E18" s="51">
        <v>0.83</v>
      </c>
      <c r="F18" s="51">
        <f t="shared" ref="F18:F20" si="13">+E18*1.16</f>
        <v>0.96279999999999988</v>
      </c>
      <c r="G18" s="51" t="s">
        <v>32</v>
      </c>
      <c r="H18" s="52" t="s">
        <v>31</v>
      </c>
      <c r="I18" s="345">
        <v>1</v>
      </c>
      <c r="J18" s="251" t="s">
        <v>33</v>
      </c>
      <c r="K18" s="334">
        <f t="shared" si="12"/>
        <v>1448</v>
      </c>
      <c r="L18" s="252" t="s">
        <v>32</v>
      </c>
      <c r="M18" s="331"/>
      <c r="N18" s="253"/>
      <c r="O18" s="254">
        <f>+F18</f>
        <v>0.96279999999999988</v>
      </c>
      <c r="P18" s="233">
        <v>0</v>
      </c>
      <c r="Q18" s="234">
        <f t="shared" si="2"/>
        <v>0</v>
      </c>
      <c r="R18" s="235">
        <f t="shared" si="5"/>
        <v>0</v>
      </c>
    </row>
    <row r="19" spans="1:18" s="187" customFormat="1" ht="15" customHeight="1" x14ac:dyDescent="0.25">
      <c r="A19" s="343"/>
      <c r="B19" s="316" t="s">
        <v>126</v>
      </c>
      <c r="C19" s="319" t="s">
        <v>128</v>
      </c>
      <c r="D19" s="255" t="s">
        <v>102</v>
      </c>
      <c r="E19" s="256">
        <v>0.86</v>
      </c>
      <c r="F19" s="256">
        <f t="shared" si="13"/>
        <v>0.99759999999999993</v>
      </c>
      <c r="G19" s="256" t="s">
        <v>32</v>
      </c>
      <c r="H19" s="257" t="s">
        <v>31</v>
      </c>
      <c r="I19" s="346"/>
      <c r="J19" s="255" t="s">
        <v>33</v>
      </c>
      <c r="K19" s="335"/>
      <c r="L19" s="258" t="s">
        <v>32</v>
      </c>
      <c r="M19" s="332"/>
      <c r="N19" s="259"/>
      <c r="O19" s="260">
        <f t="shared" ref="O19:O20" si="14">+F19</f>
        <v>0.99759999999999993</v>
      </c>
      <c r="P19" s="61">
        <f>+I18*O19</f>
        <v>0.99759999999999993</v>
      </c>
      <c r="Q19" s="62">
        <f t="shared" si="2"/>
        <v>1444.5247999999999</v>
      </c>
      <c r="R19" s="172">
        <f t="shared" si="5"/>
        <v>0</v>
      </c>
    </row>
    <row r="20" spans="1:18" s="187" customFormat="1" ht="15" customHeight="1" thickBot="1" x14ac:dyDescent="0.3">
      <c r="A20" s="344"/>
      <c r="B20" s="317" t="s">
        <v>127</v>
      </c>
      <c r="C20" s="320" t="s">
        <v>128</v>
      </c>
      <c r="D20" s="146" t="s">
        <v>102</v>
      </c>
      <c r="E20" s="53">
        <v>0.88</v>
      </c>
      <c r="F20" s="53">
        <f t="shared" si="13"/>
        <v>1.0207999999999999</v>
      </c>
      <c r="G20" s="53" t="s">
        <v>32</v>
      </c>
      <c r="H20" s="261" t="s">
        <v>31</v>
      </c>
      <c r="I20" s="347"/>
      <c r="J20" s="146" t="s">
        <v>33</v>
      </c>
      <c r="K20" s="336"/>
      <c r="L20" s="262" t="s">
        <v>32</v>
      </c>
      <c r="M20" s="333"/>
      <c r="N20" s="263"/>
      <c r="O20" s="260">
        <f t="shared" si="14"/>
        <v>1.0207999999999999</v>
      </c>
      <c r="P20" s="61">
        <v>0</v>
      </c>
      <c r="Q20" s="62">
        <f t="shared" si="2"/>
        <v>0</v>
      </c>
      <c r="R20" s="172">
        <f t="shared" si="5"/>
        <v>0</v>
      </c>
    </row>
    <row r="21" spans="1:18" s="66" customFormat="1" ht="33" customHeight="1" thickBot="1" x14ac:dyDescent="0.3">
      <c r="A21" s="267" t="s">
        <v>46</v>
      </c>
      <c r="B21" s="268" t="s">
        <v>136</v>
      </c>
      <c r="C21" s="144" t="s">
        <v>2</v>
      </c>
      <c r="D21" s="144" t="s">
        <v>114</v>
      </c>
      <c r="E21" s="121">
        <v>8.1</v>
      </c>
      <c r="F21" s="121">
        <f>+E21</f>
        <v>8.1</v>
      </c>
      <c r="G21" s="121" t="s">
        <v>35</v>
      </c>
      <c r="H21" s="122" t="s">
        <v>31</v>
      </c>
      <c r="I21" s="144">
        <v>1</v>
      </c>
      <c r="J21" s="144" t="s">
        <v>47</v>
      </c>
      <c r="K21" s="301">
        <f>(I21*$L$4)</f>
        <v>1448</v>
      </c>
      <c r="L21" s="269" t="s">
        <v>36</v>
      </c>
      <c r="M21" s="270"/>
      <c r="N21" s="271"/>
      <c r="O21" s="123">
        <f>+F21</f>
        <v>8.1</v>
      </c>
      <c r="P21" s="124">
        <f>+O21</f>
        <v>8.1</v>
      </c>
      <c r="Q21" s="125">
        <f>+P21*L4</f>
        <v>11728.8</v>
      </c>
      <c r="R21" s="126">
        <f t="shared" si="5"/>
        <v>0</v>
      </c>
    </row>
    <row r="22" spans="1:18" s="66" customFormat="1" ht="51" customHeight="1" thickBot="1" x14ac:dyDescent="0.3">
      <c r="A22" s="236" t="s">
        <v>87</v>
      </c>
      <c r="B22" s="237" t="s">
        <v>52</v>
      </c>
      <c r="C22" s="237" t="s">
        <v>138</v>
      </c>
      <c r="D22" s="238" t="s">
        <v>139</v>
      </c>
      <c r="E22" s="239">
        <v>0.62</v>
      </c>
      <c r="F22" s="239">
        <f>+E22</f>
        <v>0.62</v>
      </c>
      <c r="G22" s="239" t="s">
        <v>32</v>
      </c>
      <c r="H22" s="240" t="s">
        <v>31</v>
      </c>
      <c r="I22" s="45">
        <v>1</v>
      </c>
      <c r="J22" s="121" t="s">
        <v>32</v>
      </c>
      <c r="K22" s="301">
        <f>+I22*L4</f>
        <v>1448</v>
      </c>
      <c r="L22" s="242" t="s">
        <v>32</v>
      </c>
      <c r="M22" s="304"/>
      <c r="N22" s="265"/>
      <c r="O22" s="123">
        <f>+F22</f>
        <v>0.62</v>
      </c>
      <c r="P22" s="241">
        <f>+O22</f>
        <v>0.62</v>
      </c>
      <c r="Q22" s="125">
        <f>+P22*L4</f>
        <v>897.76</v>
      </c>
      <c r="R22" s="126">
        <f t="shared" si="5"/>
        <v>0</v>
      </c>
    </row>
    <row r="23" spans="1:18" s="66" customFormat="1" ht="33" customHeight="1" thickBot="1" x14ac:dyDescent="0.3">
      <c r="A23" s="182" t="s">
        <v>115</v>
      </c>
      <c r="B23" s="183" t="s">
        <v>137</v>
      </c>
      <c r="C23" s="184" t="s">
        <v>119</v>
      </c>
      <c r="D23" s="184" t="s">
        <v>139</v>
      </c>
      <c r="E23" s="193">
        <v>0.57999999999999996</v>
      </c>
      <c r="F23" s="193">
        <f>+E23</f>
        <v>0.57999999999999996</v>
      </c>
      <c r="G23" s="193" t="s">
        <v>35</v>
      </c>
      <c r="H23" s="194" t="s">
        <v>31</v>
      </c>
      <c r="I23" s="191">
        <v>1</v>
      </c>
      <c r="J23" s="190" t="s">
        <v>32</v>
      </c>
      <c r="K23" s="301">
        <f>(I23*$L$4)</f>
        <v>1448</v>
      </c>
      <c r="L23" s="243" t="s">
        <v>32</v>
      </c>
      <c r="M23" s="306"/>
      <c r="N23" s="266"/>
      <c r="O23" s="196">
        <f>+F23</f>
        <v>0.57999999999999996</v>
      </c>
      <c r="P23" s="241">
        <f>+O23</f>
        <v>0.57999999999999996</v>
      </c>
      <c r="Q23" s="125">
        <f>+P23*L4</f>
        <v>839.83999999999992</v>
      </c>
      <c r="R23" s="195">
        <f t="shared" si="5"/>
        <v>0</v>
      </c>
    </row>
    <row r="24" spans="1:18" s="66" customFormat="1" ht="15" customHeight="1" thickBot="1" x14ac:dyDescent="0.3">
      <c r="A24" s="67" t="s">
        <v>88</v>
      </c>
      <c r="B24" s="65" t="s">
        <v>140</v>
      </c>
      <c r="C24" s="146" t="s">
        <v>38</v>
      </c>
      <c r="D24" s="54" t="s">
        <v>141</v>
      </c>
      <c r="E24" s="53">
        <v>0.625</v>
      </c>
      <c r="F24" s="127">
        <v>0.625</v>
      </c>
      <c r="G24" s="121" t="s">
        <v>48</v>
      </c>
      <c r="H24" s="122">
        <v>1000</v>
      </c>
      <c r="I24" s="45">
        <v>1</v>
      </c>
      <c r="J24" s="45" t="s">
        <v>47</v>
      </c>
      <c r="K24" s="302">
        <f>(I24*$L$4)/H24</f>
        <v>1.448</v>
      </c>
      <c r="L24" s="68" t="s">
        <v>48</v>
      </c>
      <c r="M24" s="212"/>
      <c r="N24" s="209"/>
      <c r="O24" s="123">
        <v>0.24359999999999998</v>
      </c>
      <c r="P24" s="124">
        <v>0.24359999999999998</v>
      </c>
      <c r="Q24" s="125">
        <v>43.847999999999999</v>
      </c>
      <c r="R24" s="126">
        <f t="shared" si="5"/>
        <v>0</v>
      </c>
    </row>
    <row r="25" spans="1:18" s="66" customFormat="1" ht="15" customHeight="1" thickBot="1" x14ac:dyDescent="0.3">
      <c r="A25" s="128" t="s">
        <v>49</v>
      </c>
      <c r="B25" s="65" t="s">
        <v>50</v>
      </c>
      <c r="C25" s="54" t="s">
        <v>38</v>
      </c>
      <c r="D25" s="54" t="s">
        <v>51</v>
      </c>
      <c r="E25" s="127">
        <v>0.18</v>
      </c>
      <c r="F25" s="127">
        <f t="shared" ref="F25" si="15">+E25*1.16</f>
        <v>0.20879999999999999</v>
      </c>
      <c r="G25" s="127" t="s">
        <v>48</v>
      </c>
      <c r="H25" s="129" t="s">
        <v>31</v>
      </c>
      <c r="I25" s="54">
        <v>2</v>
      </c>
      <c r="J25" s="54" t="s">
        <v>47</v>
      </c>
      <c r="K25" s="303">
        <f t="shared" ref="K25" si="16">+I25*$L$4</f>
        <v>2896</v>
      </c>
      <c r="L25" s="244" t="s">
        <v>36</v>
      </c>
      <c r="M25" s="246"/>
      <c r="N25" s="245"/>
      <c r="O25" s="130">
        <f>+F25</f>
        <v>0.20879999999999999</v>
      </c>
      <c r="P25" s="131">
        <f t="shared" ref="P25:P40" si="17">+I25*O25</f>
        <v>0.41759999999999997</v>
      </c>
      <c r="Q25" s="132">
        <f t="shared" ref="Q25" si="18">+P25*$L$4</f>
        <v>604.6848</v>
      </c>
      <c r="R25" s="133">
        <f t="shared" si="5"/>
        <v>0</v>
      </c>
    </row>
    <row r="26" spans="1:18" s="77" customFormat="1" x14ac:dyDescent="0.25">
      <c r="A26" s="69" t="str">
        <f>+A23</f>
        <v>TRANSFER PLANTILLA</v>
      </c>
      <c r="B26" s="70" t="str">
        <f>+B23</f>
        <v>strona</v>
      </c>
      <c r="C26" s="71" t="str">
        <f>+C23</f>
        <v>ORO</v>
      </c>
      <c r="D26" s="71"/>
      <c r="E26" s="72"/>
      <c r="F26" s="72"/>
      <c r="G26" s="72"/>
      <c r="H26" s="73"/>
      <c r="I26" s="71"/>
      <c r="J26" s="71"/>
      <c r="K26" s="74"/>
      <c r="L26" s="75"/>
      <c r="M26" s="213"/>
      <c r="N26" s="213"/>
      <c r="O26" s="87">
        <f t="shared" ref="O26:O28" si="19">+F26</f>
        <v>0</v>
      </c>
      <c r="P26" s="76">
        <f t="shared" si="17"/>
        <v>0</v>
      </c>
      <c r="Q26" s="43">
        <f t="shared" si="2"/>
        <v>0</v>
      </c>
      <c r="R26" s="171">
        <v>0</v>
      </c>
    </row>
    <row r="27" spans="1:18" s="77" customFormat="1" ht="18.75" thickBot="1" x14ac:dyDescent="0.3">
      <c r="A27" s="78" t="s">
        <v>52</v>
      </c>
      <c r="B27" s="139" t="str">
        <f>+B22</f>
        <v xml:space="preserve">NOM 20 </v>
      </c>
      <c r="C27" s="79"/>
      <c r="D27" s="79" t="s">
        <v>108</v>
      </c>
      <c r="E27" s="80" t="s">
        <v>53</v>
      </c>
      <c r="F27" s="80"/>
      <c r="G27" s="80" t="s">
        <v>54</v>
      </c>
      <c r="H27" s="81"/>
      <c r="I27" s="82"/>
      <c r="J27" s="79"/>
      <c r="K27" s="83"/>
      <c r="L27" s="84"/>
      <c r="M27" s="214"/>
      <c r="N27" s="214"/>
      <c r="O27" s="87">
        <f t="shared" si="19"/>
        <v>0</v>
      </c>
      <c r="P27" s="76">
        <f t="shared" si="17"/>
        <v>0</v>
      </c>
      <c r="Q27" s="43">
        <f t="shared" si="2"/>
        <v>0</v>
      </c>
      <c r="R27" s="171">
        <v>0</v>
      </c>
    </row>
    <row r="28" spans="1:18" s="77" customFormat="1" ht="16.5" thickBot="1" x14ac:dyDescent="0.3">
      <c r="A28" s="78" t="s">
        <v>55</v>
      </c>
      <c r="B28" s="85" t="s">
        <v>56</v>
      </c>
      <c r="C28" s="79"/>
      <c r="D28" s="79"/>
      <c r="E28" s="80"/>
      <c r="F28" s="80"/>
      <c r="G28" s="80"/>
      <c r="H28" s="81"/>
      <c r="I28" s="79"/>
      <c r="J28" s="79"/>
      <c r="K28" s="83"/>
      <c r="L28" s="84"/>
      <c r="M28" s="214"/>
      <c r="N28" s="214"/>
      <c r="O28" s="87">
        <f t="shared" si="19"/>
        <v>0</v>
      </c>
      <c r="P28" s="76">
        <f t="shared" si="17"/>
        <v>0</v>
      </c>
      <c r="Q28" s="43">
        <f t="shared" si="2"/>
        <v>0</v>
      </c>
      <c r="R28" s="171"/>
    </row>
    <row r="29" spans="1:18" s="77" customFormat="1" ht="15.75" thickBot="1" x14ac:dyDescent="0.3">
      <c r="A29" s="78" t="s">
        <v>57</v>
      </c>
      <c r="B29" s="86" t="s">
        <v>58</v>
      </c>
      <c r="C29" s="82">
        <v>46</v>
      </c>
      <c r="D29" s="82" t="s">
        <v>2</v>
      </c>
      <c r="E29" s="80"/>
      <c r="F29" s="80"/>
      <c r="G29" s="80"/>
      <c r="H29" s="81"/>
      <c r="I29" s="82"/>
      <c r="J29" s="79"/>
      <c r="K29" s="83"/>
      <c r="L29" s="84"/>
      <c r="M29" s="214"/>
      <c r="N29" s="214"/>
      <c r="O29" s="87">
        <v>0</v>
      </c>
      <c r="P29" s="76">
        <f t="shared" si="17"/>
        <v>0</v>
      </c>
      <c r="Q29" s="43">
        <f t="shared" si="2"/>
        <v>0</v>
      </c>
      <c r="R29" s="171">
        <v>0</v>
      </c>
    </row>
    <row r="30" spans="1:18" s="77" customFormat="1" ht="15.75" thickBot="1" x14ac:dyDescent="0.3">
      <c r="A30" s="78" t="s">
        <v>59</v>
      </c>
      <c r="B30" s="86" t="s">
        <v>58</v>
      </c>
      <c r="C30" s="82">
        <v>46</v>
      </c>
      <c r="D30" s="82" t="s">
        <v>2</v>
      </c>
      <c r="E30" s="80"/>
      <c r="F30" s="80"/>
      <c r="G30" s="80"/>
      <c r="H30" s="81"/>
      <c r="I30" s="79"/>
      <c r="J30" s="79"/>
      <c r="K30" s="83"/>
      <c r="L30" s="84"/>
      <c r="M30" s="214"/>
      <c r="N30" s="214"/>
      <c r="O30" s="87">
        <v>0</v>
      </c>
      <c r="P30" s="76">
        <f t="shared" si="17"/>
        <v>0</v>
      </c>
      <c r="Q30" s="43">
        <f t="shared" si="2"/>
        <v>0</v>
      </c>
      <c r="R30" s="171">
        <v>0</v>
      </c>
    </row>
    <row r="31" spans="1:18" x14ac:dyDescent="0.25">
      <c r="A31" s="1"/>
      <c r="B31" s="2"/>
      <c r="C31" s="2"/>
      <c r="D31" s="2"/>
      <c r="E31" s="2"/>
      <c r="F31" s="2"/>
      <c r="G31" s="27"/>
      <c r="H31" s="2"/>
      <c r="I31" s="2"/>
      <c r="J31" s="2"/>
      <c r="K31" s="2"/>
      <c r="L31" s="2"/>
      <c r="M31" s="203"/>
      <c r="N31" s="204"/>
      <c r="O31" s="87">
        <f t="shared" ref="O31:O37" si="20">+F31</f>
        <v>0</v>
      </c>
      <c r="P31" s="76">
        <f>+I30*O31</f>
        <v>0</v>
      </c>
      <c r="Q31" s="43">
        <f t="shared" si="2"/>
        <v>0</v>
      </c>
      <c r="R31" s="171">
        <v>0</v>
      </c>
    </row>
    <row r="32" spans="1:18" x14ac:dyDescent="0.25">
      <c r="A32" s="9"/>
      <c r="B32" s="10"/>
      <c r="C32" s="10"/>
      <c r="D32" s="10"/>
      <c r="E32" s="10"/>
      <c r="F32" s="10"/>
      <c r="G32" s="27"/>
      <c r="H32" s="10"/>
      <c r="I32" s="10"/>
      <c r="J32" s="10"/>
      <c r="K32" s="10"/>
      <c r="L32" s="10"/>
      <c r="M32" s="205"/>
      <c r="N32" s="206"/>
      <c r="O32" s="87">
        <v>0</v>
      </c>
      <c r="P32" s="76">
        <f t="shared" ref="P32:P37" si="21">+I32*O32</f>
        <v>0</v>
      </c>
      <c r="Q32" s="43">
        <f t="shared" si="2"/>
        <v>0</v>
      </c>
      <c r="R32" s="171">
        <v>0</v>
      </c>
    </row>
    <row r="33" spans="1:21" x14ac:dyDescent="0.25">
      <c r="A33" s="9"/>
      <c r="B33" s="314"/>
      <c r="C33" s="10"/>
      <c r="D33" s="10"/>
      <c r="E33" s="10"/>
      <c r="F33" s="10"/>
      <c r="G33" s="27"/>
      <c r="H33" s="10"/>
      <c r="I33" s="10"/>
      <c r="J33" s="10"/>
      <c r="K33" s="10"/>
      <c r="L33" s="10"/>
      <c r="M33" s="205"/>
      <c r="N33" s="206"/>
      <c r="O33" s="87">
        <v>0</v>
      </c>
      <c r="P33" s="76">
        <f t="shared" si="21"/>
        <v>0</v>
      </c>
      <c r="Q33" s="43">
        <f t="shared" si="2"/>
        <v>0</v>
      </c>
      <c r="R33" s="171">
        <v>0</v>
      </c>
    </row>
    <row r="34" spans="1:21" x14ac:dyDescent="0.25">
      <c r="A34" s="9"/>
      <c r="B34" s="10"/>
      <c r="C34" s="10"/>
      <c r="D34" s="10"/>
      <c r="E34" s="10"/>
      <c r="F34" s="10"/>
      <c r="G34" s="27"/>
      <c r="H34" s="10"/>
      <c r="I34" s="10"/>
      <c r="J34" s="10"/>
      <c r="K34" s="10"/>
      <c r="L34" s="10"/>
      <c r="M34" s="205"/>
      <c r="N34" s="206"/>
      <c r="O34" s="87">
        <f t="shared" si="20"/>
        <v>0</v>
      </c>
      <c r="P34" s="76">
        <f>+I33*O34</f>
        <v>0</v>
      </c>
      <c r="Q34" s="43">
        <f t="shared" si="2"/>
        <v>0</v>
      </c>
      <c r="R34" s="171">
        <v>0</v>
      </c>
    </row>
    <row r="35" spans="1:21" x14ac:dyDescent="0.25">
      <c r="A35" s="9"/>
      <c r="B35" s="10"/>
      <c r="C35" s="10"/>
      <c r="D35" s="10"/>
      <c r="E35" s="10"/>
      <c r="F35" s="10"/>
      <c r="G35" s="27"/>
      <c r="H35" s="10"/>
      <c r="I35" s="10"/>
      <c r="J35" s="10"/>
      <c r="K35" s="10"/>
      <c r="L35" s="10"/>
      <c r="M35" s="205"/>
      <c r="N35" s="206"/>
      <c r="O35" s="87">
        <v>0</v>
      </c>
      <c r="P35" s="76">
        <f t="shared" si="21"/>
        <v>0</v>
      </c>
      <c r="Q35" s="43">
        <f t="shared" si="2"/>
        <v>0</v>
      </c>
      <c r="R35" s="171">
        <v>0</v>
      </c>
    </row>
    <row r="36" spans="1:2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205"/>
      <c r="N36" s="206"/>
      <c r="O36" s="87">
        <f t="shared" si="20"/>
        <v>0</v>
      </c>
      <c r="P36" s="76">
        <f t="shared" si="21"/>
        <v>0</v>
      </c>
      <c r="Q36" s="43">
        <f t="shared" si="2"/>
        <v>0</v>
      </c>
      <c r="R36" s="171">
        <v>0</v>
      </c>
    </row>
    <row r="37" spans="1:2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205"/>
      <c r="N37" s="206"/>
      <c r="O37" s="87">
        <f t="shared" si="20"/>
        <v>0</v>
      </c>
      <c r="P37" s="76">
        <f t="shared" si="21"/>
        <v>0</v>
      </c>
      <c r="Q37" s="43">
        <f t="shared" si="2"/>
        <v>0</v>
      </c>
      <c r="R37" s="171">
        <v>0</v>
      </c>
    </row>
    <row r="38" spans="1:2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205"/>
      <c r="N38" s="206"/>
      <c r="O38" s="87">
        <f>+F38/1000</f>
        <v>0</v>
      </c>
      <c r="P38" s="76">
        <f t="shared" si="17"/>
        <v>0</v>
      </c>
      <c r="Q38" s="43">
        <f t="shared" si="2"/>
        <v>0</v>
      </c>
      <c r="R38" s="171">
        <v>0</v>
      </c>
    </row>
    <row r="39" spans="1:2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205"/>
      <c r="N39" s="206"/>
      <c r="O39" s="87">
        <v>0</v>
      </c>
      <c r="P39" s="76">
        <f t="shared" si="17"/>
        <v>0</v>
      </c>
      <c r="Q39" s="43">
        <f t="shared" si="2"/>
        <v>0</v>
      </c>
      <c r="R39" s="171">
        <v>0</v>
      </c>
    </row>
    <row r="40" spans="1:21" ht="19.5" thickBot="1" x14ac:dyDescent="0.35">
      <c r="A40" s="88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215"/>
      <c r="N40" s="216"/>
      <c r="O40" s="173">
        <v>0</v>
      </c>
      <c r="P40" s="174">
        <f t="shared" si="17"/>
        <v>0</v>
      </c>
      <c r="Q40" s="175">
        <f t="shared" si="2"/>
        <v>0</v>
      </c>
      <c r="R40" s="176">
        <v>0</v>
      </c>
    </row>
    <row r="41" spans="1:21" ht="15.75" thickBot="1" x14ac:dyDescent="0.3">
      <c r="A41" s="1"/>
      <c r="B41" s="2"/>
      <c r="C41" s="2"/>
      <c r="D41" s="2"/>
      <c r="E41" s="2"/>
      <c r="F41" s="2"/>
      <c r="G41" s="2"/>
      <c r="H41" s="2"/>
      <c r="I41" s="4"/>
      <c r="J41" s="92"/>
      <c r="K41" s="92"/>
      <c r="L41" s="92"/>
      <c r="M41" s="217"/>
      <c r="N41" s="218" t="s">
        <v>60</v>
      </c>
      <c r="P41" s="250">
        <f>SUM(P9:P40)</f>
        <v>258.13255616358089</v>
      </c>
      <c r="Q41" s="250">
        <f>SUM(Q9:Q40)</f>
        <v>373467.0565248651</v>
      </c>
      <c r="R41" s="250">
        <f>SUM(R9:R40)</f>
        <v>0</v>
      </c>
      <c r="S41">
        <v>160891.47320000001</v>
      </c>
      <c r="T41" s="328">
        <f>+R41-S41</f>
        <v>-160891.47320000001</v>
      </c>
    </row>
    <row r="42" spans="1:21" x14ac:dyDescent="0.25">
      <c r="A42" s="9"/>
      <c r="B42" s="167"/>
      <c r="C42" s="167"/>
      <c r="D42" s="167"/>
      <c r="E42" s="167"/>
      <c r="F42" s="167"/>
      <c r="G42" s="167"/>
      <c r="H42" s="167"/>
      <c r="I42" s="11"/>
      <c r="J42" s="10"/>
      <c r="K42" s="95"/>
      <c r="L42" s="96"/>
      <c r="M42" s="219" t="s">
        <v>61</v>
      </c>
      <c r="N42" s="220" t="s">
        <v>62</v>
      </c>
      <c r="P42" s="93">
        <f>+O42/L4</f>
        <v>0</v>
      </c>
      <c r="Q42" s="97">
        <f>+P42*$L$4</f>
        <v>0</v>
      </c>
      <c r="R42" s="97">
        <f>+O42</f>
        <v>0</v>
      </c>
      <c r="S42" s="272"/>
      <c r="T42" s="305"/>
      <c r="U42" s="305"/>
    </row>
    <row r="43" spans="1:21" x14ac:dyDescent="0.25">
      <c r="A43" s="9"/>
      <c r="B43" s="167"/>
      <c r="C43" s="167"/>
      <c r="D43" s="167"/>
      <c r="E43" s="167"/>
      <c r="F43" s="167"/>
      <c r="G43" s="167"/>
      <c r="H43" s="167"/>
      <c r="I43" s="11"/>
      <c r="J43" s="10"/>
      <c r="K43" s="98"/>
      <c r="M43" s="221" t="s">
        <v>63</v>
      </c>
      <c r="N43" s="222" t="s">
        <v>64</v>
      </c>
      <c r="O43" s="93">
        <v>0</v>
      </c>
      <c r="P43" s="93">
        <v>0</v>
      </c>
      <c r="Q43" s="97">
        <f t="shared" ref="Q43:R52" si="22">+P43*$L$4</f>
        <v>0</v>
      </c>
      <c r="R43" s="97">
        <f t="shared" si="22"/>
        <v>0</v>
      </c>
    </row>
    <row r="44" spans="1:21" x14ac:dyDescent="0.25">
      <c r="A44" s="9"/>
      <c r="B44" s="167"/>
      <c r="C44" s="167"/>
      <c r="D44" s="167"/>
      <c r="E44" s="167"/>
      <c r="F44" s="167"/>
      <c r="G44" s="167"/>
      <c r="H44" s="167"/>
      <c r="I44" s="11"/>
      <c r="J44" s="10"/>
      <c r="K44" s="98"/>
      <c r="M44" s="221" t="s">
        <v>65</v>
      </c>
      <c r="N44" s="222" t="s">
        <v>66</v>
      </c>
      <c r="O44" s="93">
        <v>0</v>
      </c>
      <c r="P44" s="93">
        <v>0</v>
      </c>
      <c r="Q44" s="97">
        <f t="shared" si="22"/>
        <v>0</v>
      </c>
      <c r="R44" s="97">
        <f t="shared" si="22"/>
        <v>0</v>
      </c>
    </row>
    <row r="45" spans="1:21" x14ac:dyDescent="0.25">
      <c r="A45" s="9"/>
      <c r="B45" s="167"/>
      <c r="C45" s="167"/>
      <c r="D45" s="167"/>
      <c r="E45" s="167"/>
      <c r="F45" s="167"/>
      <c r="G45" s="167"/>
      <c r="H45" s="167"/>
      <c r="I45" s="11"/>
      <c r="J45" s="10"/>
      <c r="K45" s="98">
        <v>5000</v>
      </c>
      <c r="M45" s="221" t="s">
        <v>67</v>
      </c>
      <c r="N45" s="222" t="s">
        <v>68</v>
      </c>
      <c r="O45" s="93">
        <v>0</v>
      </c>
      <c r="P45" s="93">
        <v>0</v>
      </c>
      <c r="Q45" s="97">
        <f t="shared" si="22"/>
        <v>0</v>
      </c>
      <c r="R45" s="97">
        <f t="shared" si="22"/>
        <v>0</v>
      </c>
    </row>
    <row r="46" spans="1:21" x14ac:dyDescent="0.25">
      <c r="A46" s="9"/>
      <c r="B46" s="167"/>
      <c r="C46" s="167"/>
      <c r="D46" s="167"/>
      <c r="E46" s="167"/>
      <c r="F46" s="167"/>
      <c r="G46" s="167"/>
      <c r="H46" s="167"/>
      <c r="I46" s="11"/>
      <c r="J46" s="10"/>
      <c r="K46" s="98">
        <v>5000</v>
      </c>
      <c r="M46" s="221" t="s">
        <v>67</v>
      </c>
      <c r="N46" s="222" t="s">
        <v>69</v>
      </c>
      <c r="O46" s="93">
        <v>0</v>
      </c>
      <c r="P46" s="93">
        <v>0</v>
      </c>
      <c r="Q46" s="97">
        <f t="shared" si="22"/>
        <v>0</v>
      </c>
      <c r="R46" s="97">
        <f t="shared" si="22"/>
        <v>0</v>
      </c>
    </row>
    <row r="47" spans="1:21" x14ac:dyDescent="0.25">
      <c r="A47" s="9"/>
      <c r="B47" s="167"/>
      <c r="C47" s="167"/>
      <c r="D47" s="167"/>
      <c r="E47" s="167"/>
      <c r="F47" s="167"/>
      <c r="G47" s="167"/>
      <c r="H47" s="167"/>
      <c r="I47" s="11"/>
      <c r="J47" s="10"/>
      <c r="K47" s="98">
        <v>5000</v>
      </c>
      <c r="M47" s="221" t="s">
        <v>67</v>
      </c>
      <c r="N47" s="222" t="s">
        <v>70</v>
      </c>
      <c r="O47" s="93">
        <v>0</v>
      </c>
      <c r="P47" s="93">
        <v>0</v>
      </c>
      <c r="Q47" s="97">
        <f t="shared" si="22"/>
        <v>0</v>
      </c>
      <c r="R47" s="97">
        <f t="shared" si="22"/>
        <v>0</v>
      </c>
    </row>
    <row r="48" spans="1:21" ht="15.75" thickBot="1" x14ac:dyDescent="0.3">
      <c r="A48" s="9"/>
      <c r="B48" s="167"/>
      <c r="C48" s="167"/>
      <c r="D48" s="167"/>
      <c r="E48" s="167"/>
      <c r="F48" s="167"/>
      <c r="G48" s="167"/>
      <c r="H48" s="167"/>
      <c r="I48" s="11"/>
      <c r="J48" s="10"/>
      <c r="K48" s="99">
        <v>5000</v>
      </c>
      <c r="L48" s="100"/>
      <c r="M48" s="223" t="s">
        <v>67</v>
      </c>
      <c r="N48" s="224" t="s">
        <v>66</v>
      </c>
      <c r="O48" s="93">
        <v>0</v>
      </c>
      <c r="P48" s="93">
        <v>0</v>
      </c>
      <c r="Q48" s="97">
        <f t="shared" si="22"/>
        <v>0</v>
      </c>
      <c r="R48" s="97">
        <f t="shared" si="22"/>
        <v>0</v>
      </c>
    </row>
    <row r="49" spans="1:18" ht="15.75" thickBot="1" x14ac:dyDescent="0.3">
      <c r="A49" s="9"/>
      <c r="B49" s="167"/>
      <c r="C49" s="167"/>
      <c r="D49" s="167"/>
      <c r="E49" s="167"/>
      <c r="F49" s="167"/>
      <c r="G49" s="167"/>
      <c r="H49" s="167"/>
      <c r="I49" s="11"/>
      <c r="J49" s="92"/>
      <c r="K49" s="92"/>
      <c r="L49" s="92"/>
      <c r="M49" s="217"/>
      <c r="N49" s="218" t="s">
        <v>71</v>
      </c>
      <c r="P49" s="93">
        <v>0</v>
      </c>
      <c r="Q49" s="97">
        <f t="shared" si="22"/>
        <v>0</v>
      </c>
      <c r="R49" s="97">
        <f t="shared" si="22"/>
        <v>0</v>
      </c>
    </row>
    <row r="50" spans="1:18" x14ac:dyDescent="0.25">
      <c r="A50" s="9"/>
      <c r="B50" s="167"/>
      <c r="C50" s="167"/>
      <c r="D50" s="167"/>
      <c r="E50" s="167"/>
      <c r="F50" s="167"/>
      <c r="G50" s="167"/>
      <c r="H50" s="167"/>
      <c r="I50" s="11"/>
      <c r="J50" s="10"/>
      <c r="K50" s="95"/>
      <c r="L50" s="96"/>
      <c r="M50" s="219" t="s">
        <v>72</v>
      </c>
      <c r="N50" s="220"/>
      <c r="P50" s="93">
        <v>0</v>
      </c>
      <c r="Q50" s="97">
        <f t="shared" si="22"/>
        <v>0</v>
      </c>
      <c r="R50" s="97">
        <f t="shared" si="22"/>
        <v>0</v>
      </c>
    </row>
    <row r="51" spans="1:18" x14ac:dyDescent="0.25">
      <c r="A51" s="9"/>
      <c r="B51" s="167"/>
      <c r="C51" s="167"/>
      <c r="D51" s="167"/>
      <c r="E51" s="167"/>
      <c r="F51" s="167"/>
      <c r="G51" s="167"/>
      <c r="H51" s="167"/>
      <c r="I51" s="11"/>
      <c r="J51" s="10"/>
      <c r="K51" s="98"/>
      <c r="M51" s="221" t="s">
        <v>73</v>
      </c>
      <c r="N51" s="222"/>
      <c r="P51" s="93">
        <v>0</v>
      </c>
      <c r="Q51" s="97">
        <f t="shared" si="22"/>
        <v>0</v>
      </c>
      <c r="R51" s="97">
        <f t="shared" si="22"/>
        <v>0</v>
      </c>
    </row>
    <row r="52" spans="1:18" ht="15.75" thickBot="1" x14ac:dyDescent="0.3">
      <c r="A52" s="9"/>
      <c r="B52" s="167"/>
      <c r="C52" s="167"/>
      <c r="D52" s="167"/>
      <c r="E52" s="167"/>
      <c r="F52" s="167"/>
      <c r="G52" s="167"/>
      <c r="H52" s="167"/>
      <c r="I52" s="11"/>
      <c r="J52" s="10"/>
      <c r="K52" s="99"/>
      <c r="L52" s="100"/>
      <c r="M52" s="223" t="s">
        <v>74</v>
      </c>
      <c r="N52" s="224"/>
      <c r="P52" s="93">
        <v>0</v>
      </c>
      <c r="Q52" s="97">
        <f t="shared" si="22"/>
        <v>0</v>
      </c>
      <c r="R52" s="97">
        <f t="shared" si="22"/>
        <v>0</v>
      </c>
    </row>
    <row r="53" spans="1:18" ht="15.75" thickBot="1" x14ac:dyDescent="0.3">
      <c r="A53" s="168"/>
      <c r="B53" s="89"/>
      <c r="C53" s="89"/>
      <c r="D53" s="89"/>
      <c r="E53" s="89"/>
      <c r="F53" s="89"/>
      <c r="G53" s="89"/>
      <c r="H53" s="89"/>
      <c r="I53" s="90"/>
      <c r="J53" s="92"/>
      <c r="K53" s="92"/>
      <c r="L53" s="92"/>
      <c r="M53" s="217"/>
      <c r="N53" s="218" t="s">
        <v>75</v>
      </c>
      <c r="P53" s="94">
        <f>SUM(P42:P52)</f>
        <v>0</v>
      </c>
      <c r="Q53" s="94">
        <f t="shared" ref="Q53:R53" si="23">SUM(Q42:Q52)</f>
        <v>0</v>
      </c>
      <c r="R53" s="94">
        <f t="shared" si="23"/>
        <v>0</v>
      </c>
    </row>
    <row r="54" spans="1:18" ht="15.75" thickBot="1" x14ac:dyDescent="0.3">
      <c r="J54" s="91"/>
      <c r="K54" s="92"/>
      <c r="L54" s="92"/>
      <c r="M54" s="217"/>
      <c r="N54" s="218" t="s">
        <v>76</v>
      </c>
      <c r="O54" s="93">
        <v>0</v>
      </c>
      <c r="P54" s="94">
        <f>+O54</f>
        <v>0</v>
      </c>
      <c r="Q54" s="94">
        <f t="shared" ref="Q54:R54" si="24">+P54</f>
        <v>0</v>
      </c>
      <c r="R54" s="94">
        <f t="shared" si="24"/>
        <v>0</v>
      </c>
    </row>
    <row r="55" spans="1:18" ht="15.75" thickBot="1" x14ac:dyDescent="0.3">
      <c r="J55" s="91"/>
      <c r="K55" s="92"/>
      <c r="L55" s="92"/>
      <c r="M55" s="217"/>
      <c r="N55" s="218" t="s">
        <v>77</v>
      </c>
      <c r="O55" s="93">
        <v>27</v>
      </c>
      <c r="P55" s="94">
        <f>+O55</f>
        <v>27</v>
      </c>
      <c r="Q55" s="101">
        <f>+P55*$L$4</f>
        <v>39096</v>
      </c>
      <c r="R55" s="101">
        <f>+Q55</f>
        <v>39096</v>
      </c>
    </row>
    <row r="56" spans="1:18" ht="15.75" thickBot="1" x14ac:dyDescent="0.3">
      <c r="J56" s="91"/>
      <c r="K56" s="92"/>
      <c r="L56" s="92"/>
      <c r="M56" s="217"/>
      <c r="N56" s="218" t="s">
        <v>78</v>
      </c>
      <c r="P56" s="102">
        <f>+P41+P53+P54+P55</f>
        <v>285.13255616358089</v>
      </c>
      <c r="Q56" s="103">
        <f>+Q41+Q53+Q54+Q55</f>
        <v>412563.0565248651</v>
      </c>
      <c r="R56" s="103">
        <f>+R41+R53+R54+R55</f>
        <v>39096</v>
      </c>
    </row>
    <row r="57" spans="1:18" ht="15.75" thickBot="1" x14ac:dyDescent="0.3">
      <c r="J57" s="91"/>
      <c r="K57" s="92"/>
      <c r="L57" s="92"/>
      <c r="M57" s="217"/>
      <c r="N57" s="218" t="s">
        <v>79</v>
      </c>
      <c r="O57" s="93">
        <v>30</v>
      </c>
      <c r="P57" s="94">
        <f>+O57</f>
        <v>30</v>
      </c>
      <c r="Q57" s="101">
        <f>+P57*$L$4</f>
        <v>43440</v>
      </c>
      <c r="R57" s="101">
        <f>+Q57</f>
        <v>43440</v>
      </c>
    </row>
    <row r="58" spans="1:18" ht="15.75" thickBot="1" x14ac:dyDescent="0.3">
      <c r="J58" s="91"/>
      <c r="K58" s="92"/>
      <c r="L58" s="92"/>
      <c r="M58" s="217"/>
      <c r="N58" s="218" t="s">
        <v>80</v>
      </c>
      <c r="P58" s="102">
        <f>+P56+P57</f>
        <v>315.13255616358089</v>
      </c>
      <c r="Q58" s="102">
        <f>+Q56+Q57</f>
        <v>456003.0565248651</v>
      </c>
      <c r="R58" s="102">
        <f>+R56+R57</f>
        <v>82536</v>
      </c>
    </row>
    <row r="59" spans="1:18" ht="15.75" thickBot="1" x14ac:dyDescent="0.3">
      <c r="J59" s="91"/>
      <c r="K59" s="92"/>
      <c r="L59" s="92"/>
      <c r="M59" s="217"/>
      <c r="N59" s="218" t="s">
        <v>81</v>
      </c>
      <c r="O59" s="93">
        <v>15.99</v>
      </c>
      <c r="P59" s="102">
        <f>+O59</f>
        <v>15.99</v>
      </c>
      <c r="Q59" s="101">
        <f>+P59*$L$4</f>
        <v>23153.52</v>
      </c>
      <c r="R59" s="101">
        <f>+Q59</f>
        <v>23153.52</v>
      </c>
    </row>
    <row r="60" spans="1:18" ht="15.75" thickBot="1" x14ac:dyDescent="0.3">
      <c r="J60" s="104"/>
      <c r="K60" s="105"/>
      <c r="L60" s="105"/>
      <c r="M60" s="225"/>
      <c r="N60" s="226" t="s">
        <v>82</v>
      </c>
      <c r="O60" s="106"/>
      <c r="P60" s="107">
        <f>+P58+P59</f>
        <v>331.1225561635809</v>
      </c>
      <c r="Q60" s="107">
        <f>+Q58+Q59</f>
        <v>479156.57652486512</v>
      </c>
      <c r="R60" s="107">
        <f>+R58+R59</f>
        <v>105689.52</v>
      </c>
    </row>
    <row r="61" spans="1:18" ht="15.75" thickBot="1" x14ac:dyDescent="0.3">
      <c r="J61" s="108"/>
      <c r="K61" s="108"/>
      <c r="L61" s="108"/>
      <c r="M61" s="227"/>
      <c r="N61" s="228" t="s">
        <v>83</v>
      </c>
      <c r="O61" s="106"/>
      <c r="P61" s="109">
        <v>146</v>
      </c>
      <c r="Q61" s="110"/>
      <c r="R61" s="110"/>
    </row>
    <row r="62" spans="1:18" ht="15.75" thickBot="1" x14ac:dyDescent="0.3">
      <c r="J62" s="111"/>
      <c r="K62" s="112"/>
      <c r="L62" s="112"/>
      <c r="M62" s="229"/>
      <c r="N62" s="230" t="s">
        <v>84</v>
      </c>
      <c r="O62" s="106"/>
      <c r="P62" s="113">
        <f>+P61-P60</f>
        <v>-185.1225561635809</v>
      </c>
      <c r="Q62" s="114">
        <f>+Q60-R60</f>
        <v>373467.0565248651</v>
      </c>
      <c r="R62" s="115"/>
    </row>
    <row r="63" spans="1:18" ht="15.75" thickBot="1" x14ac:dyDescent="0.3">
      <c r="J63" s="10"/>
      <c r="K63" s="10"/>
      <c r="L63" s="10"/>
      <c r="M63" s="205"/>
      <c r="N63" s="205"/>
      <c r="O63" s="106"/>
      <c r="P63" s="106"/>
      <c r="Q63" s="110"/>
      <c r="R63" s="110"/>
    </row>
    <row r="64" spans="1:18" ht="15.75" thickBot="1" x14ac:dyDescent="0.3">
      <c r="J64" s="111"/>
      <c r="K64" s="112"/>
      <c r="L64" s="112"/>
      <c r="M64" s="229"/>
      <c r="N64" s="230" t="s">
        <v>85</v>
      </c>
      <c r="O64" s="106"/>
      <c r="P64" s="106"/>
      <c r="Q64" s="116">
        <f>+Q58</f>
        <v>456003.0565248651</v>
      </c>
      <c r="R64" s="101">
        <f>+R58</f>
        <v>82536</v>
      </c>
    </row>
    <row r="65" spans="10:18" ht="19.5" thickBot="1" x14ac:dyDescent="0.35">
      <c r="J65" s="117"/>
      <c r="K65" s="117"/>
      <c r="L65" s="117"/>
      <c r="M65" s="231"/>
      <c r="N65" s="232" t="s">
        <v>86</v>
      </c>
      <c r="O65" s="118"/>
      <c r="P65" s="118"/>
      <c r="Q65" s="119">
        <f>+Q64-R64</f>
        <v>373467.0565248651</v>
      </c>
      <c r="R65" s="120"/>
    </row>
  </sheetData>
  <mergeCells count="13">
    <mergeCell ref="C3:D3"/>
    <mergeCell ref="C4:D4"/>
    <mergeCell ref="C6:D6"/>
    <mergeCell ref="A18:A20"/>
    <mergeCell ref="I18:I20"/>
    <mergeCell ref="R9:R10"/>
    <mergeCell ref="R11:R12"/>
    <mergeCell ref="M18:M20"/>
    <mergeCell ref="K18:K20"/>
    <mergeCell ref="M9:M10"/>
    <mergeCell ref="M11:M12"/>
    <mergeCell ref="N9:N10"/>
    <mergeCell ref="N11:N12"/>
  </mergeCells>
  <printOptions horizontalCentered="1"/>
  <pageMargins left="0" right="0" top="0" bottom="0" header="0" footer="0"/>
  <pageSetup scale="68" orientation="landscape" r:id="rId1"/>
  <ignoredErrors>
    <ignoredError sqref="F14 K14 O14:P14 K1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D829-8EDD-4590-8D09-46801090612E}">
  <sheetPr>
    <pageSetUpPr fitToPage="1"/>
  </sheetPr>
  <dimension ref="A1:P12"/>
  <sheetViews>
    <sheetView zoomScale="90" zoomScaleNormal="90" zoomScaleSheetLayoutView="80" workbookViewId="0">
      <pane ySplit="8" topLeftCell="A9" activePane="bottomLeft" state="frozen"/>
      <selection pane="bottomLeft" activeCell="P12" sqref="A1:P12"/>
    </sheetView>
  </sheetViews>
  <sheetFormatPr baseColWidth="10" defaultRowHeight="15" x14ac:dyDescent="0.25"/>
  <cols>
    <col min="1" max="1" width="21.140625" customWidth="1"/>
    <col min="2" max="2" width="25.85546875" customWidth="1"/>
    <col min="3" max="3" width="20.42578125" customWidth="1"/>
    <col min="4" max="4" width="17.85546875" customWidth="1"/>
    <col min="5" max="5" width="10.42578125" hidden="1" customWidth="1"/>
    <col min="6" max="6" width="10.5703125" hidden="1" customWidth="1"/>
    <col min="7" max="7" width="9.28515625" hidden="1" customWidth="1"/>
    <col min="8" max="8" width="8" hidden="1" customWidth="1"/>
    <col min="9" max="9" width="12.140625" customWidth="1"/>
    <col min="10" max="10" width="10.7109375" bestFit="1" customWidth="1"/>
    <col min="11" max="11" width="16.140625" bestFit="1" customWidth="1"/>
    <col min="12" max="12" width="12.28515625" bestFit="1" customWidth="1"/>
  </cols>
  <sheetData>
    <row r="1" spans="1:16" ht="15.7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2"/>
      <c r="M1" s="2"/>
      <c r="N1" s="2"/>
      <c r="O1" s="2"/>
      <c r="P1" s="4"/>
    </row>
    <row r="2" spans="1:16" ht="21.75" thickBot="1" x14ac:dyDescent="0.4">
      <c r="A2" s="9"/>
      <c r="B2" s="10"/>
      <c r="C2" s="140" t="s">
        <v>99</v>
      </c>
      <c r="D2" s="27"/>
      <c r="E2" s="10"/>
      <c r="F2" s="10"/>
      <c r="G2" s="10"/>
      <c r="H2" s="10"/>
      <c r="I2" s="10"/>
      <c r="J2" s="10"/>
      <c r="K2" s="10" t="s">
        <v>91</v>
      </c>
      <c r="L2" s="145">
        <f>+'80380201'!L2</f>
        <v>0</v>
      </c>
      <c r="M2" s="10"/>
      <c r="N2" s="10"/>
      <c r="O2" s="10"/>
      <c r="P2" s="11"/>
    </row>
    <row r="3" spans="1:16" ht="24" thickBot="1" x14ac:dyDescent="0.4">
      <c r="A3" s="9"/>
      <c r="B3" s="10"/>
      <c r="C3" s="339">
        <v>821377</v>
      </c>
      <c r="D3" s="340"/>
      <c r="E3" s="10"/>
      <c r="F3" s="10"/>
      <c r="G3" s="10"/>
      <c r="H3" s="10"/>
      <c r="I3" s="10"/>
      <c r="J3" s="10"/>
      <c r="K3" s="16" t="s">
        <v>0</v>
      </c>
      <c r="L3" s="134">
        <f>+'80380201'!L3</f>
        <v>202541</v>
      </c>
      <c r="M3" s="10"/>
      <c r="N3" s="10"/>
      <c r="O3" s="10"/>
      <c r="P3" s="11"/>
    </row>
    <row r="4" spans="1:16" ht="15.75" thickBot="1" x14ac:dyDescent="0.3">
      <c r="A4" s="9"/>
      <c r="B4" s="10"/>
      <c r="C4" s="339" t="s">
        <v>2</v>
      </c>
      <c r="D4" s="340"/>
      <c r="E4" s="10"/>
      <c r="F4" s="10"/>
      <c r="G4" s="10"/>
      <c r="H4" s="10"/>
      <c r="I4" s="10"/>
      <c r="J4" s="10"/>
      <c r="K4" s="21" t="s">
        <v>3</v>
      </c>
      <c r="L4" s="22">
        <f>+'80380201'!L4</f>
        <v>1448</v>
      </c>
      <c r="M4" s="23"/>
      <c r="N4" s="23"/>
      <c r="O4" s="23"/>
      <c r="P4" s="24"/>
    </row>
    <row r="5" spans="1:16" ht="15.75" thickBot="1" x14ac:dyDescent="0.3">
      <c r="A5" s="9"/>
      <c r="B5" s="10"/>
      <c r="C5" s="25" t="s">
        <v>4</v>
      </c>
      <c r="D5" s="26" t="s">
        <v>93</v>
      </c>
      <c r="E5" s="10"/>
      <c r="F5" s="10"/>
      <c r="G5" s="10"/>
      <c r="H5" s="10"/>
      <c r="I5" s="10"/>
      <c r="J5" s="10"/>
      <c r="K5" s="10"/>
      <c r="L5" s="27">
        <f>+'80380201'!L5</f>
        <v>45953</v>
      </c>
      <c r="M5" s="27"/>
      <c r="N5" s="27"/>
      <c r="O5" s="27"/>
      <c r="P5" s="11"/>
    </row>
    <row r="6" spans="1:16" ht="18.75" x14ac:dyDescent="0.3">
      <c r="A6" s="28" t="s">
        <v>5</v>
      </c>
      <c r="B6" s="29">
        <v>45082</v>
      </c>
      <c r="C6" s="341" t="s">
        <v>92</v>
      </c>
      <c r="D6" s="341"/>
      <c r="E6" s="10"/>
      <c r="F6" s="10"/>
      <c r="G6" s="10"/>
      <c r="H6" s="10"/>
      <c r="I6" s="10"/>
      <c r="J6" s="10"/>
      <c r="K6" s="141"/>
      <c r="L6" s="10"/>
      <c r="M6" s="10"/>
      <c r="N6" s="10"/>
      <c r="O6" s="10"/>
      <c r="P6" s="11"/>
    </row>
    <row r="7" spans="1:16" ht="15.75" thickBot="1" x14ac:dyDescent="0.3">
      <c r="A7" s="28" t="s">
        <v>6</v>
      </c>
      <c r="B7" s="31" t="s">
        <v>89</v>
      </c>
      <c r="C7" s="10"/>
      <c r="D7" s="10"/>
      <c r="E7" s="10"/>
      <c r="F7" s="10"/>
      <c r="G7" s="10"/>
      <c r="H7" s="10"/>
      <c r="I7" s="10"/>
      <c r="J7" s="10"/>
      <c r="K7" s="27"/>
      <c r="L7" s="27"/>
      <c r="M7" s="27"/>
      <c r="N7" s="27"/>
      <c r="O7" s="27"/>
      <c r="P7" s="11"/>
    </row>
    <row r="8" spans="1:16" s="40" customFormat="1" ht="32.25" customHeight="1" thickBot="1" x14ac:dyDescent="0.3">
      <c r="A8" s="36" t="s">
        <v>7</v>
      </c>
      <c r="B8" s="37" t="s">
        <v>8</v>
      </c>
      <c r="C8" s="37" t="s">
        <v>9</v>
      </c>
      <c r="D8" s="37" t="s">
        <v>10</v>
      </c>
      <c r="E8" s="38" t="s">
        <v>11</v>
      </c>
      <c r="F8" s="38" t="s">
        <v>12</v>
      </c>
      <c r="G8" s="38" t="s">
        <v>13</v>
      </c>
      <c r="H8" s="38" t="s">
        <v>14</v>
      </c>
      <c r="I8" s="38" t="s">
        <v>15</v>
      </c>
      <c r="J8" s="38" t="s">
        <v>16</v>
      </c>
      <c r="K8" s="37" t="s">
        <v>17</v>
      </c>
      <c r="L8" s="39" t="s">
        <v>18</v>
      </c>
      <c r="M8" s="39" t="s">
        <v>94</v>
      </c>
      <c r="N8" s="39" t="s">
        <v>18</v>
      </c>
      <c r="O8" s="39" t="s">
        <v>95</v>
      </c>
      <c r="P8" s="39" t="s">
        <v>20</v>
      </c>
    </row>
    <row r="9" spans="1:16" s="149" customFormat="1" ht="30.75" thickBot="1" x14ac:dyDescent="0.4">
      <c r="A9" s="179" t="s">
        <v>25</v>
      </c>
      <c r="B9" s="170" t="s">
        <v>100</v>
      </c>
      <c r="C9" s="44" t="s">
        <v>2</v>
      </c>
      <c r="D9" s="44" t="s">
        <v>30</v>
      </c>
      <c r="E9" s="147">
        <v>82</v>
      </c>
      <c r="F9" s="147">
        <f>+E9*1.16</f>
        <v>95.11999999999999</v>
      </c>
      <c r="G9" s="147" t="s">
        <v>26</v>
      </c>
      <c r="H9" s="165">
        <v>137</v>
      </c>
      <c r="I9" s="144">
        <v>10.69</v>
      </c>
      <c r="J9" s="162" t="s">
        <v>27</v>
      </c>
      <c r="K9" s="142">
        <f t="shared" ref="K9:K11" si="0">(I9*$L$4)/H9</f>
        <v>112.98627737226276</v>
      </c>
      <c r="L9" s="163" t="s">
        <v>28</v>
      </c>
      <c r="M9" s="166">
        <f t="shared" ref="M9:M12" si="1">+K9</f>
        <v>112.98627737226276</v>
      </c>
      <c r="N9" s="180" t="s">
        <v>28</v>
      </c>
      <c r="O9" s="180"/>
      <c r="P9" s="180"/>
    </row>
    <row r="10" spans="1:16" s="149" customFormat="1" ht="45.75" thickBot="1" x14ac:dyDescent="0.3">
      <c r="A10" s="151" t="s">
        <v>90</v>
      </c>
      <c r="B10" s="177" t="s">
        <v>101</v>
      </c>
      <c r="C10" s="178" t="s">
        <v>2</v>
      </c>
      <c r="D10" s="178" t="s">
        <v>30</v>
      </c>
      <c r="E10" s="47">
        <v>29</v>
      </c>
      <c r="F10" s="47">
        <f t="shared" ref="F10:F12" si="2">+E10*1.16</f>
        <v>33.64</v>
      </c>
      <c r="G10" s="48" t="s">
        <v>26</v>
      </c>
      <c r="H10" s="49">
        <v>137</v>
      </c>
      <c r="I10" s="152">
        <v>5.6</v>
      </c>
      <c r="J10" s="153" t="s">
        <v>27</v>
      </c>
      <c r="K10" s="154">
        <f t="shared" si="0"/>
        <v>59.18832116788321</v>
      </c>
      <c r="L10" s="155" t="s">
        <v>28</v>
      </c>
      <c r="M10" s="348">
        <f>SUM(K10:K11)</f>
        <v>163.61343065693433</v>
      </c>
      <c r="N10" s="348" t="s">
        <v>28</v>
      </c>
      <c r="O10" s="348"/>
      <c r="P10" s="348"/>
    </row>
    <row r="11" spans="1:16" s="149" customFormat="1" ht="20.25" customHeight="1" thickBot="1" x14ac:dyDescent="0.3">
      <c r="A11" s="156" t="s">
        <v>29</v>
      </c>
      <c r="B11" s="157" t="s">
        <v>101</v>
      </c>
      <c r="C11" s="158" t="s">
        <v>2</v>
      </c>
      <c r="D11" s="159" t="s">
        <v>30</v>
      </c>
      <c r="E11" s="57">
        <v>29</v>
      </c>
      <c r="F11" s="57">
        <f t="shared" si="2"/>
        <v>33.64</v>
      </c>
      <c r="G11" s="57" t="s">
        <v>26</v>
      </c>
      <c r="H11" s="58">
        <v>137</v>
      </c>
      <c r="I11" s="159">
        <v>9.8800000000000008</v>
      </c>
      <c r="J11" s="158" t="s">
        <v>27</v>
      </c>
      <c r="K11" s="160">
        <f t="shared" si="0"/>
        <v>104.42510948905111</v>
      </c>
      <c r="L11" s="161" t="s">
        <v>28</v>
      </c>
      <c r="M11" s="349"/>
      <c r="N11" s="349"/>
      <c r="O11" s="349"/>
      <c r="P11" s="349"/>
    </row>
    <row r="12" spans="1:16" s="149" customFormat="1" ht="20.25" customHeight="1" thickBot="1" x14ac:dyDescent="0.3">
      <c r="A12" s="150" t="s">
        <v>37</v>
      </c>
      <c r="B12" s="143" t="s">
        <v>96</v>
      </c>
      <c r="C12" s="162" t="s">
        <v>97</v>
      </c>
      <c r="D12" s="162" t="s">
        <v>45</v>
      </c>
      <c r="E12" s="147">
        <v>104</v>
      </c>
      <c r="F12" s="147">
        <f t="shared" si="2"/>
        <v>120.63999999999999</v>
      </c>
      <c r="G12" s="147" t="s">
        <v>39</v>
      </c>
      <c r="H12" s="165" t="s">
        <v>40</v>
      </c>
      <c r="I12" s="144">
        <f>13/1860</f>
        <v>6.9892473118279572E-3</v>
      </c>
      <c r="J12" s="162" t="s">
        <v>41</v>
      </c>
      <c r="K12" s="142">
        <f t="shared" ref="K12" si="3">+I12*$L$4</f>
        <v>10.120430107526882</v>
      </c>
      <c r="L12" s="163" t="s">
        <v>41</v>
      </c>
      <c r="M12" s="166">
        <f t="shared" si="1"/>
        <v>10.120430107526882</v>
      </c>
      <c r="N12" s="166" t="s">
        <v>41</v>
      </c>
      <c r="O12" s="166"/>
      <c r="P12" s="166"/>
    </row>
  </sheetData>
  <mergeCells count="7">
    <mergeCell ref="O10:O11"/>
    <mergeCell ref="P10:P11"/>
    <mergeCell ref="C3:D3"/>
    <mergeCell ref="C4:D4"/>
    <mergeCell ref="C6:D6"/>
    <mergeCell ref="M10:M11"/>
    <mergeCell ref="N10:N11"/>
  </mergeCells>
  <printOptions horizontalCentered="1"/>
  <pageMargins left="0" right="0" top="0" bottom="0" header="0" footer="0"/>
  <pageSetup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80380201</vt:lpstr>
      <vt:lpstr>PARA CORTE</vt:lpstr>
      <vt:lpstr>'80380201'!Área_de_impresión</vt:lpstr>
      <vt:lpstr>'PARA CORTE'!Área_de_impresión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Usuario4</dc:creator>
  <cp:lastModifiedBy>AdmonLen</cp:lastModifiedBy>
  <cp:lastPrinted>2025-09-01T23:25:50Z</cp:lastPrinted>
  <dcterms:created xsi:type="dcterms:W3CDTF">2023-05-13T15:57:00Z</dcterms:created>
  <dcterms:modified xsi:type="dcterms:W3CDTF">2025-09-24T23:23:23Z</dcterms:modified>
</cp:coreProperties>
</file>