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ocuments\COMPARTIDO\MACC 2025\SEM 202541\"/>
    </mc:Choice>
  </mc:AlternateContent>
  <xr:revisionPtr revIDLastSave="0" documentId="13_ncr:1_{6CA5CCD3-01B7-4D47-8A8F-2921077CB222}" xr6:coauthVersionLast="47" xr6:coauthVersionMax="47" xr10:uidLastSave="{00000000-0000-0000-0000-000000000000}"/>
  <bookViews>
    <workbookView xWindow="-120" yWindow="-120" windowWidth="20730" windowHeight="11310" xr2:uid="{9B6F7818-0197-49F4-880F-AFDB66ADBE04}"/>
  </bookViews>
  <sheets>
    <sheet name="863712 BASE DEL 330-69" sheetId="1" r:id="rId1"/>
    <sheet name="863712 BASE DEL 330-69 (2)" sheetId="3" state="hidden" r:id="rId2"/>
    <sheet name="PARA CORTE" sheetId="2" r:id="rId3"/>
  </sheets>
  <definedNames>
    <definedName name="_xlnm.Print_Area" localSheetId="0">'863712 BASE DEL 330-69'!$A$2:$N$47</definedName>
    <definedName name="_xlnm.Print_Area" localSheetId="1">'863712 BASE DEL 330-69 (2)'!$A$2:$N$47</definedName>
    <definedName name="_xlnm.Print_Area" localSheetId="2">'PARA CORTE'!$A$2:$M$24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I17" i="1" l="1"/>
  <c r="R10" i="1"/>
  <c r="F15" i="1"/>
  <c r="F14" i="1"/>
  <c r="F13" i="1"/>
  <c r="F12" i="1"/>
  <c r="F11" i="1"/>
  <c r="F16" i="1"/>
  <c r="F18" i="3"/>
  <c r="R18" i="3"/>
  <c r="E57" i="3"/>
  <c r="E58" i="3"/>
  <c r="E59" i="3"/>
  <c r="F25" i="3"/>
  <c r="F24" i="3"/>
  <c r="F16" i="3"/>
  <c r="L61" i="3"/>
  <c r="L62" i="3"/>
  <c r="P63" i="3"/>
  <c r="F10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F17" i="3"/>
  <c r="O17" i="3"/>
  <c r="P17" i="3"/>
  <c r="O18" i="3"/>
  <c r="P18" i="3"/>
  <c r="F19" i="3"/>
  <c r="O19" i="3"/>
  <c r="P19" i="3"/>
  <c r="F20" i="3"/>
  <c r="I20" i="3"/>
  <c r="P20" i="3"/>
  <c r="F21" i="3"/>
  <c r="O21" i="3"/>
  <c r="P21" i="3"/>
  <c r="F22" i="3"/>
  <c r="O22" i="3"/>
  <c r="P22" i="3"/>
  <c r="I23" i="3"/>
  <c r="F23" i="3"/>
  <c r="O23" i="3"/>
  <c r="P23" i="3"/>
  <c r="O24" i="3"/>
  <c r="I24" i="3"/>
  <c r="P24" i="3"/>
  <c r="O25" i="3"/>
  <c r="I25" i="3"/>
  <c r="P25" i="3"/>
  <c r="P26" i="3"/>
  <c r="F27" i="3"/>
  <c r="O27" i="3"/>
  <c r="P27" i="3"/>
  <c r="P28" i="3"/>
  <c r="F29" i="3"/>
  <c r="O29" i="3"/>
  <c r="P29" i="3"/>
  <c r="F30" i="3"/>
  <c r="O30" i="3"/>
  <c r="P30" i="3"/>
  <c r="F31" i="3"/>
  <c r="O31" i="3"/>
  <c r="P31" i="3"/>
  <c r="F32" i="3"/>
  <c r="O32" i="3"/>
  <c r="P32" i="3"/>
  <c r="O33" i="3"/>
  <c r="P33" i="3"/>
  <c r="P34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50" i="3"/>
  <c r="P52" i="3"/>
  <c r="P53" i="3"/>
  <c r="P54" i="3"/>
  <c r="P56" i="3"/>
  <c r="P59" i="3"/>
  <c r="P64" i="3"/>
  <c r="S61" i="3"/>
  <c r="P61" i="3"/>
  <c r="R10" i="3"/>
  <c r="R11" i="3"/>
  <c r="R16" i="3"/>
  <c r="R17" i="3"/>
  <c r="R19" i="3"/>
  <c r="R20" i="3"/>
  <c r="R21" i="3"/>
  <c r="R22" i="3"/>
  <c r="R23" i="3"/>
  <c r="R24" i="3"/>
  <c r="F26" i="3"/>
  <c r="R26" i="3"/>
  <c r="R27" i="3"/>
  <c r="F28" i="3"/>
  <c r="R28" i="3"/>
  <c r="R29" i="3"/>
  <c r="R30" i="3"/>
  <c r="R31" i="3"/>
  <c r="R32" i="3"/>
  <c r="R33" i="3"/>
  <c r="R48" i="3"/>
  <c r="R49" i="3"/>
  <c r="R56" i="3"/>
  <c r="Q56" i="3"/>
  <c r="M56" i="3"/>
  <c r="Q55" i="3"/>
  <c r="Q54" i="3"/>
  <c r="Q53" i="3"/>
  <c r="Q52" i="3"/>
  <c r="Q51" i="3"/>
  <c r="Q50" i="3"/>
  <c r="Q4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B35" i="3"/>
  <c r="C34" i="3"/>
  <c r="B34" i="3"/>
  <c r="A34" i="3"/>
  <c r="K33" i="3"/>
  <c r="K32" i="3"/>
  <c r="K31" i="3"/>
  <c r="K30" i="3"/>
  <c r="K29" i="3"/>
  <c r="K27" i="3"/>
  <c r="K25" i="3"/>
  <c r="K24" i="3"/>
  <c r="K23" i="3"/>
  <c r="K22" i="3"/>
  <c r="H21" i="3"/>
  <c r="K21" i="3"/>
  <c r="O20" i="3"/>
  <c r="K20" i="3"/>
  <c r="K19" i="3"/>
  <c r="K18" i="3"/>
  <c r="K17" i="3"/>
  <c r="K16" i="3"/>
  <c r="K15" i="3"/>
  <c r="K14" i="3"/>
  <c r="K13" i="3"/>
  <c r="K12" i="3"/>
  <c r="K11" i="3"/>
  <c r="K10" i="3"/>
  <c r="R16" i="1"/>
  <c r="F10" i="1"/>
  <c r="R11" i="1"/>
  <c r="F17" i="1"/>
  <c r="R17" i="1"/>
  <c r="F18" i="1"/>
  <c r="R18" i="1"/>
  <c r="F19" i="1"/>
  <c r="R19" i="1"/>
  <c r="F20" i="1"/>
  <c r="R20" i="1"/>
  <c r="F21" i="1"/>
  <c r="R21" i="1"/>
  <c r="F22" i="1"/>
  <c r="R22" i="1"/>
  <c r="F23" i="1"/>
  <c r="R23" i="1"/>
  <c r="F24" i="1"/>
  <c r="R24" i="1"/>
  <c r="F26" i="1"/>
  <c r="R26" i="1"/>
  <c r="F27" i="1"/>
  <c r="R27" i="1"/>
  <c r="F28" i="1"/>
  <c r="R28" i="1"/>
  <c r="F29" i="1"/>
  <c r="R29" i="1"/>
  <c r="F30" i="1"/>
  <c r="R30" i="1"/>
  <c r="F31" i="1"/>
  <c r="R31" i="1"/>
  <c r="F32" i="1"/>
  <c r="R32" i="1"/>
  <c r="R33" i="1"/>
  <c r="R48" i="1"/>
  <c r="R49" i="1"/>
  <c r="F25" i="1"/>
  <c r="I25" i="1"/>
  <c r="K25" i="1"/>
  <c r="I24" i="1"/>
  <c r="K24" i="1"/>
  <c r="R56" i="1"/>
  <c r="S61" i="1"/>
  <c r="I23" i="1"/>
  <c r="K30" i="1"/>
  <c r="O30" i="1"/>
  <c r="P30" i="1"/>
  <c r="Q30" i="1"/>
  <c r="O18" i="1"/>
  <c r="P18" i="1"/>
  <c r="Q18" i="1"/>
  <c r="I20" i="1"/>
  <c r="P20" i="1"/>
  <c r="Q20" i="1"/>
  <c r="O25" i="1"/>
  <c r="P25" i="1"/>
  <c r="Q25" i="1"/>
  <c r="O19" i="1"/>
  <c r="P19" i="1"/>
  <c r="Q19" i="1"/>
  <c r="O24" i="1"/>
  <c r="P24" i="1"/>
  <c r="Q24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O21" i="1"/>
  <c r="P21" i="1"/>
  <c r="Q21" i="1"/>
  <c r="O22" i="1"/>
  <c r="P22" i="1"/>
  <c r="Q22" i="1"/>
  <c r="O23" i="1"/>
  <c r="P23" i="1"/>
  <c r="Q23" i="1"/>
  <c r="P26" i="1"/>
  <c r="Q26" i="1"/>
  <c r="O27" i="1"/>
  <c r="P27" i="1"/>
  <c r="Q27" i="1"/>
  <c r="P28" i="1"/>
  <c r="Q28" i="1"/>
  <c r="O29" i="1"/>
  <c r="P29" i="1"/>
  <c r="Q29" i="1"/>
  <c r="O31" i="1"/>
  <c r="P31" i="1"/>
  <c r="Q31" i="1"/>
  <c r="O32" i="1"/>
  <c r="P32" i="1"/>
  <c r="Q32" i="1"/>
  <c r="O33" i="1"/>
  <c r="P33" i="1"/>
  <c r="Q33" i="1"/>
  <c r="P34" i="1"/>
  <c r="Q34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Q48" i="1"/>
  <c r="P60" i="1"/>
  <c r="P63" i="1"/>
  <c r="K23" i="1"/>
  <c r="L4" i="2"/>
  <c r="K20" i="2"/>
  <c r="M20" i="2"/>
  <c r="L3" i="2"/>
  <c r="L2" i="2"/>
  <c r="I24" i="2"/>
  <c r="F24" i="2"/>
  <c r="H23" i="2"/>
  <c r="F23" i="2"/>
  <c r="H22" i="2"/>
  <c r="F22" i="2"/>
  <c r="I21" i="2"/>
  <c r="F21" i="2"/>
  <c r="F20" i="2"/>
  <c r="F19" i="2"/>
  <c r="I18" i="2"/>
  <c r="F18" i="2"/>
  <c r="F17" i="2"/>
  <c r="K16" i="2"/>
  <c r="F16" i="2"/>
  <c r="K15" i="2"/>
  <c r="M15" i="2"/>
  <c r="F15" i="2"/>
  <c r="K14" i="2"/>
  <c r="F14" i="2"/>
  <c r="K13" i="2"/>
  <c r="F13" i="2"/>
  <c r="K12" i="2"/>
  <c r="F12" i="2"/>
  <c r="K11" i="2"/>
  <c r="F11" i="2"/>
  <c r="K10" i="2"/>
  <c r="F10" i="2"/>
  <c r="K17" i="2"/>
  <c r="K19" i="2"/>
  <c r="M19" i="2"/>
  <c r="M16" i="2"/>
  <c r="K22" i="2"/>
  <c r="M22" i="2"/>
  <c r="M10" i="2"/>
  <c r="K18" i="2"/>
  <c r="M18" i="2"/>
  <c r="K21" i="2"/>
  <c r="M21" i="2"/>
  <c r="K24" i="2"/>
  <c r="M24" i="2"/>
  <c r="K23" i="2"/>
  <c r="M23" i="2"/>
  <c r="K31" i="1"/>
  <c r="M56" i="1"/>
  <c r="Q55" i="1"/>
  <c r="P54" i="1"/>
  <c r="Q54" i="1"/>
  <c r="P53" i="1"/>
  <c r="Q53" i="1"/>
  <c r="P52" i="1"/>
  <c r="Q52" i="1"/>
  <c r="Q51" i="1"/>
  <c r="B35" i="1"/>
  <c r="C34" i="1"/>
  <c r="B34" i="1"/>
  <c r="A34" i="1"/>
  <c r="K33" i="1"/>
  <c r="K32" i="1"/>
  <c r="K29" i="1"/>
  <c r="K27" i="1"/>
  <c r="K22" i="1"/>
  <c r="H21" i="1"/>
  <c r="K21" i="1"/>
  <c r="K20" i="1"/>
  <c r="K19" i="1"/>
  <c r="K18" i="1"/>
  <c r="K17" i="1"/>
  <c r="K16" i="1"/>
  <c r="K15" i="1"/>
  <c r="P49" i="1"/>
  <c r="Q49" i="1"/>
  <c r="K14" i="1"/>
  <c r="K13" i="1"/>
  <c r="K12" i="1"/>
  <c r="K11" i="1"/>
  <c r="K10" i="1"/>
  <c r="P50" i="1"/>
  <c r="Q50" i="1"/>
  <c r="O20" i="1"/>
  <c r="P48" i="1"/>
  <c r="P56" i="1"/>
  <c r="Q56" i="1"/>
  <c r="P59" i="1"/>
  <c r="P61" i="1"/>
  <c r="P6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AdmonLen</author>
  </authors>
  <commentList>
    <comment ref="N10" authorId="0" shapeId="0" xr:uid="{5123291D-7DD4-4A73-85F0-D4152EDD6EB0}">
      <text>
        <r>
          <rPr>
            <b/>
            <sz val="9"/>
            <color indexed="81"/>
            <rFont val="Tahoma"/>
            <family val="2"/>
          </rPr>
          <t>AdmonLen:</t>
        </r>
        <r>
          <rPr>
            <sz val="9"/>
            <color indexed="81"/>
            <rFont val="Tahoma"/>
            <family val="2"/>
          </rPr>
          <t xml:space="preserve">
+28.5 MTS </t>
        </r>
      </text>
    </comment>
  </commentList>
</comments>
</file>

<file path=xl/sharedStrings.xml><?xml version="1.0" encoding="utf-8"?>
<sst xmlns="http://schemas.openxmlformats.org/spreadsheetml/2006/main" count="640" uniqueCount="169">
  <si>
    <t>BASE DEL 330-69</t>
  </si>
  <si>
    <t>PEDIDO :</t>
  </si>
  <si>
    <t>SEMANA :</t>
  </si>
  <si>
    <t>ANALISIS PROPUESTA DE COSTOS</t>
  </si>
  <si>
    <t>BLANCO</t>
  </si>
  <si>
    <t>PARES</t>
  </si>
  <si>
    <t>CLIENTE:</t>
  </si>
  <si>
    <t>COPPEL</t>
  </si>
  <si>
    <t>FECHA DE ENTREGA :</t>
  </si>
  <si>
    <t>ULTIMA ACTUALIZACION</t>
  </si>
  <si>
    <t>MOLDURA 330-69</t>
  </si>
  <si>
    <t>KARLA</t>
  </si>
  <si>
    <t>22 AL 26</t>
  </si>
  <si>
    <t>PEDIDO DEL 22 AL 26</t>
  </si>
  <si>
    <t>DESCRIPCIÓN</t>
  </si>
  <si>
    <t>NOMBRE</t>
  </si>
  <si>
    <t xml:space="preserve">COLOR </t>
  </si>
  <si>
    <t>PROVEDOR</t>
  </si>
  <si>
    <t>PRECIO (SIN IVA)</t>
  </si>
  <si>
    <t>PRECIO NETO</t>
  </si>
  <si>
    <t>UNIDAD COMPRA</t>
  </si>
  <si>
    <t>ANCHO</t>
  </si>
  <si>
    <t>CONSUMOS</t>
  </si>
  <si>
    <t>UNIDAD CONSUMO</t>
  </si>
  <si>
    <t>REQUERIMIENTO A COMPRAR</t>
  </si>
  <si>
    <t>UNIDAD</t>
  </si>
  <si>
    <t>OC</t>
  </si>
  <si>
    <t>SOBRANTE</t>
  </si>
  <si>
    <t>CONVERSION</t>
  </si>
  <si>
    <t>CTO/PAR</t>
  </si>
  <si>
    <t>PRESUP</t>
  </si>
  <si>
    <t>COSTO REAL</t>
  </si>
  <si>
    <t>PUNTERA</t>
  </si>
  <si>
    <t>ROBIN SPORT VIRGEN</t>
  </si>
  <si>
    <t>ARTICO</t>
  </si>
  <si>
    <t>OFICINA LENM</t>
  </si>
  <si>
    <t>MT</t>
  </si>
  <si>
    <t>DM</t>
  </si>
  <si>
    <t>MTS</t>
  </si>
  <si>
    <t>OJILLERO</t>
  </si>
  <si>
    <t>TALON</t>
  </si>
  <si>
    <t>REMATE</t>
  </si>
  <si>
    <t>LENGUA</t>
  </si>
  <si>
    <t>LATERALES</t>
  </si>
  <si>
    <t>ROBIN SPORT / LAM KOREANO BCO</t>
  </si>
  <si>
    <t>APLICACIÓN TIRAS (2 POR PIE) LADO EXTERNO</t>
  </si>
  <si>
    <t>SELMA / LAM KOREANO BCO</t>
  </si>
  <si>
    <t>PLATINA</t>
  </si>
  <si>
    <t>COTEXCA</t>
  </si>
  <si>
    <t>PALOMA</t>
  </si>
  <si>
    <t>FORRO LENGUA Y TALONES</t>
  </si>
  <si>
    <t>ALFA CON ESPUMA BCA + PELLON</t>
  </si>
  <si>
    <t>BLANCA TX 0005-008</t>
  </si>
  <si>
    <t>ACOPOL</t>
  </si>
  <si>
    <t>REFUERZO EVA LATERALES</t>
  </si>
  <si>
    <t xml:space="preserve">EVA 1.5 MM </t>
  </si>
  <si>
    <t>PLANTILLA</t>
  </si>
  <si>
    <t>MALLA BALTICO C/EVA EN 2 MM</t>
  </si>
  <si>
    <t>BLANCA</t>
  </si>
  <si>
    <t>SAN PER</t>
  </si>
  <si>
    <t>REF CUÑA PLANTILLA</t>
  </si>
  <si>
    <t>TIRA DE EVA BCA 5 MM (EN REMISION)</t>
  </si>
  <si>
    <t>5mm a 0 mm / 12 cm x 1.50 mts</t>
  </si>
  <si>
    <t>PZAS</t>
  </si>
  <si>
    <t>BULLON</t>
  </si>
  <si>
    <t>ESPONJA 10 MM / 50 KG</t>
  </si>
  <si>
    <t>1.20 X 1.00  NATURAL</t>
  </si>
  <si>
    <t>LAM</t>
  </si>
  <si>
    <t>LAMINAS</t>
  </si>
  <si>
    <t>ESPUMA LENGUA</t>
  </si>
  <si>
    <t>CHINELA ESPONJA 5 MM/50 KG</t>
  </si>
  <si>
    <t>0.54 X 1.20  NATURAL</t>
  </si>
  <si>
    <t>BONDIPLAN</t>
  </si>
  <si>
    <t>SUELA</t>
  </si>
  <si>
    <t>PRS</t>
  </si>
  <si>
    <t>N/A</t>
  </si>
  <si>
    <t>PR</t>
  </si>
  <si>
    <t>PLANTA</t>
  </si>
  <si>
    <t>SOLEIN KC 3 F (1.00X1.50)</t>
  </si>
  <si>
    <t>VERDE</t>
  </si>
  <si>
    <t>MILLARES</t>
  </si>
  <si>
    <t>BOXFLEX</t>
  </si>
  <si>
    <t>CONTRAFUERTE</t>
  </si>
  <si>
    <t>ALEX SAUCEDO</t>
  </si>
  <si>
    <t>PZ</t>
  </si>
  <si>
    <t>PZS</t>
  </si>
  <si>
    <t>TRANSFER PLANTILLA</t>
  </si>
  <si>
    <t>TRANSFER NOM</t>
  </si>
  <si>
    <t>FONDO BCO LETRAS NGAS</t>
  </si>
  <si>
    <t>PAR</t>
  </si>
  <si>
    <t>CAJA</t>
  </si>
  <si>
    <t>PAPEL ENCAJILLADO</t>
  </si>
  <si>
    <t>PAPEL RELLENO</t>
  </si>
  <si>
    <t>PAPEL CHINA 30X70</t>
  </si>
  <si>
    <t>ALOT</t>
  </si>
  <si>
    <t xml:space="preserve">NOM 20 </t>
  </si>
  <si>
    <t>EN LENGUA</t>
  </si>
  <si>
    <t>CORTE SINTETICO</t>
  </si>
  <si>
    <t>FORRO TEXTIL</t>
  </si>
  <si>
    <t>SUELA SINTETICA</t>
  </si>
  <si>
    <t>HORMA</t>
  </si>
  <si>
    <t>HILO CORTE</t>
  </si>
  <si>
    <t>CODIGO GALLO</t>
  </si>
  <si>
    <t>HILO FORRO</t>
  </si>
  <si>
    <t>TRANSFER  NOM VA EN LA LENGUA</t>
  </si>
  <si>
    <t>MATERIALES DIRECTOS</t>
  </si>
  <si>
    <t>PROCESO EXTERNO 1</t>
  </si>
  <si>
    <t xml:space="preserve">LAM </t>
  </si>
  <si>
    <t>PROCESO EXTERNO 2</t>
  </si>
  <si>
    <t>LAM 2</t>
  </si>
  <si>
    <t>PROCESO EXTERNO 3</t>
  </si>
  <si>
    <t>OTROS</t>
  </si>
  <si>
    <t>INVERSION / PARES</t>
  </si>
  <si>
    <t>SUAJES</t>
  </si>
  <si>
    <t>HORMAS</t>
  </si>
  <si>
    <t>TROQUEL</t>
  </si>
  <si>
    <t>M.O.</t>
  </si>
  <si>
    <t>GASTOS</t>
  </si>
  <si>
    <t>PRECIO VTA</t>
  </si>
  <si>
    <t>DIF</t>
  </si>
  <si>
    <t>TOTAL BLOQUE</t>
  </si>
  <si>
    <t>ENTREGADO</t>
  </si>
  <si>
    <t xml:space="preserve">PZAS  </t>
  </si>
  <si>
    <t>COMPRADO</t>
  </si>
  <si>
    <t>CELTEC X 1.70 MM</t>
  </si>
  <si>
    <t>NARANJA</t>
  </si>
  <si>
    <t>Ecoforma F 5051/06 P</t>
  </si>
  <si>
    <t>BLANCO - NEGRO</t>
  </si>
  <si>
    <t>CHINELA</t>
  </si>
  <si>
    <t>HERRADURA</t>
  </si>
  <si>
    <t>LATIGO</t>
  </si>
  <si>
    <t>NEGRO</t>
  </si>
  <si>
    <t>SAMBA TR</t>
  </si>
  <si>
    <t>LIGA</t>
  </si>
  <si>
    <t>JHALOUS</t>
  </si>
  <si>
    <t>CONTACTEL FELPA</t>
  </si>
  <si>
    <t>CONTACTEL GANCHO</t>
  </si>
  <si>
    <t>FELPA 19 MM</t>
  </si>
  <si>
    <t>INKO</t>
  </si>
  <si>
    <t>GANCHO 19 MM</t>
  </si>
  <si>
    <t>4044 CXF NARC (22-23)</t>
  </si>
  <si>
    <t>4044 CXF NARC (24-25)</t>
  </si>
  <si>
    <t>4044 CXF NARC (26-27)</t>
  </si>
  <si>
    <t>HILO PALOMA CODIGO  # 46</t>
  </si>
  <si>
    <t>SUELA T.R COLOR LIGA</t>
  </si>
  <si>
    <t>SAMBA</t>
  </si>
  <si>
    <t>DEL SOL</t>
  </si>
  <si>
    <t>NOM 020 4044</t>
  </si>
  <si>
    <t>33.5X23.5X10.5</t>
  </si>
  <si>
    <t>AMIGASA</t>
  </si>
  <si>
    <t>NO LLEVA ETIQUETA TEXTIL EN LENGUA</t>
  </si>
  <si>
    <t>LLEVA TRANSFER MOSTAZA NEGRO COMO LA FOTO</t>
  </si>
  <si>
    <t>SINGAPUR</t>
  </si>
  <si>
    <t>TALCO</t>
  </si>
  <si>
    <t>DEPORT</t>
  </si>
  <si>
    <t>REFIL</t>
  </si>
  <si>
    <t>PEDIDO 1 DE 2</t>
  </si>
  <si>
    <t>MOLDURA 4044</t>
  </si>
  <si>
    <t>BLANCO TALCO</t>
  </si>
  <si>
    <t>NOM 020 888924</t>
  </si>
  <si>
    <t>REFILL DISEÑO 2024</t>
  </si>
  <si>
    <t>AMIGSA</t>
  </si>
  <si>
    <t>WHITE</t>
  </si>
  <si>
    <t>SINGAPUR/ KOREANO</t>
  </si>
  <si>
    <t>DEPORT / HAMBUERGO</t>
  </si>
  <si>
    <t>DEPORT / KOREANO</t>
  </si>
  <si>
    <t>BOMBAY C/EVA EN 2 MM</t>
  </si>
  <si>
    <t>CICERON</t>
  </si>
  <si>
    <t>33X22X12X4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</si>
</sst>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* #,##0.00_-;\-&quot;$&quot;* #,##0.00_-;_-&quot;$&quot;* &quot;-&quot;??_-;_-@_-"/>
    <numFmt numFmtId="164" formatCode="_-&quot;$&quot;* #,##0.000_-;\-&quot;$&quot;* #,##0.000_-;_-&quot;$&quot;* &quot;-&quot;??_-;_-@_-"/>
    <numFmt numFmtId="165" formatCode="_-&quot;$&quot;* #,##0.0_-;\-&quot;$&quot;* #,##0.0_-;_-&quot;$&quot;* &quot;-&quot;??_-;_-@_-"/>
    <numFmt numFmtId="166" formatCode="0.0"/>
    <numFmt numFmtId="167" formatCode="0.000"/>
    <numFmt numFmtId="168" formatCode="0.0000"/>
    <numFmt numFmtId="169" formatCode="_-&quot;$&quot;* #,##0.0_-;\-&quot;$&quot;* #,##0.0_-;_-&quot;$&quot;* &quot;-&quot;?_-;_-@_-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6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u/>
      <sz val="1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6"/>
      <name val="Bahnschrift"/>
      <family val="2"/>
    </font>
    <font>
      <b/>
      <sz val="1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6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8"/>
      <color rgb="FF00B0F0"/>
      <name val="Calibri"/>
      <family val="2"/>
      <scheme val="minor"/>
    </font>
    <font>
      <b/>
      <u/>
      <sz val="6"/>
      <color rgb="FF00B0F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b/>
      <sz val="7"/>
      <color rgb="FF00B0F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</fills>
  <borders count="5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51">
    <xf numFmtId="0" fontId="0" fillId="0" borderId="0" xfId="0"/>
    <xf numFmtId="0" fontId="0" fillId="2" borderId="0" xfId="0" applyFill="1"/>
    <xf numFmtId="0" fontId="3" fillId="2" borderId="0" xfId="0" applyFont="1" applyFill="1"/>
    <xf numFmtId="164" fontId="0" fillId="2" borderId="1" xfId="1" applyNumberFormat="1" applyFont="1" applyFill="1" applyBorder="1"/>
    <xf numFmtId="165" fontId="0" fillId="2" borderId="1" xfId="1" applyNumberFormat="1" applyFont="1" applyFill="1" applyBorder="1"/>
    <xf numFmtId="165" fontId="0" fillId="2" borderId="2" xfId="1" applyNumberFormat="1" applyFont="1" applyFill="1" applyBorder="1"/>
    <xf numFmtId="0" fontId="4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"/>
    </xf>
    <xf numFmtId="164" fontId="0" fillId="2" borderId="3" xfId="1" applyNumberFormat="1" applyFont="1" applyFill="1" applyBorder="1"/>
    <xf numFmtId="164" fontId="0" fillId="2" borderId="0" xfId="1" applyNumberFormat="1" applyFont="1" applyFill="1" applyBorder="1"/>
    <xf numFmtId="165" fontId="0" fillId="2" borderId="0" xfId="1" applyNumberFormat="1" applyFont="1" applyFill="1" applyBorder="1"/>
    <xf numFmtId="165" fontId="0" fillId="2" borderId="4" xfId="1" applyNumberFormat="1" applyFont="1" applyFill="1" applyBorder="1"/>
    <xf numFmtId="0" fontId="6" fillId="2" borderId="0" xfId="0" applyFont="1" applyFill="1"/>
    <xf numFmtId="0" fontId="6" fillId="2" borderId="7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8" fillId="2" borderId="0" xfId="0" applyFont="1" applyFill="1" applyAlignment="1">
      <alignment horizontal="left"/>
    </xf>
    <xf numFmtId="0" fontId="4" fillId="2" borderId="5" xfId="0" applyFont="1" applyFill="1" applyBorder="1"/>
    <xf numFmtId="0" fontId="4" fillId="2" borderId="6" xfId="0" applyFont="1" applyFill="1" applyBorder="1"/>
    <xf numFmtId="0" fontId="4" fillId="2" borderId="0" xfId="0" applyFont="1" applyFill="1" applyAlignment="1">
      <alignment horizontal="center"/>
    </xf>
    <xf numFmtId="0" fontId="9" fillId="2" borderId="0" xfId="0" applyFont="1" applyFill="1"/>
    <xf numFmtId="14" fontId="9" fillId="2" borderId="0" xfId="0" applyNumberFormat="1" applyFont="1" applyFill="1" applyAlignment="1">
      <alignment horizontal="left"/>
    </xf>
    <xf numFmtId="0" fontId="10" fillId="2" borderId="0" xfId="0" applyFont="1" applyFill="1" applyAlignment="1">
      <alignment horizontal="right"/>
    </xf>
    <xf numFmtId="14" fontId="10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2" fillId="2" borderId="0" xfId="0" applyFont="1" applyFill="1"/>
    <xf numFmtId="0" fontId="5" fillId="2" borderId="0" xfId="0" applyFont="1" applyFill="1"/>
    <xf numFmtId="0" fontId="10" fillId="2" borderId="0" xfId="0" applyFont="1" applyFill="1"/>
    <xf numFmtId="0" fontId="10" fillId="2" borderId="0" xfId="0" applyFont="1" applyFill="1" applyAlignment="1">
      <alignment horizontal="center"/>
    </xf>
    <xf numFmtId="164" fontId="13" fillId="2" borderId="0" xfId="1" applyNumberFormat="1" applyFont="1" applyFill="1" applyBorder="1"/>
    <xf numFmtId="14" fontId="9" fillId="2" borderId="0" xfId="0" applyNumberFormat="1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1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5" fillId="2" borderId="0" xfId="0" applyFont="1" applyFill="1" applyAlignment="1">
      <alignment vertical="top"/>
    </xf>
    <xf numFmtId="0" fontId="16" fillId="2" borderId="0" xfId="0" applyFont="1" applyFill="1" applyAlignment="1">
      <alignment vertical="top"/>
    </xf>
    <xf numFmtId="164" fontId="0" fillId="2" borderId="10" xfId="1" applyNumberFormat="1" applyFont="1" applyFill="1" applyBorder="1"/>
    <xf numFmtId="164" fontId="0" fillId="2" borderId="9" xfId="1" applyNumberFormat="1" applyFont="1" applyFill="1" applyBorder="1"/>
    <xf numFmtId="165" fontId="0" fillId="2" borderId="9" xfId="1" applyNumberFormat="1" applyFont="1" applyFill="1" applyBorder="1"/>
    <xf numFmtId="165" fontId="0" fillId="2" borderId="11" xfId="1" applyNumberFormat="1" applyFont="1" applyFill="1" applyBorder="1"/>
    <xf numFmtId="0" fontId="4" fillId="3" borderId="12" xfId="0" applyFont="1" applyFill="1" applyBorder="1" applyAlignment="1">
      <alignment horizontal="center" vertical="top" wrapText="1"/>
    </xf>
    <xf numFmtId="0" fontId="4" fillId="3" borderId="13" xfId="0" applyFont="1" applyFill="1" applyBorder="1" applyAlignment="1">
      <alignment horizontal="center" vertical="top" wrapText="1"/>
    </xf>
    <xf numFmtId="44" fontId="4" fillId="3" borderId="13" xfId="1" applyFont="1" applyFill="1" applyBorder="1" applyAlignment="1">
      <alignment horizontal="center" vertical="top" wrapText="1"/>
    </xf>
    <xf numFmtId="0" fontId="4" fillId="3" borderId="14" xfId="0" applyFont="1" applyFill="1" applyBorder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0" fillId="0" borderId="15" xfId="0" applyBorder="1" applyAlignment="1">
      <alignment horizontal="left" vertical="center"/>
    </xf>
    <xf numFmtId="0" fontId="17" fillId="0" borderId="16" xfId="0" applyFont="1" applyBorder="1" applyAlignment="1">
      <alignment horizontal="left" vertical="center" wrapText="1"/>
    </xf>
    <xf numFmtId="0" fontId="0" fillId="0" borderId="16" xfId="0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44" fontId="0" fillId="0" borderId="16" xfId="1" applyFont="1" applyFill="1" applyBorder="1" applyAlignment="1">
      <alignment horizontal="center" vertical="center"/>
    </xf>
    <xf numFmtId="44" fontId="1" fillId="0" borderId="17" xfId="1" applyFont="1" applyFill="1" applyBorder="1" applyAlignment="1">
      <alignment horizontal="center" vertical="center"/>
    </xf>
    <xf numFmtId="44" fontId="0" fillId="0" borderId="17" xfId="1" applyFont="1" applyFill="1" applyBorder="1" applyAlignment="1">
      <alignment horizontal="center" vertical="center"/>
    </xf>
    <xf numFmtId="0" fontId="0" fillId="0" borderId="17" xfId="1" applyNumberFormat="1" applyFont="1" applyFill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4" fontId="0" fillId="0" borderId="15" xfId="1" applyNumberFormat="1" applyFont="1" applyFill="1" applyBorder="1" applyAlignment="1">
      <alignment vertical="center"/>
    </xf>
    <xf numFmtId="164" fontId="0" fillId="0" borderId="17" xfId="1" applyNumberFormat="1" applyFont="1" applyFill="1" applyBorder="1" applyAlignment="1">
      <alignment vertical="center"/>
    </xf>
    <xf numFmtId="165" fontId="0" fillId="0" borderId="20" xfId="1" applyNumberFormat="1" applyFont="1" applyFill="1" applyBorder="1" applyAlignment="1">
      <alignment vertical="center"/>
    </xf>
    <xf numFmtId="165" fontId="0" fillId="0" borderId="21" xfId="1" applyNumberFormat="1" applyFont="1" applyFill="1" applyBorder="1" applyAlignment="1">
      <alignment vertical="center"/>
    </xf>
    <xf numFmtId="0" fontId="0" fillId="5" borderId="0" xfId="0" applyFill="1"/>
    <xf numFmtId="0" fontId="0" fillId="0" borderId="22" xfId="0" applyBorder="1" applyAlignment="1">
      <alignment horizontal="left" vertical="center"/>
    </xf>
    <xf numFmtId="44" fontId="1" fillId="0" borderId="23" xfId="1" applyFont="1" applyFill="1" applyBorder="1" applyAlignment="1">
      <alignment horizontal="center" vertical="center"/>
    </xf>
    <xf numFmtId="44" fontId="17" fillId="0" borderId="23" xfId="1" applyFont="1" applyFill="1" applyBorder="1" applyAlignment="1">
      <alignment horizontal="center" vertical="center"/>
    </xf>
    <xf numFmtId="0" fontId="17" fillId="0" borderId="23" xfId="1" applyNumberFormat="1" applyFont="1" applyFill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4" fontId="0" fillId="0" borderId="24" xfId="1" applyNumberFormat="1" applyFont="1" applyFill="1" applyBorder="1" applyAlignment="1">
      <alignment vertical="center"/>
    </xf>
    <xf numFmtId="164" fontId="0" fillId="0" borderId="23" xfId="1" applyNumberFormat="1" applyFont="1" applyFill="1" applyBorder="1" applyAlignment="1">
      <alignment vertical="center"/>
    </xf>
    <xf numFmtId="165" fontId="0" fillId="0" borderId="23" xfId="1" applyNumberFormat="1" applyFont="1" applyFill="1" applyBorder="1" applyAlignment="1">
      <alignment vertical="center"/>
    </xf>
    <xf numFmtId="0" fontId="0" fillId="0" borderId="24" xfId="0" applyBorder="1" applyAlignment="1">
      <alignment horizontal="left" vertical="center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17" fillId="0" borderId="20" xfId="0" applyFont="1" applyBorder="1" applyAlignment="1">
      <alignment horizontal="left" vertical="center" wrapText="1"/>
    </xf>
    <xf numFmtId="0" fontId="0" fillId="0" borderId="20" xfId="0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44" fontId="0" fillId="0" borderId="20" xfId="1" applyFont="1" applyFill="1" applyBorder="1" applyAlignment="1">
      <alignment horizontal="center" vertical="center"/>
    </xf>
    <xf numFmtId="44" fontId="1" fillId="0" borderId="20" xfId="1" applyFont="1" applyFill="1" applyBorder="1" applyAlignment="1">
      <alignment horizontal="center" vertical="center"/>
    </xf>
    <xf numFmtId="44" fontId="17" fillId="0" borderId="20" xfId="1" applyFont="1" applyFill="1" applyBorder="1" applyAlignment="1">
      <alignment horizontal="center" vertical="center"/>
    </xf>
    <xf numFmtId="0" fontId="17" fillId="0" borderId="20" xfId="1" applyNumberFormat="1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2" xfId="0" applyBorder="1" applyAlignment="1">
      <alignment horizontal="left" vertical="center" wrapText="1"/>
    </xf>
    <xf numFmtId="0" fontId="17" fillId="0" borderId="13" xfId="0" applyFont="1" applyBorder="1" applyAlignment="1">
      <alignment horizontal="left" vertical="center" wrapText="1"/>
    </xf>
    <xf numFmtId="0" fontId="0" fillId="0" borderId="13" xfId="0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44" fontId="0" fillId="0" borderId="13" xfId="1" applyFont="1" applyFill="1" applyBorder="1" applyAlignment="1">
      <alignment horizontal="center" vertical="center"/>
    </xf>
    <xf numFmtId="44" fontId="1" fillId="0" borderId="13" xfId="1" applyFont="1" applyFill="1" applyBorder="1" applyAlignment="1">
      <alignment horizontal="center" vertical="center"/>
    </xf>
    <xf numFmtId="44" fontId="17" fillId="0" borderId="13" xfId="1" applyFont="1" applyFill="1" applyBorder="1" applyAlignment="1">
      <alignment horizontal="center" vertical="center"/>
    </xf>
    <xf numFmtId="0" fontId="17" fillId="0" borderId="13" xfId="1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17" fillId="0" borderId="17" xfId="0" applyFont="1" applyBorder="1" applyAlignment="1">
      <alignment horizontal="left" vertical="center" wrapText="1"/>
    </xf>
    <xf numFmtId="44" fontId="17" fillId="0" borderId="17" xfId="1" applyFont="1" applyFill="1" applyBorder="1" applyAlignment="1">
      <alignment horizontal="center" vertical="center"/>
    </xf>
    <xf numFmtId="0" fontId="17" fillId="0" borderId="17" xfId="1" applyNumberFormat="1" applyFont="1" applyFill="1" applyBorder="1" applyAlignment="1">
      <alignment horizontal="center" vertical="center"/>
    </xf>
    <xf numFmtId="2" fontId="17" fillId="0" borderId="17" xfId="0" applyNumberFormat="1" applyFont="1" applyBorder="1" applyAlignment="1">
      <alignment horizontal="center" vertical="center"/>
    </xf>
    <xf numFmtId="0" fontId="0" fillId="0" borderId="28" xfId="0" applyBorder="1" applyAlignment="1">
      <alignment horizontal="left" vertical="center" wrapText="1"/>
    </xf>
    <xf numFmtId="0" fontId="17" fillId="0" borderId="29" xfId="0" applyFont="1" applyBorder="1" applyAlignment="1">
      <alignment horizontal="left" vertical="center" wrapText="1"/>
    </xf>
    <xf numFmtId="0" fontId="0" fillId="0" borderId="29" xfId="0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44" fontId="0" fillId="0" borderId="29" xfId="1" applyFont="1" applyFill="1" applyBorder="1" applyAlignment="1">
      <alignment horizontal="center" vertical="center"/>
    </xf>
    <xf numFmtId="44" fontId="1" fillId="0" borderId="29" xfId="1" applyFont="1" applyFill="1" applyBorder="1" applyAlignment="1">
      <alignment horizontal="center" vertical="center"/>
    </xf>
    <xf numFmtId="44" fontId="17" fillId="0" borderId="29" xfId="1" applyFont="1" applyFill="1" applyBorder="1" applyAlignment="1">
      <alignment horizontal="center" vertical="center"/>
    </xf>
    <xf numFmtId="0" fontId="17" fillId="0" borderId="29" xfId="1" applyNumberFormat="1" applyFont="1" applyFill="1" applyBorder="1" applyAlignment="1">
      <alignment horizontal="center" vertical="center"/>
    </xf>
    <xf numFmtId="2" fontId="17" fillId="0" borderId="29" xfId="0" applyNumberFormat="1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3" xfId="0" applyBorder="1" applyAlignment="1">
      <alignment horizontal="left" vertical="center" wrapText="1"/>
    </xf>
    <xf numFmtId="0" fontId="18" fillId="0" borderId="13" xfId="0" applyFont="1" applyBorder="1" applyAlignment="1">
      <alignment horizontal="center" vertical="center"/>
    </xf>
    <xf numFmtId="0" fontId="0" fillId="0" borderId="13" xfId="1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left" vertical="center" wrapText="1"/>
    </xf>
    <xf numFmtId="0" fontId="0" fillId="0" borderId="29" xfId="1" applyNumberFormat="1" applyFont="1" applyFill="1" applyBorder="1" applyAlignment="1">
      <alignment horizontal="center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164" fontId="0" fillId="0" borderId="28" xfId="1" applyNumberFormat="1" applyFont="1" applyFill="1" applyBorder="1" applyAlignment="1">
      <alignment vertical="center"/>
    </xf>
    <xf numFmtId="164" fontId="0" fillId="0" borderId="29" xfId="1" applyNumberFormat="1" applyFont="1" applyFill="1" applyBorder="1" applyAlignment="1">
      <alignment vertical="center"/>
    </xf>
    <xf numFmtId="165" fontId="0" fillId="0" borderId="29" xfId="1" applyNumberFormat="1" applyFont="1" applyFill="1" applyBorder="1" applyAlignment="1">
      <alignment vertical="center"/>
    </xf>
    <xf numFmtId="0" fontId="0" fillId="0" borderId="12" xfId="0" applyBorder="1" applyAlignment="1">
      <alignment horizontal="left" vertical="center"/>
    </xf>
    <xf numFmtId="164" fontId="0" fillId="0" borderId="33" xfId="1" applyNumberFormat="1" applyFont="1" applyFill="1" applyBorder="1" applyAlignment="1">
      <alignment vertical="center"/>
    </xf>
    <xf numFmtId="0" fontId="18" fillId="0" borderId="12" xfId="0" applyFont="1" applyBorder="1" applyAlignment="1">
      <alignment horizontal="left" vertical="center"/>
    </xf>
    <xf numFmtId="167" fontId="17" fillId="0" borderId="13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168" fontId="0" fillId="0" borderId="13" xfId="0" applyNumberFormat="1" applyBorder="1" applyAlignment="1">
      <alignment horizontal="center" vertical="center"/>
    </xf>
    <xf numFmtId="0" fontId="17" fillId="0" borderId="34" xfId="0" applyFont="1" applyBorder="1" applyAlignment="1">
      <alignment horizontal="left" vertical="center" wrapText="1"/>
    </xf>
    <xf numFmtId="0" fontId="17" fillId="0" borderId="34" xfId="0" applyFont="1" applyBorder="1" applyAlignment="1">
      <alignment horizontal="center" vertical="center"/>
    </xf>
    <xf numFmtId="44" fontId="17" fillId="0" borderId="34" xfId="1" applyFont="1" applyFill="1" applyBorder="1" applyAlignment="1">
      <alignment horizontal="center" vertical="center"/>
    </xf>
    <xf numFmtId="0" fontId="17" fillId="0" borderId="34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9" fillId="0" borderId="23" xfId="0" applyFont="1" applyBorder="1" applyAlignment="1">
      <alignment horizontal="left" vertical="center" wrapText="1"/>
    </xf>
    <xf numFmtId="0" fontId="19" fillId="0" borderId="20" xfId="0" applyFont="1" applyBorder="1" applyAlignment="1">
      <alignment horizontal="left" vertical="center" wrapText="1"/>
    </xf>
    <xf numFmtId="0" fontId="0" fillId="3" borderId="0" xfId="0" applyFill="1"/>
    <xf numFmtId="0" fontId="17" fillId="0" borderId="28" xfId="0" applyFont="1" applyBorder="1" applyAlignment="1">
      <alignment horizontal="left" vertical="center" wrapText="1"/>
    </xf>
    <xf numFmtId="0" fontId="17" fillId="0" borderId="30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12" xfId="0" applyFont="1" applyBorder="1" applyAlignment="1">
      <alignment horizontal="left" vertical="center" wrapText="1"/>
    </xf>
    <xf numFmtId="44" fontId="17" fillId="0" borderId="13" xfId="2" applyFont="1" applyFill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37" xfId="0" applyFont="1" applyBorder="1" applyAlignment="1">
      <alignment horizontal="left" vertical="center" wrapText="1"/>
    </xf>
    <xf numFmtId="44" fontId="17" fillId="0" borderId="16" xfId="1" applyFont="1" applyFill="1" applyBorder="1" applyAlignment="1">
      <alignment horizontal="center" vertical="center"/>
    </xf>
    <xf numFmtId="0" fontId="17" fillId="0" borderId="35" xfId="0" applyFont="1" applyBorder="1" applyAlignment="1">
      <alignment horizontal="center" vertical="center"/>
    </xf>
    <xf numFmtId="0" fontId="21" fillId="7" borderId="22" xfId="0" applyFont="1" applyFill="1" applyBorder="1" applyAlignment="1">
      <alignment horizontal="left" vertical="center"/>
    </xf>
    <xf numFmtId="0" fontId="22" fillId="7" borderId="16" xfId="0" applyFont="1" applyFill="1" applyBorder="1" applyAlignment="1">
      <alignment horizontal="center" vertical="center" wrapText="1"/>
    </xf>
    <xf numFmtId="0" fontId="2" fillId="7" borderId="16" xfId="0" applyFont="1" applyFill="1" applyBorder="1" applyAlignment="1">
      <alignment horizontal="center" vertical="center"/>
    </xf>
    <xf numFmtId="44" fontId="2" fillId="7" borderId="16" xfId="1" applyFont="1" applyFill="1" applyBorder="1" applyAlignment="1">
      <alignment vertical="center"/>
    </xf>
    <xf numFmtId="0" fontId="2" fillId="7" borderId="16" xfId="1" applyNumberFormat="1" applyFont="1" applyFill="1" applyBorder="1" applyAlignment="1">
      <alignment horizontal="center" vertical="center"/>
    </xf>
    <xf numFmtId="2" fontId="2" fillId="7" borderId="16" xfId="0" applyNumberFormat="1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164" fontId="0" fillId="0" borderId="24" xfId="1" applyNumberFormat="1" applyFont="1" applyFill="1" applyBorder="1"/>
    <xf numFmtId="164" fontId="0" fillId="0" borderId="33" xfId="1" applyNumberFormat="1" applyFont="1" applyFill="1" applyBorder="1"/>
    <xf numFmtId="165" fontId="0" fillId="0" borderId="23" xfId="1" applyNumberFormat="1" applyFont="1" applyFill="1" applyBorder="1"/>
    <xf numFmtId="165" fontId="0" fillId="0" borderId="21" xfId="1" applyNumberFormat="1" applyFont="1" applyFill="1" applyBorder="1"/>
    <xf numFmtId="0" fontId="4" fillId="0" borderId="0" xfId="0" applyFont="1"/>
    <xf numFmtId="0" fontId="2" fillId="7" borderId="39" xfId="0" applyFont="1" applyFill="1" applyBorder="1" applyAlignment="1">
      <alignment horizontal="left" vertical="center"/>
    </xf>
    <xf numFmtId="0" fontId="2" fillId="7" borderId="40" xfId="0" applyFont="1" applyFill="1" applyBorder="1" applyAlignment="1">
      <alignment horizontal="center" vertical="center" wrapText="1"/>
    </xf>
    <xf numFmtId="0" fontId="2" fillId="7" borderId="40" xfId="0" applyFont="1" applyFill="1" applyBorder="1" applyAlignment="1">
      <alignment horizontal="left" vertical="center"/>
    </xf>
    <xf numFmtId="0" fontId="2" fillId="7" borderId="40" xfId="0" applyFont="1" applyFill="1" applyBorder="1" applyAlignment="1">
      <alignment horizontal="right" vertical="center"/>
    </xf>
    <xf numFmtId="44" fontId="2" fillId="7" borderId="40" xfId="1" applyFont="1" applyFill="1" applyBorder="1" applyAlignment="1">
      <alignment vertical="center"/>
    </xf>
    <xf numFmtId="0" fontId="2" fillId="7" borderId="40" xfId="1" applyNumberFormat="1" applyFont="1" applyFill="1" applyBorder="1" applyAlignment="1">
      <alignment horizontal="center" vertical="center"/>
    </xf>
    <xf numFmtId="0" fontId="2" fillId="7" borderId="40" xfId="0" applyFont="1" applyFill="1" applyBorder="1" applyAlignment="1">
      <alignment horizontal="center" vertical="center"/>
    </xf>
    <xf numFmtId="2" fontId="2" fillId="7" borderId="40" xfId="0" applyNumberFormat="1" applyFont="1" applyFill="1" applyBorder="1" applyAlignment="1">
      <alignment horizontal="center" vertical="center"/>
    </xf>
    <xf numFmtId="0" fontId="2" fillId="7" borderId="41" xfId="0" applyFont="1" applyFill="1" applyBorder="1" applyAlignment="1">
      <alignment horizontal="center" vertical="center"/>
    </xf>
    <xf numFmtId="0" fontId="0" fillId="2" borderId="42" xfId="0" applyFill="1" applyBorder="1"/>
    <xf numFmtId="0" fontId="0" fillId="2" borderId="1" xfId="0" applyFill="1" applyBorder="1"/>
    <xf numFmtId="0" fontId="0" fillId="2" borderId="3" xfId="0" applyFill="1" applyBorder="1"/>
    <xf numFmtId="44" fontId="0" fillId="0" borderId="0" xfId="1" applyFont="1" applyFill="1"/>
    <xf numFmtId="44" fontId="0" fillId="0" borderId="0" xfId="1" applyFont="1"/>
    <xf numFmtId="44" fontId="0" fillId="2" borderId="0" xfId="1" applyFont="1" applyFill="1" applyBorder="1"/>
    <xf numFmtId="44" fontId="10" fillId="2" borderId="0" xfId="1" applyFont="1" applyFill="1" applyBorder="1" applyAlignment="1">
      <alignment horizontal="left" vertical="top"/>
    </xf>
    <xf numFmtId="44" fontId="10" fillId="2" borderId="0" xfId="1" applyFont="1" applyFill="1" applyBorder="1" applyAlignment="1">
      <alignment horizontal="right" vertical="top"/>
    </xf>
    <xf numFmtId="0" fontId="0" fillId="2" borderId="10" xfId="0" applyFill="1" applyBorder="1"/>
    <xf numFmtId="0" fontId="0" fillId="2" borderId="9" xfId="0" applyFill="1" applyBorder="1"/>
    <xf numFmtId="0" fontId="10" fillId="2" borderId="9" xfId="0" applyFont="1" applyFill="1" applyBorder="1"/>
    <xf numFmtId="0" fontId="23" fillId="8" borderId="5" xfId="0" applyFont="1" applyFill="1" applyBorder="1"/>
    <xf numFmtId="0" fontId="23" fillId="8" borderId="8" xfId="0" applyFont="1" applyFill="1" applyBorder="1"/>
    <xf numFmtId="164" fontId="0" fillId="0" borderId="0" xfId="1" applyNumberFormat="1" applyFont="1"/>
    <xf numFmtId="44" fontId="23" fillId="6" borderId="7" xfId="1" applyFont="1" applyFill="1" applyBorder="1"/>
    <xf numFmtId="0" fontId="23" fillId="0" borderId="42" xfId="0" applyFont="1" applyBorder="1"/>
    <xf numFmtId="0" fontId="23" fillId="0" borderId="1" xfId="0" applyFont="1" applyBorder="1"/>
    <xf numFmtId="165" fontId="0" fillId="0" borderId="0" xfId="1" applyNumberFormat="1" applyFont="1"/>
    <xf numFmtId="0" fontId="23" fillId="2" borderId="44" xfId="0" applyFont="1" applyFill="1" applyBorder="1"/>
    <xf numFmtId="0" fontId="23" fillId="0" borderId="3" xfId="0" applyFont="1" applyBorder="1"/>
    <xf numFmtId="0" fontId="23" fillId="0" borderId="0" xfId="0" applyFont="1"/>
    <xf numFmtId="0" fontId="23" fillId="2" borderId="32" xfId="0" applyFont="1" applyFill="1" applyBorder="1"/>
    <xf numFmtId="0" fontId="23" fillId="0" borderId="10" xfId="0" applyFont="1" applyBorder="1"/>
    <xf numFmtId="0" fontId="23" fillId="0" borderId="9" xfId="0" applyFont="1" applyBorder="1"/>
    <xf numFmtId="164" fontId="4" fillId="0" borderId="0" xfId="0" applyNumberFormat="1" applyFont="1"/>
    <xf numFmtId="0" fontId="5" fillId="0" borderId="0" xfId="0" applyFont="1"/>
    <xf numFmtId="44" fontId="4" fillId="6" borderId="0" xfId="1" applyFont="1" applyFill="1" applyBorder="1"/>
    <xf numFmtId="44" fontId="4" fillId="6" borderId="45" xfId="1" applyFont="1" applyFill="1" applyBorder="1"/>
    <xf numFmtId="0" fontId="5" fillId="0" borderId="5" xfId="0" applyFont="1" applyBorder="1"/>
    <xf numFmtId="44" fontId="4" fillId="6" borderId="6" xfId="1" applyFont="1" applyFill="1" applyBorder="1"/>
    <xf numFmtId="44" fontId="4" fillId="0" borderId="0" xfId="1" applyFont="1"/>
    <xf numFmtId="166" fontId="0" fillId="0" borderId="18" xfId="0" applyNumberFormat="1" applyFill="1" applyBorder="1" applyAlignment="1">
      <alignment horizontal="center" vertical="center"/>
    </xf>
    <xf numFmtId="166" fontId="0" fillId="0" borderId="23" xfId="0" applyNumberFormat="1" applyFill="1" applyBorder="1" applyAlignment="1">
      <alignment horizontal="center" vertical="center"/>
    </xf>
    <xf numFmtId="166" fontId="0" fillId="0" borderId="20" xfId="0" applyNumberFormat="1" applyFill="1" applyBorder="1" applyAlignment="1">
      <alignment horizontal="center" vertical="center"/>
    </xf>
    <xf numFmtId="166" fontId="0" fillId="0" borderId="13" xfId="0" applyNumberFormat="1" applyFill="1" applyBorder="1" applyAlignment="1">
      <alignment horizontal="center" vertical="center"/>
    </xf>
    <xf numFmtId="166" fontId="0" fillId="0" borderId="17" xfId="0" applyNumberFormat="1" applyFill="1" applyBorder="1" applyAlignment="1">
      <alignment horizontal="center" vertical="center"/>
    </xf>
    <xf numFmtId="166" fontId="0" fillId="0" borderId="29" xfId="0" applyNumberForma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6" fontId="24" fillId="0" borderId="7" xfId="0" applyNumberFormat="1" applyFont="1" applyBorder="1" applyAlignment="1">
      <alignment horizontal="center" vertical="center" wrapText="1"/>
    </xf>
    <xf numFmtId="166" fontId="24" fillId="0" borderId="32" xfId="0" applyNumberFormat="1" applyFont="1" applyBorder="1" applyAlignment="1">
      <alignment horizontal="center" vertical="center" wrapText="1"/>
    </xf>
    <xf numFmtId="166" fontId="24" fillId="0" borderId="7" xfId="0" applyNumberFormat="1" applyFont="1" applyFill="1" applyBorder="1" applyAlignment="1">
      <alignment horizontal="center" vertical="center" wrapText="1"/>
    </xf>
    <xf numFmtId="165" fontId="0" fillId="0" borderId="18" xfId="1" applyNumberFormat="1" applyFont="1" applyFill="1" applyBorder="1" applyAlignment="1">
      <alignment vertical="center"/>
    </xf>
    <xf numFmtId="164" fontId="0" fillId="0" borderId="12" xfId="1" applyNumberFormat="1" applyFont="1" applyFill="1" applyBorder="1" applyAlignment="1">
      <alignment vertical="center"/>
    </xf>
    <xf numFmtId="164" fontId="0" fillId="0" borderId="13" xfId="1" applyNumberFormat="1" applyFont="1" applyFill="1" applyBorder="1" applyAlignment="1">
      <alignment vertical="center"/>
    </xf>
    <xf numFmtId="165" fontId="0" fillId="0" borderId="13" xfId="1" applyNumberFormat="1" applyFont="1" applyFill="1" applyBorder="1" applyAlignment="1">
      <alignment vertical="center"/>
    </xf>
    <xf numFmtId="165" fontId="0" fillId="0" borderId="14" xfId="1" applyNumberFormat="1" applyFont="1" applyFill="1" applyBorder="1" applyAlignment="1">
      <alignment vertical="center"/>
    </xf>
    <xf numFmtId="165" fontId="0" fillId="0" borderId="30" xfId="1" applyNumberFormat="1" applyFont="1" applyFill="1" applyBorder="1" applyAlignment="1">
      <alignment vertical="center"/>
    </xf>
    <xf numFmtId="164" fontId="0" fillId="0" borderId="38" xfId="1" applyNumberFormat="1" applyFont="1" applyFill="1" applyBorder="1" applyAlignment="1">
      <alignment vertical="center"/>
    </xf>
    <xf numFmtId="164" fontId="0" fillId="0" borderId="18" xfId="1" applyNumberFormat="1" applyFont="1" applyFill="1" applyBorder="1" applyAlignment="1">
      <alignment vertical="center"/>
    </xf>
    <xf numFmtId="165" fontId="0" fillId="0" borderId="49" xfId="1" applyNumberFormat="1" applyFont="1" applyFill="1" applyBorder="1" applyAlignment="1">
      <alignment vertical="center"/>
    </xf>
    <xf numFmtId="164" fontId="17" fillId="0" borderId="29" xfId="1" applyNumberFormat="1" applyFont="1" applyFill="1" applyBorder="1" applyAlignment="1">
      <alignment vertical="center"/>
    </xf>
    <xf numFmtId="165" fontId="17" fillId="0" borderId="29" xfId="1" applyNumberFormat="1" applyFont="1" applyFill="1" applyBorder="1" applyAlignment="1">
      <alignment vertical="center"/>
    </xf>
    <xf numFmtId="165" fontId="17" fillId="0" borderId="30" xfId="1" applyNumberFormat="1" applyFont="1" applyFill="1" applyBorder="1" applyAlignment="1">
      <alignment vertical="center"/>
    </xf>
    <xf numFmtId="164" fontId="0" fillId="0" borderId="25" xfId="1" applyNumberFormat="1" applyFont="1" applyFill="1" applyBorder="1" applyAlignment="1">
      <alignment vertical="center"/>
    </xf>
    <xf numFmtId="164" fontId="0" fillId="0" borderId="47" xfId="1" applyNumberFormat="1" applyFont="1" applyFill="1" applyBorder="1" applyAlignment="1">
      <alignment vertical="center"/>
    </xf>
    <xf numFmtId="165" fontId="0" fillId="0" borderId="20" xfId="1" applyNumberFormat="1" applyFont="1" applyFill="1" applyBorder="1" applyAlignment="1">
      <alignment horizontal="center" vertical="center"/>
    </xf>
    <xf numFmtId="165" fontId="0" fillId="0" borderId="26" xfId="1" applyNumberFormat="1" applyFont="1" applyFill="1" applyBorder="1" applyAlignment="1">
      <alignment horizontal="center" vertical="center"/>
    </xf>
    <xf numFmtId="164" fontId="0" fillId="0" borderId="36" xfId="1" applyNumberFormat="1" applyFont="1" applyFill="1" applyBorder="1" applyAlignment="1">
      <alignment vertical="center"/>
    </xf>
    <xf numFmtId="165" fontId="0" fillId="0" borderId="26" xfId="1" applyNumberFormat="1" applyFont="1" applyFill="1" applyBorder="1" applyAlignment="1">
      <alignment vertical="center"/>
    </xf>
    <xf numFmtId="164" fontId="0" fillId="0" borderId="22" xfId="1" applyNumberFormat="1" applyFont="1" applyFill="1" applyBorder="1"/>
    <xf numFmtId="164" fontId="0" fillId="0" borderId="50" xfId="1" applyNumberFormat="1" applyFont="1" applyFill="1" applyBorder="1"/>
    <xf numFmtId="165" fontId="0" fillId="0" borderId="16" xfId="1" applyNumberFormat="1" applyFont="1" applyFill="1" applyBorder="1"/>
    <xf numFmtId="165" fontId="0" fillId="0" borderId="27" xfId="1" applyNumberFormat="1" applyFont="1" applyFill="1" applyBorder="1"/>
    <xf numFmtId="164" fontId="0" fillId="0" borderId="31" xfId="1" applyNumberFormat="1" applyFont="1" applyFill="1" applyBorder="1" applyAlignment="1">
      <alignment vertical="center"/>
    </xf>
    <xf numFmtId="44" fontId="0" fillId="0" borderId="0" xfId="0" applyNumberFormat="1"/>
    <xf numFmtId="0" fontId="4" fillId="3" borderId="12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44" fontId="4" fillId="3" borderId="13" xfId="1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164" fontId="4" fillId="4" borderId="5" xfId="1" applyNumberFormat="1" applyFont="1" applyFill="1" applyBorder="1" applyAlignment="1">
      <alignment horizontal="center" vertical="center"/>
    </xf>
    <xf numFmtId="164" fontId="4" fillId="4" borderId="7" xfId="1" applyNumberFormat="1" applyFont="1" applyFill="1" applyBorder="1" applyAlignment="1">
      <alignment horizontal="center" vertical="center" wrapText="1"/>
    </xf>
    <xf numFmtId="164" fontId="4" fillId="3" borderId="32" xfId="1" applyNumberFormat="1" applyFont="1" applyFill="1" applyBorder="1"/>
    <xf numFmtId="165" fontId="4" fillId="3" borderId="32" xfId="1" applyNumberFormat="1" applyFont="1" applyFill="1" applyBorder="1"/>
    <xf numFmtId="165" fontId="4" fillId="0" borderId="0" xfId="1" applyNumberFormat="1" applyFont="1"/>
    <xf numFmtId="44" fontId="4" fillId="0" borderId="0" xfId="0" applyNumberFormat="1" applyFont="1"/>
    <xf numFmtId="0" fontId="25" fillId="2" borderId="0" xfId="0" applyFont="1" applyFill="1" applyAlignment="1">
      <alignment horizontal="center" vertical="center"/>
    </xf>
    <xf numFmtId="0" fontId="26" fillId="2" borderId="0" xfId="0" applyFont="1" applyFill="1" applyAlignment="1">
      <alignment horizontal="center" vertical="center"/>
    </xf>
    <xf numFmtId="0" fontId="27" fillId="2" borderId="0" xfId="0" applyFont="1" applyFill="1" applyAlignment="1">
      <alignment horizontal="center" vertical="center"/>
    </xf>
    <xf numFmtId="0" fontId="25" fillId="3" borderId="14" xfId="0" applyFont="1" applyFill="1" applyBorder="1" applyAlignment="1">
      <alignment horizontal="center" vertical="center" wrapText="1"/>
    </xf>
    <xf numFmtId="0" fontId="25" fillId="0" borderId="14" xfId="0" applyFont="1" applyBorder="1" applyAlignment="1">
      <alignment horizontal="center" vertical="center"/>
    </xf>
    <xf numFmtId="0" fontId="25" fillId="0" borderId="30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5" fillId="0" borderId="26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0" fontId="25" fillId="7" borderId="27" xfId="0" applyFont="1" applyFill="1" applyBorder="1" applyAlignment="1">
      <alignment horizontal="center" vertical="center"/>
    </xf>
    <xf numFmtId="0" fontId="25" fillId="7" borderId="41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25" fillId="2" borderId="2" xfId="0" applyFont="1" applyFill="1" applyBorder="1" applyAlignment="1">
      <alignment horizontal="center" vertical="center"/>
    </xf>
    <xf numFmtId="0" fontId="25" fillId="2" borderId="4" xfId="0" applyFont="1" applyFill="1" applyBorder="1" applyAlignment="1">
      <alignment horizontal="center" vertical="center"/>
    </xf>
    <xf numFmtId="0" fontId="25" fillId="2" borderId="9" xfId="0" applyFont="1" applyFill="1" applyBorder="1" applyAlignment="1">
      <alignment horizontal="center" vertical="center"/>
    </xf>
    <xf numFmtId="0" fontId="25" fillId="2" borderId="11" xfId="0" applyFont="1" applyFill="1" applyBorder="1" applyAlignment="1">
      <alignment horizontal="center" vertical="center"/>
    </xf>
    <xf numFmtId="0" fontId="25" fillId="8" borderId="8" xfId="0" applyFont="1" applyFill="1" applyBorder="1" applyAlignment="1">
      <alignment horizontal="center" vertical="center"/>
    </xf>
    <xf numFmtId="0" fontId="25" fillId="8" borderId="6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0" fontId="25" fillId="0" borderId="44" xfId="0" applyFont="1" applyBorder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28" fillId="0" borderId="44" xfId="0" applyFont="1" applyBorder="1" applyAlignment="1">
      <alignment horizontal="center" vertical="center"/>
    </xf>
    <xf numFmtId="166" fontId="0" fillId="3" borderId="18" xfId="0" applyNumberFormat="1" applyFill="1" applyBorder="1" applyAlignment="1">
      <alignment horizontal="center" vertical="center"/>
    </xf>
    <xf numFmtId="166" fontId="0" fillId="3" borderId="23" xfId="0" applyNumberFormat="1" applyFill="1" applyBorder="1" applyAlignment="1">
      <alignment horizontal="center" vertical="center"/>
    </xf>
    <xf numFmtId="166" fontId="0" fillId="3" borderId="13" xfId="0" applyNumberFormat="1" applyFill="1" applyBorder="1" applyAlignment="1">
      <alignment horizontal="center" vertical="center"/>
    </xf>
    <xf numFmtId="166" fontId="0" fillId="3" borderId="29" xfId="0" applyNumberFormat="1" applyFill="1" applyBorder="1" applyAlignment="1">
      <alignment horizontal="center" vertical="center"/>
    </xf>
    <xf numFmtId="1" fontId="0" fillId="3" borderId="13" xfId="0" applyNumberFormat="1" applyFill="1" applyBorder="1" applyAlignment="1">
      <alignment horizontal="center" vertical="center"/>
    </xf>
    <xf numFmtId="2" fontId="0" fillId="3" borderId="13" xfId="0" applyNumberFormat="1" applyFill="1" applyBorder="1" applyAlignment="1">
      <alignment horizontal="center" vertical="center"/>
    </xf>
    <xf numFmtId="1" fontId="0" fillId="3" borderId="23" xfId="0" applyNumberFormat="1" applyFill="1" applyBorder="1" applyAlignment="1">
      <alignment horizontal="center" vertical="center"/>
    </xf>
    <xf numFmtId="1" fontId="0" fillId="3" borderId="20" xfId="0" applyNumberFormat="1" applyFill="1" applyBorder="1" applyAlignment="1">
      <alignment horizontal="center" vertical="center"/>
    </xf>
    <xf numFmtId="1" fontId="17" fillId="3" borderId="29" xfId="0" applyNumberFormat="1" applyFont="1" applyFill="1" applyBorder="1" applyAlignment="1">
      <alignment horizontal="center" vertical="center"/>
    </xf>
    <xf numFmtId="1" fontId="17" fillId="3" borderId="13" xfId="0" applyNumberFormat="1" applyFont="1" applyFill="1" applyBorder="1" applyAlignment="1">
      <alignment horizontal="center" vertical="center"/>
    </xf>
    <xf numFmtId="1" fontId="17" fillId="3" borderId="16" xfId="0" applyNumberFormat="1" applyFont="1" applyFill="1" applyBorder="1" applyAlignment="1">
      <alignment horizontal="center" vertical="center"/>
    </xf>
    <xf numFmtId="0" fontId="17" fillId="0" borderId="23" xfId="0" applyFont="1" applyBorder="1" applyAlignment="1">
      <alignment horizontal="left" vertical="center" wrapText="1"/>
    </xf>
    <xf numFmtId="44" fontId="0" fillId="0" borderId="23" xfId="1" applyFont="1" applyFill="1" applyBorder="1" applyAlignment="1">
      <alignment horizontal="center" vertical="center"/>
    </xf>
    <xf numFmtId="166" fontId="3" fillId="3" borderId="23" xfId="0" applyNumberFormat="1" applyFont="1" applyFill="1" applyBorder="1" applyAlignment="1">
      <alignment horizontal="center" vertical="center"/>
    </xf>
    <xf numFmtId="0" fontId="20" fillId="0" borderId="13" xfId="0" applyFont="1" applyBorder="1" applyAlignment="1">
      <alignment horizontal="left" vertical="center"/>
    </xf>
    <xf numFmtId="0" fontId="17" fillId="0" borderId="13" xfId="0" applyFont="1" applyBorder="1" applyAlignment="1">
      <alignment horizontal="center" vertical="center" wrapText="1"/>
    </xf>
    <xf numFmtId="164" fontId="0" fillId="0" borderId="24" xfId="1" applyNumberFormat="1" applyFont="1" applyFill="1" applyBorder="1" applyAlignment="1">
      <alignment horizontal="center" vertical="center"/>
    </xf>
    <xf numFmtId="164" fontId="0" fillId="0" borderId="33" xfId="1" applyNumberFormat="1" applyFont="1" applyFill="1" applyBorder="1" applyAlignment="1">
      <alignment horizontal="center" vertical="center"/>
    </xf>
    <xf numFmtId="165" fontId="0" fillId="0" borderId="23" xfId="1" applyNumberFormat="1" applyFont="1" applyFill="1" applyBorder="1" applyAlignment="1">
      <alignment horizontal="center" vertical="center"/>
    </xf>
    <xf numFmtId="165" fontId="0" fillId="0" borderId="21" xfId="1" applyNumberFormat="1" applyFont="1" applyFill="1" applyBorder="1" applyAlignment="1">
      <alignment horizontal="center" vertical="center"/>
    </xf>
    <xf numFmtId="164" fontId="0" fillId="0" borderId="39" xfId="1" applyNumberFormat="1" applyFont="1" applyFill="1" applyBorder="1" applyAlignment="1">
      <alignment horizontal="center" vertical="center"/>
    </xf>
    <xf numFmtId="164" fontId="0" fillId="0" borderId="43" xfId="1" applyNumberFormat="1" applyFont="1" applyFill="1" applyBorder="1" applyAlignment="1">
      <alignment horizontal="center" vertical="center"/>
    </xf>
    <xf numFmtId="165" fontId="0" fillId="0" borderId="40" xfId="1" applyNumberFormat="1" applyFont="1" applyFill="1" applyBorder="1" applyAlignment="1">
      <alignment horizontal="center" vertical="center"/>
    </xf>
    <xf numFmtId="165" fontId="0" fillId="0" borderId="41" xfId="1" applyNumberFormat="1" applyFont="1" applyFill="1" applyBorder="1" applyAlignment="1">
      <alignment horizontal="center" vertical="center"/>
    </xf>
    <xf numFmtId="0" fontId="25" fillId="0" borderId="32" xfId="0" applyFont="1" applyBorder="1" applyAlignment="1">
      <alignment horizontal="center" vertical="center"/>
    </xf>
    <xf numFmtId="165" fontId="0" fillId="0" borderId="30" xfId="1" applyNumberFormat="1" applyFont="1" applyFill="1" applyBorder="1" applyAlignment="1">
      <alignment horizontal="center" vertical="center"/>
    </xf>
    <xf numFmtId="0" fontId="25" fillId="0" borderId="48" xfId="0" applyFont="1" applyBorder="1" applyAlignment="1">
      <alignment horizontal="center" vertical="center"/>
    </xf>
    <xf numFmtId="0" fontId="10" fillId="2" borderId="0" xfId="0" applyFont="1" applyFill="1" applyAlignment="1">
      <alignment horizontal="left"/>
    </xf>
    <xf numFmtId="0" fontId="0" fillId="0" borderId="38" xfId="0" applyBorder="1" applyAlignment="1">
      <alignment horizontal="left" vertical="center"/>
    </xf>
    <xf numFmtId="0" fontId="0" fillId="0" borderId="34" xfId="0" applyBorder="1" applyAlignment="1">
      <alignment horizontal="center" vertical="center"/>
    </xf>
    <xf numFmtId="44" fontId="0" fillId="0" borderId="34" xfId="1" applyFont="1" applyFill="1" applyBorder="1" applyAlignment="1">
      <alignment horizontal="center" vertical="center"/>
    </xf>
    <xf numFmtId="44" fontId="1" fillId="0" borderId="18" xfId="1" applyFont="1" applyFill="1" applyBorder="1" applyAlignment="1">
      <alignment horizontal="center" vertical="center"/>
    </xf>
    <xf numFmtId="44" fontId="0" fillId="0" borderId="18" xfId="1" applyFont="1" applyFill="1" applyBorder="1" applyAlignment="1">
      <alignment horizontal="center" vertical="center"/>
    </xf>
    <xf numFmtId="0" fontId="0" fillId="0" borderId="18" xfId="1" applyNumberFormat="1" applyFont="1" applyFill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166" fontId="0" fillId="3" borderId="17" xfId="0" applyNumberFormat="1" applyFill="1" applyBorder="1" applyAlignment="1">
      <alignment horizontal="center" vertical="center"/>
    </xf>
    <xf numFmtId="165" fontId="0" fillId="0" borderId="19" xfId="1" applyNumberFormat="1" applyFont="1" applyFill="1" applyBorder="1" applyAlignment="1">
      <alignment vertical="center"/>
    </xf>
    <xf numFmtId="165" fontId="0" fillId="0" borderId="0" xfId="0" applyNumberFormat="1"/>
    <xf numFmtId="0" fontId="10" fillId="0" borderId="30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0" fontId="17" fillId="0" borderId="20" xfId="0" applyFont="1" applyFill="1" applyBorder="1" applyAlignment="1">
      <alignment horizontal="center" vertical="center"/>
    </xf>
    <xf numFmtId="0" fontId="17" fillId="0" borderId="37" xfId="0" applyFont="1" applyBorder="1" applyAlignment="1">
      <alignment horizontal="left" vertical="center" wrapText="1"/>
    </xf>
    <xf numFmtId="0" fontId="25" fillId="0" borderId="44" xfId="0" applyFont="1" applyBorder="1" applyAlignment="1">
      <alignment horizontal="center" vertical="center"/>
    </xf>
    <xf numFmtId="0" fontId="25" fillId="0" borderId="48" xfId="0" applyFont="1" applyBorder="1" applyAlignment="1">
      <alignment horizontal="center" vertical="center"/>
    </xf>
    <xf numFmtId="0" fontId="25" fillId="0" borderId="32" xfId="0" applyFont="1" applyBorder="1" applyAlignment="1">
      <alignment horizontal="center" vertical="center"/>
    </xf>
    <xf numFmtId="165" fontId="0" fillId="0" borderId="30" xfId="1" applyNumberFormat="1" applyFont="1" applyFill="1" applyBorder="1" applyAlignment="1">
      <alignment horizontal="center" vertical="center"/>
    </xf>
    <xf numFmtId="165" fontId="4" fillId="0" borderId="14" xfId="1" applyNumberFormat="1" applyFont="1" applyFill="1" applyBorder="1" applyAlignment="1">
      <alignment vertical="center"/>
    </xf>
    <xf numFmtId="169" fontId="0" fillId="0" borderId="0" xfId="0" applyNumberFormat="1"/>
    <xf numFmtId="44" fontId="0" fillId="6" borderId="34" xfId="1" applyFont="1" applyFill="1" applyBorder="1" applyAlignment="1">
      <alignment horizontal="center" vertical="center"/>
    </xf>
    <xf numFmtId="44" fontId="1" fillId="6" borderId="18" xfId="1" applyFont="1" applyFill="1" applyBorder="1" applyAlignment="1">
      <alignment horizontal="center" vertical="center"/>
    </xf>
    <xf numFmtId="44" fontId="0" fillId="6" borderId="17" xfId="1" applyFont="1" applyFill="1" applyBorder="1" applyAlignment="1">
      <alignment horizontal="center" vertical="center"/>
    </xf>
    <xf numFmtId="44" fontId="1" fillId="6" borderId="17" xfId="1" applyFont="1" applyFill="1" applyBorder="1" applyAlignment="1">
      <alignment horizontal="center" vertical="center"/>
    </xf>
    <xf numFmtId="44" fontId="0" fillId="6" borderId="16" xfId="1" applyFont="1" applyFill="1" applyBorder="1" applyAlignment="1">
      <alignment horizontal="center" vertical="center"/>
    </xf>
    <xf numFmtId="44" fontId="1" fillId="6" borderId="23" xfId="1" applyFont="1" applyFill="1" applyBorder="1" applyAlignment="1">
      <alignment horizontal="center" vertical="center"/>
    </xf>
    <xf numFmtId="44" fontId="0" fillId="6" borderId="23" xfId="1" applyFont="1" applyFill="1" applyBorder="1" applyAlignment="1">
      <alignment horizontal="center" vertical="center"/>
    </xf>
    <xf numFmtId="44" fontId="0" fillId="6" borderId="29" xfId="1" applyFont="1" applyFill="1" applyBorder="1" applyAlignment="1">
      <alignment horizontal="center" vertical="center"/>
    </xf>
    <xf numFmtId="44" fontId="1" fillId="6" borderId="29" xfId="1" applyFont="1" applyFill="1" applyBorder="1" applyAlignment="1">
      <alignment horizontal="center" vertical="center"/>
    </xf>
    <xf numFmtId="0" fontId="17" fillId="0" borderId="25" xfId="0" applyFont="1" applyBorder="1" applyAlignment="1">
      <alignment horizontal="left" vertical="center" wrapText="1"/>
    </xf>
    <xf numFmtId="0" fontId="17" fillId="0" borderId="37" xfId="0" applyFont="1" applyBorder="1" applyAlignment="1">
      <alignment horizontal="left" vertical="center" wrapText="1"/>
    </xf>
    <xf numFmtId="0" fontId="25" fillId="0" borderId="44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164" fontId="7" fillId="2" borderId="5" xfId="1" applyNumberFormat="1" applyFont="1" applyFill="1" applyBorder="1" applyAlignment="1">
      <alignment horizontal="center"/>
    </xf>
    <xf numFmtId="164" fontId="7" fillId="2" borderId="8" xfId="1" applyNumberFormat="1" applyFont="1" applyFill="1" applyBorder="1" applyAlignment="1">
      <alignment horizontal="center"/>
    </xf>
    <xf numFmtId="164" fontId="7" fillId="2" borderId="6" xfId="1" applyNumberFormat="1" applyFont="1" applyFill="1" applyBorder="1" applyAlignment="1">
      <alignment horizontal="center"/>
    </xf>
    <xf numFmtId="0" fontId="25" fillId="0" borderId="48" xfId="0" applyFont="1" applyBorder="1" applyAlignment="1">
      <alignment horizontal="center" vertical="center"/>
    </xf>
    <xf numFmtId="0" fontId="25" fillId="0" borderId="32" xfId="0" applyFont="1" applyBorder="1" applyAlignment="1">
      <alignment horizontal="center" vertical="center"/>
    </xf>
    <xf numFmtId="165" fontId="0" fillId="0" borderId="48" xfId="1" applyNumberFormat="1" applyFont="1" applyFill="1" applyBorder="1" applyAlignment="1">
      <alignment horizontal="center" vertical="center"/>
    </xf>
    <xf numFmtId="165" fontId="0" fillId="0" borderId="44" xfId="1" applyNumberFormat="1" applyFont="1" applyFill="1" applyBorder="1" applyAlignment="1">
      <alignment horizontal="center" vertical="center"/>
    </xf>
    <xf numFmtId="165" fontId="0" fillId="0" borderId="32" xfId="1" applyNumberFormat="1" applyFont="1" applyFill="1" applyBorder="1" applyAlignment="1">
      <alignment horizontal="center" vertical="center"/>
    </xf>
    <xf numFmtId="0" fontId="10" fillId="0" borderId="48" xfId="0" applyFont="1" applyFill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25" fillId="0" borderId="48" xfId="0" applyFont="1" applyFill="1" applyBorder="1" applyAlignment="1">
      <alignment horizontal="center" vertical="center"/>
    </xf>
    <xf numFmtId="0" fontId="25" fillId="0" borderId="32" xfId="0" applyFont="1" applyFill="1" applyBorder="1" applyAlignment="1">
      <alignment horizontal="center" vertical="center"/>
    </xf>
    <xf numFmtId="165" fontId="0" fillId="0" borderId="49" xfId="1" applyNumberFormat="1" applyFont="1" applyFill="1" applyBorder="1" applyAlignment="1">
      <alignment horizontal="center" vertical="center"/>
    </xf>
    <xf numFmtId="165" fontId="0" fillId="0" borderId="30" xfId="1" applyNumberFormat="1" applyFont="1" applyFill="1" applyBorder="1" applyAlignment="1">
      <alignment horizontal="center" vertical="center"/>
    </xf>
    <xf numFmtId="166" fontId="24" fillId="0" borderId="48" xfId="0" applyNumberFormat="1" applyFont="1" applyBorder="1" applyAlignment="1">
      <alignment horizontal="center" vertical="center" wrapText="1"/>
    </xf>
    <xf numFmtId="0" fontId="24" fillId="0" borderId="44" xfId="0" applyNumberFormat="1" applyFont="1" applyBorder="1" applyAlignment="1">
      <alignment horizontal="center" vertical="center" wrapText="1"/>
    </xf>
    <xf numFmtId="0" fontId="24" fillId="0" borderId="32" xfId="0" applyNumberFormat="1" applyFont="1" applyBorder="1" applyAlignment="1">
      <alignment horizontal="center" vertical="center" wrapText="1"/>
    </xf>
  </cellXfs>
  <cellStyles count="3">
    <cellStyle name="Moneda" xfId="1" builtinId="4"/>
    <cellStyle name="Moneda 2" xfId="2" xr:uid="{3E0BAA7B-C196-40E6-A20E-D97EDB1D78B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7.jpeg"/><Relationship Id="rId4" Type="http://schemas.openxmlformats.org/officeDocument/2006/relationships/image" Target="../media/image6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92869</xdr:colOff>
      <xdr:row>0</xdr:row>
      <xdr:rowOff>57150</xdr:rowOff>
    </xdr:from>
    <xdr:ext cx="3200400" cy="924805"/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350669" y="57150"/>
          <a:ext cx="3200400" cy="924805"/>
        </a:xfrm>
        <a:prstGeom prst="rect">
          <a:avLst/>
        </a:prstGeom>
        <a:noFill/>
      </xdr:spPr>
      <xdr:txBody>
        <a:bodyPr wrap="square" lIns="91440" tIns="45720" rIns="91440" bIns="45720" anchor="ctr">
          <a:spAutoFit/>
        </a:bodyPr>
        <a:lstStyle/>
        <a:p>
          <a:pPr algn="ctr"/>
          <a:r>
            <a:rPr lang="es-E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entury Schoolbook" panose="02040604050505020304" pitchFamily="18" charset="0"/>
            </a:rPr>
            <a:t>Lenmarq</a:t>
          </a:r>
        </a:p>
      </xdr:txBody>
    </xdr:sp>
    <xdr:clientData/>
  </xdr:oneCellAnchor>
  <xdr:twoCellAnchor>
    <xdr:from>
      <xdr:col>0</xdr:col>
      <xdr:colOff>952500</xdr:colOff>
      <xdr:row>43</xdr:row>
      <xdr:rowOff>125676</xdr:rowOff>
    </xdr:from>
    <xdr:to>
      <xdr:col>0</xdr:col>
      <xdr:colOff>1158875</xdr:colOff>
      <xdr:row>44</xdr:row>
      <xdr:rowOff>275166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flipV="1">
          <a:off x="952500" y="15680001"/>
          <a:ext cx="206375" cy="682890"/>
        </a:xfrm>
        <a:prstGeom prst="straightConnector1">
          <a:avLst/>
        </a:prstGeom>
        <a:ln w="28575">
          <a:solidFill>
            <a:srgbClr val="FF0000"/>
          </a:solidFill>
          <a:prstDash val="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497037</xdr:colOff>
      <xdr:row>39</xdr:row>
      <xdr:rowOff>184676</xdr:rowOff>
    </xdr:from>
    <xdr:to>
      <xdr:col>11</xdr:col>
      <xdr:colOff>624417</xdr:colOff>
      <xdr:row>42</xdr:row>
      <xdr:rowOff>433916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>
          <a:cxnSpLocks/>
        </xdr:cNvCxnSpPr>
      </xdr:nvCxnSpPr>
      <xdr:spPr>
        <a:xfrm>
          <a:off x="11098362" y="14472176"/>
          <a:ext cx="127380" cy="820740"/>
        </a:xfrm>
        <a:prstGeom prst="straightConnector1">
          <a:avLst/>
        </a:prstGeom>
        <a:ln w="28575">
          <a:solidFill>
            <a:srgbClr val="FF0000"/>
          </a:solidFill>
          <a:prstDash val="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190501</xdr:colOff>
      <xdr:row>0</xdr:row>
      <xdr:rowOff>95249</xdr:rowOff>
    </xdr:from>
    <xdr:to>
      <xdr:col>1</xdr:col>
      <xdr:colOff>1407584</xdr:colOff>
      <xdr:row>5</xdr:row>
      <xdr:rowOff>179917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8B055D7B-95C6-405B-A6B9-F02F5FB3BC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1" y="95249"/>
          <a:ext cx="2402416" cy="1195918"/>
        </a:xfrm>
        <a:prstGeom prst="rect">
          <a:avLst/>
        </a:prstGeom>
      </xdr:spPr>
    </xdr:pic>
    <xdr:clientData/>
  </xdr:twoCellAnchor>
  <xdr:twoCellAnchor editAs="oneCell">
    <xdr:from>
      <xdr:col>0</xdr:col>
      <xdr:colOff>52917</xdr:colOff>
      <xdr:row>41</xdr:row>
      <xdr:rowOff>116416</xdr:rowOff>
    </xdr:from>
    <xdr:to>
      <xdr:col>1</xdr:col>
      <xdr:colOff>1081051</xdr:colOff>
      <xdr:row>43</xdr:row>
      <xdr:rowOff>63438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C16C0376-FF10-4DA3-B46F-CCD4F30CB32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61" t="25142" r="13810" b="34858"/>
        <a:stretch/>
      </xdr:blipFill>
      <xdr:spPr>
        <a:xfrm>
          <a:off x="52917" y="12985749"/>
          <a:ext cx="2213467" cy="836022"/>
        </a:xfrm>
        <a:prstGeom prst="rect">
          <a:avLst/>
        </a:prstGeom>
      </xdr:spPr>
    </xdr:pic>
    <xdr:clientData/>
  </xdr:twoCellAnchor>
  <xdr:twoCellAnchor editAs="oneCell">
    <xdr:from>
      <xdr:col>3</xdr:col>
      <xdr:colOff>941917</xdr:colOff>
      <xdr:row>41</xdr:row>
      <xdr:rowOff>179916</xdr:rowOff>
    </xdr:from>
    <xdr:to>
      <xdr:col>9</xdr:col>
      <xdr:colOff>402167</xdr:colOff>
      <xdr:row>46</xdr:row>
      <xdr:rowOff>43827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9F712B4A-53BD-42D3-92E5-2E9BB6EE45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5834" y="12657666"/>
          <a:ext cx="4127500" cy="2054661"/>
        </a:xfrm>
        <a:prstGeom prst="rect">
          <a:avLst/>
        </a:prstGeom>
      </xdr:spPr>
    </xdr:pic>
    <xdr:clientData/>
  </xdr:twoCellAnchor>
  <xdr:twoCellAnchor>
    <xdr:from>
      <xdr:col>2</xdr:col>
      <xdr:colOff>1047750</xdr:colOff>
      <xdr:row>40</xdr:row>
      <xdr:rowOff>42334</xdr:rowOff>
    </xdr:from>
    <xdr:to>
      <xdr:col>4</xdr:col>
      <xdr:colOff>645584</xdr:colOff>
      <xdr:row>43</xdr:row>
      <xdr:rowOff>21167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6ADF0E70-8694-45F5-89E8-7003354DE089}"/>
            </a:ext>
          </a:extLst>
        </xdr:cNvPr>
        <xdr:cNvCxnSpPr/>
      </xdr:nvCxnSpPr>
      <xdr:spPr>
        <a:xfrm>
          <a:off x="3958167" y="12329584"/>
          <a:ext cx="2032000" cy="1058333"/>
        </a:xfrm>
        <a:prstGeom prst="straightConnector1">
          <a:avLst/>
        </a:prstGeom>
        <a:ln w="28575">
          <a:solidFill>
            <a:srgbClr val="FF0000"/>
          </a:solidFill>
          <a:prstDash val="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560917</xdr:colOff>
      <xdr:row>40</xdr:row>
      <xdr:rowOff>21167</xdr:rowOff>
    </xdr:from>
    <xdr:to>
      <xdr:col>8</xdr:col>
      <xdr:colOff>148168</xdr:colOff>
      <xdr:row>42</xdr:row>
      <xdr:rowOff>328083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BC2D4EF-C320-40E3-A1DB-4746E5408F2B}"/>
            </a:ext>
          </a:extLst>
        </xdr:cNvPr>
        <xdr:cNvCxnSpPr/>
      </xdr:nvCxnSpPr>
      <xdr:spPr>
        <a:xfrm flipH="1">
          <a:off x="6794500" y="12308417"/>
          <a:ext cx="1449918" cy="687916"/>
        </a:xfrm>
        <a:prstGeom prst="straightConnector1">
          <a:avLst/>
        </a:prstGeom>
        <a:ln w="28575">
          <a:solidFill>
            <a:srgbClr val="FF0000"/>
          </a:solidFill>
          <a:prstDash val="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1502834</xdr:colOff>
      <xdr:row>42</xdr:row>
      <xdr:rowOff>275167</xdr:rowOff>
    </xdr:from>
    <xdr:to>
      <xdr:col>3</xdr:col>
      <xdr:colOff>504546</xdr:colOff>
      <xdr:row>43</xdr:row>
      <xdr:rowOff>137584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8460BBC3-EB80-4D40-9AC4-AC39F22EDB2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985" t="4221" r="7170" b="59386"/>
        <a:stretch/>
      </xdr:blipFill>
      <xdr:spPr>
        <a:xfrm>
          <a:off x="2688167" y="12943417"/>
          <a:ext cx="2060296" cy="560917"/>
        </a:xfrm>
        <a:prstGeom prst="rect">
          <a:avLst/>
        </a:prstGeom>
      </xdr:spPr>
    </xdr:pic>
    <xdr:clientData/>
  </xdr:twoCellAnchor>
  <xdr:twoCellAnchor editAs="oneCell">
    <xdr:from>
      <xdr:col>10</xdr:col>
      <xdr:colOff>1037167</xdr:colOff>
      <xdr:row>42</xdr:row>
      <xdr:rowOff>412750</xdr:rowOff>
    </xdr:from>
    <xdr:to>
      <xdr:col>12</xdr:col>
      <xdr:colOff>266199</xdr:colOff>
      <xdr:row>45</xdr:row>
      <xdr:rowOff>246592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EC34B8F1-4EBE-4A40-A1DE-1E0F35E532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00" y="13081000"/>
          <a:ext cx="1694949" cy="14001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92869</xdr:colOff>
      <xdr:row>0</xdr:row>
      <xdr:rowOff>57150</xdr:rowOff>
    </xdr:from>
    <xdr:ext cx="3200400" cy="924805"/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ED9E6A08-A9F1-4391-8028-9361F6C591BF}"/>
            </a:ext>
          </a:extLst>
        </xdr:cNvPr>
        <xdr:cNvSpPr/>
      </xdr:nvSpPr>
      <xdr:spPr>
        <a:xfrm>
          <a:off x="5426869" y="57150"/>
          <a:ext cx="3200400" cy="924805"/>
        </a:xfrm>
        <a:prstGeom prst="rect">
          <a:avLst/>
        </a:prstGeom>
        <a:noFill/>
      </xdr:spPr>
      <xdr:txBody>
        <a:bodyPr wrap="square" lIns="91440" tIns="45720" rIns="91440" bIns="45720" anchor="ctr">
          <a:spAutoFit/>
        </a:bodyPr>
        <a:lstStyle/>
        <a:p>
          <a:pPr algn="ctr"/>
          <a:r>
            <a:rPr lang="es-E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entury Schoolbook" panose="02040604050505020304" pitchFamily="18" charset="0"/>
            </a:rPr>
            <a:t>Lenmarq</a:t>
          </a:r>
        </a:p>
      </xdr:txBody>
    </xdr:sp>
    <xdr:clientData/>
  </xdr:oneCellAnchor>
  <xdr:twoCellAnchor>
    <xdr:from>
      <xdr:col>0</xdr:col>
      <xdr:colOff>952500</xdr:colOff>
      <xdr:row>43</xdr:row>
      <xdr:rowOff>125676</xdr:rowOff>
    </xdr:from>
    <xdr:to>
      <xdr:col>0</xdr:col>
      <xdr:colOff>1158875</xdr:colOff>
      <xdr:row>44</xdr:row>
      <xdr:rowOff>275166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E12A3A03-68DA-4918-BFDB-476C83AD65D8}"/>
            </a:ext>
          </a:extLst>
        </xdr:cNvPr>
        <xdr:cNvCxnSpPr/>
      </xdr:nvCxnSpPr>
      <xdr:spPr>
        <a:xfrm flipV="1">
          <a:off x="952500" y="13470201"/>
          <a:ext cx="206375" cy="682890"/>
        </a:xfrm>
        <a:prstGeom prst="straightConnector1">
          <a:avLst/>
        </a:prstGeom>
        <a:ln w="28575">
          <a:solidFill>
            <a:srgbClr val="FF0000"/>
          </a:solidFill>
          <a:prstDash val="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497037</xdr:colOff>
      <xdr:row>39</xdr:row>
      <xdr:rowOff>184676</xdr:rowOff>
    </xdr:from>
    <xdr:to>
      <xdr:col>11</xdr:col>
      <xdr:colOff>624417</xdr:colOff>
      <xdr:row>42</xdr:row>
      <xdr:rowOff>433916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811B261B-7239-420D-9960-87A3DB1C42DD}"/>
            </a:ext>
          </a:extLst>
        </xdr:cNvPr>
        <xdr:cNvCxnSpPr>
          <a:cxnSpLocks/>
        </xdr:cNvCxnSpPr>
      </xdr:nvCxnSpPr>
      <xdr:spPr>
        <a:xfrm>
          <a:off x="11174562" y="12262376"/>
          <a:ext cx="127380" cy="820740"/>
        </a:xfrm>
        <a:prstGeom prst="straightConnector1">
          <a:avLst/>
        </a:prstGeom>
        <a:ln w="28575">
          <a:solidFill>
            <a:srgbClr val="FF0000"/>
          </a:solidFill>
          <a:prstDash val="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190501</xdr:colOff>
      <xdr:row>0</xdr:row>
      <xdr:rowOff>95249</xdr:rowOff>
    </xdr:from>
    <xdr:to>
      <xdr:col>1</xdr:col>
      <xdr:colOff>1407584</xdr:colOff>
      <xdr:row>5</xdr:row>
      <xdr:rowOff>179917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FB7EF52-4126-418B-B157-1BE653C57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1" y="95249"/>
          <a:ext cx="2398183" cy="1189568"/>
        </a:xfrm>
        <a:prstGeom prst="rect">
          <a:avLst/>
        </a:prstGeom>
      </xdr:spPr>
    </xdr:pic>
    <xdr:clientData/>
  </xdr:twoCellAnchor>
  <xdr:twoCellAnchor editAs="oneCell">
    <xdr:from>
      <xdr:col>0</xdr:col>
      <xdr:colOff>52917</xdr:colOff>
      <xdr:row>41</xdr:row>
      <xdr:rowOff>116416</xdr:rowOff>
    </xdr:from>
    <xdr:to>
      <xdr:col>1</xdr:col>
      <xdr:colOff>1081051</xdr:colOff>
      <xdr:row>43</xdr:row>
      <xdr:rowOff>63438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DEEE2B6-BC94-4517-9561-9FD965B7463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61" t="25142" r="13810" b="34858"/>
        <a:stretch/>
      </xdr:blipFill>
      <xdr:spPr>
        <a:xfrm>
          <a:off x="52917" y="12575116"/>
          <a:ext cx="2209234" cy="832847"/>
        </a:xfrm>
        <a:prstGeom prst="rect">
          <a:avLst/>
        </a:prstGeom>
      </xdr:spPr>
    </xdr:pic>
    <xdr:clientData/>
  </xdr:twoCellAnchor>
  <xdr:twoCellAnchor editAs="oneCell">
    <xdr:from>
      <xdr:col>3</xdr:col>
      <xdr:colOff>941917</xdr:colOff>
      <xdr:row>41</xdr:row>
      <xdr:rowOff>179916</xdr:rowOff>
    </xdr:from>
    <xdr:to>
      <xdr:col>9</xdr:col>
      <xdr:colOff>402167</xdr:colOff>
      <xdr:row>46</xdr:row>
      <xdr:rowOff>43827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34E934FA-FDB8-4D74-ADB7-F69A5C4515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0542" y="12638616"/>
          <a:ext cx="4108450" cy="2064186"/>
        </a:xfrm>
        <a:prstGeom prst="rect">
          <a:avLst/>
        </a:prstGeom>
      </xdr:spPr>
    </xdr:pic>
    <xdr:clientData/>
  </xdr:twoCellAnchor>
  <xdr:twoCellAnchor>
    <xdr:from>
      <xdr:col>2</xdr:col>
      <xdr:colOff>1047750</xdr:colOff>
      <xdr:row>40</xdr:row>
      <xdr:rowOff>42334</xdr:rowOff>
    </xdr:from>
    <xdr:to>
      <xdr:col>4</xdr:col>
      <xdr:colOff>645584</xdr:colOff>
      <xdr:row>43</xdr:row>
      <xdr:rowOff>21167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2F176CDF-18EC-4478-B7A2-62AA478FA2EE}"/>
            </a:ext>
          </a:extLst>
        </xdr:cNvPr>
        <xdr:cNvCxnSpPr/>
      </xdr:nvCxnSpPr>
      <xdr:spPr>
        <a:xfrm>
          <a:off x="3952875" y="12310534"/>
          <a:ext cx="2026709" cy="1055158"/>
        </a:xfrm>
        <a:prstGeom prst="straightConnector1">
          <a:avLst/>
        </a:prstGeom>
        <a:ln w="28575">
          <a:solidFill>
            <a:srgbClr val="FF0000"/>
          </a:solidFill>
          <a:prstDash val="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560917</xdr:colOff>
      <xdr:row>40</xdr:row>
      <xdr:rowOff>21167</xdr:rowOff>
    </xdr:from>
    <xdr:to>
      <xdr:col>8</xdr:col>
      <xdr:colOff>148168</xdr:colOff>
      <xdr:row>42</xdr:row>
      <xdr:rowOff>328083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149559C0-7456-400C-A223-43051B07B1D2}"/>
            </a:ext>
          </a:extLst>
        </xdr:cNvPr>
        <xdr:cNvCxnSpPr/>
      </xdr:nvCxnSpPr>
      <xdr:spPr>
        <a:xfrm flipH="1">
          <a:off x="6780742" y="12289367"/>
          <a:ext cx="1444626" cy="687916"/>
        </a:xfrm>
        <a:prstGeom prst="straightConnector1">
          <a:avLst/>
        </a:prstGeom>
        <a:ln w="28575">
          <a:solidFill>
            <a:srgbClr val="FF0000"/>
          </a:solidFill>
          <a:prstDash val="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1566332</xdr:colOff>
      <xdr:row>43</xdr:row>
      <xdr:rowOff>31750</xdr:rowOff>
    </xdr:from>
    <xdr:to>
      <xdr:col>3</xdr:col>
      <xdr:colOff>840922</xdr:colOff>
      <xdr:row>44</xdr:row>
      <xdr:rowOff>83608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889F17BD-54E5-486B-A9A2-062A2309CB1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550" t="50321" r="31879" b="42607"/>
        <a:stretch/>
      </xdr:blipFill>
      <xdr:spPr>
        <a:xfrm>
          <a:off x="2747432" y="13376275"/>
          <a:ext cx="2332115" cy="585258"/>
        </a:xfrm>
        <a:prstGeom prst="rect">
          <a:avLst/>
        </a:prstGeom>
      </xdr:spPr>
    </xdr:pic>
    <xdr:clientData/>
  </xdr:twoCellAnchor>
  <xdr:twoCellAnchor editAs="oneCell">
    <xdr:from>
      <xdr:col>10</xdr:col>
      <xdr:colOff>878417</xdr:colOff>
      <xdr:row>42</xdr:row>
      <xdr:rowOff>497417</xdr:rowOff>
    </xdr:from>
    <xdr:to>
      <xdr:col>11</xdr:col>
      <xdr:colOff>1363024</xdr:colOff>
      <xdr:row>45</xdr:row>
      <xdr:rowOff>21490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9B4CE7AF-20F7-45D7-8461-82D1A78303A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316" t="45905" r="19396" b="30857"/>
        <a:stretch/>
      </xdr:blipFill>
      <xdr:spPr>
        <a:xfrm>
          <a:off x="10479617" y="13146617"/>
          <a:ext cx="1560932" cy="1095698"/>
        </a:xfrm>
        <a:prstGeom prst="rect">
          <a:avLst/>
        </a:prstGeom>
      </xdr:spPr>
    </xdr:pic>
    <xdr:clientData/>
  </xdr:twoCellAnchor>
  <xdr:twoCellAnchor>
    <xdr:from>
      <xdr:col>11</xdr:col>
      <xdr:colOff>600165</xdr:colOff>
      <xdr:row>43</xdr:row>
      <xdr:rowOff>75142</xdr:rowOff>
    </xdr:from>
    <xdr:to>
      <xdr:col>11</xdr:col>
      <xdr:colOff>1104990</xdr:colOff>
      <xdr:row>43</xdr:row>
      <xdr:rowOff>284692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E024E1E0-0991-406F-89CE-5503424D86C9}"/>
            </a:ext>
          </a:extLst>
        </xdr:cNvPr>
        <xdr:cNvSpPr txBox="1"/>
      </xdr:nvSpPr>
      <xdr:spPr>
        <a:xfrm>
          <a:off x="11277690" y="13419667"/>
          <a:ext cx="504825" cy="209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4044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346869</xdr:colOff>
      <xdr:row>1</xdr:row>
      <xdr:rowOff>195873</xdr:rowOff>
    </xdr:from>
    <xdr:ext cx="2224881" cy="647357"/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12369536" y="386373"/>
          <a:ext cx="2224881" cy="647357"/>
        </a:xfrm>
        <a:prstGeom prst="rect">
          <a:avLst/>
        </a:prstGeom>
        <a:noFill/>
      </xdr:spPr>
      <xdr:txBody>
        <a:bodyPr wrap="square" lIns="91440" tIns="45720" rIns="91440" bIns="45720" anchor="ctr">
          <a:spAutoFit/>
        </a:bodyPr>
        <a:lstStyle/>
        <a:p>
          <a:pPr algn="ctr"/>
          <a:r>
            <a:rPr lang="es-ES" sz="3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entury Schoolbook" panose="02040604050505020304" pitchFamily="18" charset="0"/>
            </a:rPr>
            <a:t>Lenmarq</a:t>
          </a:r>
        </a:p>
      </xdr:txBody>
    </xdr:sp>
    <xdr:clientData/>
  </xdr:oneCellAnchor>
  <xdr:twoCellAnchor editAs="oneCell">
    <xdr:from>
      <xdr:col>0</xdr:col>
      <xdr:colOff>42332</xdr:colOff>
      <xdr:row>0</xdr:row>
      <xdr:rowOff>84667</xdr:rowOff>
    </xdr:from>
    <xdr:to>
      <xdr:col>1</xdr:col>
      <xdr:colOff>1418166</xdr:colOff>
      <xdr:row>7</xdr:row>
      <xdr:rowOff>112890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774" t="16147" r="1718" b="5992"/>
        <a:stretch/>
      </xdr:blipFill>
      <xdr:spPr>
        <a:xfrm>
          <a:off x="42332" y="84667"/>
          <a:ext cx="2556934" cy="15236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83197-83FF-4C8E-B405-1052D4ED5249}">
  <sheetPr>
    <pageSetUpPr fitToPage="1"/>
  </sheetPr>
  <dimension ref="A1:BH64"/>
  <sheetViews>
    <sheetView tabSelected="1" zoomScale="90" zoomScaleNormal="90" workbookViewId="0">
      <pane ySplit="9" topLeftCell="A10" activePane="bottomLeft" state="frozen"/>
      <selection pane="bottomLeft" activeCell="E11" sqref="E11"/>
    </sheetView>
  </sheetViews>
  <sheetFormatPr baseColWidth="10" defaultRowHeight="15" x14ac:dyDescent="0.25"/>
  <cols>
    <col min="1" max="1" width="17.7109375" customWidth="1"/>
    <col min="2" max="2" width="25.85546875" customWidth="1"/>
    <col min="3" max="3" width="20" customWidth="1"/>
    <col min="4" max="4" width="16.42578125" customWidth="1"/>
    <col min="5" max="5" width="13.28515625" customWidth="1"/>
    <col min="6" max="6" width="10.5703125" customWidth="1"/>
    <col min="7" max="7" width="9.28515625" customWidth="1"/>
    <col min="8" max="8" width="8" customWidth="1"/>
    <col min="9" max="9" width="12.140625" customWidth="1"/>
    <col min="10" max="10" width="10.7109375" customWidth="1"/>
    <col min="11" max="11" width="16.140625" customWidth="1"/>
    <col min="12" max="12" width="20.85546875" customWidth="1"/>
    <col min="13" max="14" width="11.42578125" style="262" customWidth="1"/>
    <col min="15" max="15" width="13.42578125" customWidth="1"/>
    <col min="16" max="16" width="16.7109375" customWidth="1"/>
    <col min="17" max="17" width="14.42578125" bestFit="1" customWidth="1"/>
    <col min="18" max="20" width="13.28515625" bestFit="1" customWidth="1"/>
    <col min="22" max="22" width="13.28515625" bestFit="1" customWidth="1"/>
  </cols>
  <sheetData>
    <row r="1" spans="1:60" x14ac:dyDescent="0.25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239"/>
      <c r="N1" s="239"/>
      <c r="O1" s="3"/>
      <c r="P1" s="3"/>
      <c r="Q1" s="4"/>
      <c r="R1" s="5"/>
    </row>
    <row r="2" spans="1:60" ht="15.75" thickBot="1" x14ac:dyDescent="0.3">
      <c r="A2" s="1"/>
      <c r="B2" s="1"/>
      <c r="C2" s="1"/>
      <c r="D2" s="6"/>
      <c r="E2" s="1"/>
      <c r="F2" s="1"/>
      <c r="G2" s="1"/>
      <c r="H2" s="1"/>
      <c r="I2" s="1"/>
      <c r="J2" s="1"/>
      <c r="K2" s="7" t="s">
        <v>1</v>
      </c>
      <c r="L2" s="8">
        <v>98460399</v>
      </c>
      <c r="M2" s="239"/>
      <c r="N2" s="239"/>
      <c r="O2" s="9"/>
      <c r="P2" s="10"/>
      <c r="Q2" s="11"/>
      <c r="R2" s="12"/>
    </row>
    <row r="3" spans="1:60" ht="24" thickBot="1" x14ac:dyDescent="0.4">
      <c r="A3" s="1"/>
      <c r="B3" s="1"/>
      <c r="C3" s="332">
        <v>888924</v>
      </c>
      <c r="D3" s="333"/>
      <c r="E3" s="1"/>
      <c r="F3" s="1"/>
      <c r="G3" s="1"/>
      <c r="H3" s="1"/>
      <c r="I3" s="1"/>
      <c r="J3" s="1"/>
      <c r="K3" s="13" t="s">
        <v>2</v>
      </c>
      <c r="L3" s="14">
        <v>202541</v>
      </c>
      <c r="M3" s="239"/>
      <c r="N3" s="239"/>
      <c r="O3" s="334" t="s">
        <v>3</v>
      </c>
      <c r="P3" s="335"/>
      <c r="Q3" s="335"/>
      <c r="R3" s="336"/>
    </row>
    <row r="4" spans="1:60" ht="16.5" thickBot="1" x14ac:dyDescent="0.3">
      <c r="A4" s="1"/>
      <c r="B4" s="1"/>
      <c r="C4" s="332" t="s">
        <v>127</v>
      </c>
      <c r="D4" s="333"/>
      <c r="E4" s="1"/>
      <c r="F4" s="1"/>
      <c r="G4" s="1"/>
      <c r="H4" s="1"/>
      <c r="I4" s="1"/>
      <c r="J4" s="1"/>
      <c r="K4" s="6" t="s">
        <v>5</v>
      </c>
      <c r="L4" s="15">
        <v>3486</v>
      </c>
      <c r="M4" s="240"/>
      <c r="N4" s="239"/>
      <c r="O4" s="9"/>
      <c r="P4" s="10"/>
      <c r="Q4" s="11"/>
      <c r="R4" s="12"/>
    </row>
    <row r="5" spans="1:60" ht="15.75" thickBot="1" x14ac:dyDescent="0.3">
      <c r="A5" s="1"/>
      <c r="B5" s="1"/>
      <c r="C5" s="17" t="s">
        <v>6</v>
      </c>
      <c r="D5" s="18" t="s">
        <v>146</v>
      </c>
      <c r="E5" s="1"/>
      <c r="F5" s="1"/>
      <c r="G5" s="1"/>
      <c r="H5" s="1"/>
      <c r="I5" s="1"/>
      <c r="J5" s="1"/>
      <c r="K5" s="1"/>
      <c r="L5" s="19"/>
      <c r="M5" s="239"/>
      <c r="N5" s="239"/>
      <c r="O5" s="9"/>
      <c r="P5" s="10"/>
      <c r="Q5" s="11"/>
      <c r="R5" s="12"/>
    </row>
    <row r="6" spans="1:60" x14ac:dyDescent="0.25">
      <c r="A6" s="20"/>
      <c r="B6" s="21"/>
      <c r="C6" s="1"/>
      <c r="D6" s="1"/>
      <c r="E6" s="1"/>
      <c r="F6" s="1"/>
      <c r="G6" s="1"/>
      <c r="H6" s="1"/>
      <c r="I6" s="1"/>
      <c r="J6" s="1"/>
      <c r="K6" s="22" t="s">
        <v>8</v>
      </c>
      <c r="L6" s="23">
        <v>45953</v>
      </c>
      <c r="M6" s="241"/>
      <c r="N6" s="239"/>
      <c r="O6" s="9"/>
      <c r="P6" s="10"/>
      <c r="Q6" s="11"/>
      <c r="R6" s="12"/>
    </row>
    <row r="7" spans="1:60" ht="15.75" x14ac:dyDescent="0.25">
      <c r="A7" s="20" t="s">
        <v>9</v>
      </c>
      <c r="B7" s="21"/>
      <c r="C7" s="25" t="s">
        <v>157</v>
      </c>
      <c r="D7" s="1"/>
      <c r="E7" s="1"/>
      <c r="F7" s="1"/>
      <c r="G7" s="1"/>
      <c r="H7" s="1"/>
      <c r="I7" s="1"/>
      <c r="J7" s="26"/>
      <c r="K7" s="27"/>
      <c r="L7" s="28"/>
      <c r="M7" s="239"/>
      <c r="N7" s="239"/>
      <c r="O7" s="9"/>
      <c r="P7" s="29"/>
      <c r="Q7" s="11"/>
      <c r="R7" s="12"/>
    </row>
    <row r="8" spans="1:60" ht="36.75" customHeight="1" thickBot="1" x14ac:dyDescent="0.3">
      <c r="A8" s="30">
        <v>45252</v>
      </c>
      <c r="B8" s="31" t="s">
        <v>11</v>
      </c>
      <c r="C8" s="32" t="s">
        <v>12</v>
      </c>
      <c r="D8" s="1"/>
      <c r="E8" s="1"/>
      <c r="F8" s="1"/>
      <c r="G8" s="1"/>
      <c r="H8" s="1"/>
      <c r="I8" s="1"/>
      <c r="J8" s="33"/>
      <c r="K8" s="34" t="s">
        <v>13</v>
      </c>
      <c r="L8" s="35"/>
      <c r="M8" s="239"/>
      <c r="N8" s="239"/>
      <c r="O8" s="36"/>
      <c r="P8" s="37"/>
      <c r="Q8" s="38"/>
      <c r="R8" s="39"/>
    </row>
    <row r="9" spans="1:60" s="44" customFormat="1" ht="39.75" customHeight="1" thickBot="1" x14ac:dyDescent="0.3">
      <c r="A9" s="229" t="s">
        <v>14</v>
      </c>
      <c r="B9" s="230" t="s">
        <v>15</v>
      </c>
      <c r="C9" s="230" t="s">
        <v>16</v>
      </c>
      <c r="D9" s="230" t="s">
        <v>17</v>
      </c>
      <c r="E9" s="231" t="s">
        <v>18</v>
      </c>
      <c r="F9" s="231" t="s">
        <v>19</v>
      </c>
      <c r="G9" s="231" t="s">
        <v>20</v>
      </c>
      <c r="H9" s="231" t="s">
        <v>21</v>
      </c>
      <c r="I9" s="231" t="s">
        <v>22</v>
      </c>
      <c r="J9" s="231" t="s">
        <v>23</v>
      </c>
      <c r="K9" s="230" t="s">
        <v>24</v>
      </c>
      <c r="L9" s="232" t="s">
        <v>25</v>
      </c>
      <c r="M9" s="242" t="s">
        <v>26</v>
      </c>
      <c r="N9" s="242" t="s">
        <v>123</v>
      </c>
      <c r="O9" s="233" t="s">
        <v>28</v>
      </c>
      <c r="P9" s="234" t="s">
        <v>29</v>
      </c>
      <c r="Q9" s="234" t="s">
        <v>30</v>
      </c>
      <c r="R9" s="234" t="s">
        <v>31</v>
      </c>
    </row>
    <row r="10" spans="1:60" s="60" customFormat="1" ht="27" customHeight="1" thickBot="1" x14ac:dyDescent="0.3">
      <c r="A10" s="297" t="s">
        <v>32</v>
      </c>
      <c r="B10" s="124" t="s">
        <v>163</v>
      </c>
      <c r="C10" s="298" t="s">
        <v>158</v>
      </c>
      <c r="D10" s="125" t="s">
        <v>53</v>
      </c>
      <c r="E10" s="299">
        <v>95</v>
      </c>
      <c r="F10" s="300">
        <f>+E10*1.16</f>
        <v>110.19999999999999</v>
      </c>
      <c r="G10" s="301" t="s">
        <v>36</v>
      </c>
      <c r="H10" s="302">
        <v>137</v>
      </c>
      <c r="I10" s="303">
        <v>4</v>
      </c>
      <c r="J10" s="304" t="s">
        <v>37</v>
      </c>
      <c r="K10" s="269">
        <f>(I10*$L$4)/H10</f>
        <v>101.78102189781022</v>
      </c>
      <c r="L10" s="305" t="s">
        <v>38</v>
      </c>
      <c r="M10" s="295"/>
      <c r="N10" s="295"/>
      <c r="O10" s="211">
        <f>+F10/H10</f>
        <v>0.80437956204379557</v>
      </c>
      <c r="P10" s="212">
        <f>+I10*O10</f>
        <v>3.2175182481751823</v>
      </c>
      <c r="Q10" s="205">
        <f>+P10*$L$4</f>
        <v>11216.268613138685</v>
      </c>
      <c r="R10" s="213">
        <f>(F10*N10)+2909.28</f>
        <v>2909.28</v>
      </c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</row>
    <row r="11" spans="1:60" s="60" customFormat="1" ht="27" customHeight="1" x14ac:dyDescent="0.25">
      <c r="A11" s="45" t="s">
        <v>128</v>
      </c>
      <c r="B11" s="92" t="s">
        <v>154</v>
      </c>
      <c r="C11" s="54" t="s">
        <v>162</v>
      </c>
      <c r="D11" s="53" t="s">
        <v>53</v>
      </c>
      <c r="E11" s="51">
        <v>51.73</v>
      </c>
      <c r="F11" s="50">
        <f>+E11*1.16</f>
        <v>60.006799999999991</v>
      </c>
      <c r="G11" s="93" t="s">
        <v>36</v>
      </c>
      <c r="H11" s="94">
        <v>137</v>
      </c>
      <c r="I11" s="53">
        <v>12</v>
      </c>
      <c r="J11" s="54" t="s">
        <v>37</v>
      </c>
      <c r="K11" s="306">
        <f t="shared" ref="K11:K19" si="0">(I11*$L$4)/H11</f>
        <v>305.34306569343067</v>
      </c>
      <c r="L11" s="55" t="s">
        <v>38</v>
      </c>
      <c r="M11" s="337"/>
      <c r="N11" s="337"/>
      <c r="O11" s="56">
        <f>+F11/H11</f>
        <v>0.43800583941605831</v>
      </c>
      <c r="P11" s="57">
        <f>+O11*I11</f>
        <v>5.2560700729926992</v>
      </c>
      <c r="Q11" s="307">
        <f t="shared" ref="Q11:Q21" si="1">+P11*$L$4</f>
        <v>18322.660274452548</v>
      </c>
      <c r="R11" s="339">
        <f>+F11*N11</f>
        <v>0</v>
      </c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</row>
    <row r="12" spans="1:60" s="60" customFormat="1" ht="27" customHeight="1" x14ac:dyDescent="0.25">
      <c r="A12" s="71" t="s">
        <v>129</v>
      </c>
      <c r="B12" s="46" t="s">
        <v>164</v>
      </c>
      <c r="C12" s="47" t="s">
        <v>162</v>
      </c>
      <c r="D12" s="48" t="s">
        <v>53</v>
      </c>
      <c r="E12" s="49">
        <v>51.73</v>
      </c>
      <c r="F12" s="62">
        <f t="shared" ref="F12:F15" si="2">+E12*1.16</f>
        <v>60.006799999999991</v>
      </c>
      <c r="G12" s="63" t="s">
        <v>36</v>
      </c>
      <c r="H12" s="64">
        <v>137</v>
      </c>
      <c r="I12" s="66">
        <v>1.5</v>
      </c>
      <c r="J12" s="66" t="s">
        <v>37</v>
      </c>
      <c r="K12" s="270">
        <f t="shared" si="0"/>
        <v>38.167883211678834</v>
      </c>
      <c r="L12" s="67" t="s">
        <v>38</v>
      </c>
      <c r="M12" s="331"/>
      <c r="N12" s="331"/>
      <c r="O12" s="68">
        <f t="shared" ref="O12:O17" si="3">+F12/H12</f>
        <v>0.43800583941605831</v>
      </c>
      <c r="P12" s="69">
        <f t="shared" ref="P12:P19" si="4">+O12*I12</f>
        <v>0.6570087591240874</v>
      </c>
      <c r="Q12" s="59">
        <f t="shared" si="1"/>
        <v>2290.3325343065685</v>
      </c>
      <c r="R12" s="340"/>
      <c r="S12"/>
      <c r="T12"/>
      <c r="U12"/>
      <c r="V12" s="166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</row>
    <row r="13" spans="1:60" s="60" customFormat="1" ht="27" customHeight="1" x14ac:dyDescent="0.25">
      <c r="A13" s="72" t="s">
        <v>41</v>
      </c>
      <c r="B13" s="280" t="s">
        <v>165</v>
      </c>
      <c r="C13" s="66" t="s">
        <v>162</v>
      </c>
      <c r="D13" s="65" t="s">
        <v>53</v>
      </c>
      <c r="E13" s="281">
        <v>51.73</v>
      </c>
      <c r="F13" s="62">
        <f t="shared" si="2"/>
        <v>60.006799999999991</v>
      </c>
      <c r="G13" s="63" t="s">
        <v>36</v>
      </c>
      <c r="H13" s="64">
        <v>137</v>
      </c>
      <c r="I13" s="65">
        <v>0.3</v>
      </c>
      <c r="J13" s="66" t="s">
        <v>37</v>
      </c>
      <c r="K13" s="270">
        <f t="shared" si="0"/>
        <v>7.6335766423357665</v>
      </c>
      <c r="L13" s="67" t="s">
        <v>38</v>
      </c>
      <c r="M13" s="331"/>
      <c r="N13" s="331"/>
      <c r="O13" s="68">
        <f t="shared" si="3"/>
        <v>0.43800583941605831</v>
      </c>
      <c r="P13" s="69">
        <f t="shared" si="4"/>
        <v>0.13140175182481748</v>
      </c>
      <c r="Q13" s="59">
        <f t="shared" si="1"/>
        <v>458.06650686131371</v>
      </c>
      <c r="R13" s="340"/>
      <c r="S13"/>
      <c r="T13"/>
      <c r="U13"/>
      <c r="V13" s="166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</row>
    <row r="14" spans="1:60" s="60" customFormat="1" ht="27" customHeight="1" x14ac:dyDescent="0.25">
      <c r="A14" s="72" t="s">
        <v>42</v>
      </c>
      <c r="B14" s="280" t="s">
        <v>154</v>
      </c>
      <c r="C14" s="66" t="s">
        <v>162</v>
      </c>
      <c r="D14" s="65" t="s">
        <v>53</v>
      </c>
      <c r="E14" s="281">
        <v>51.73</v>
      </c>
      <c r="F14" s="62">
        <f t="shared" si="2"/>
        <v>60.006799999999991</v>
      </c>
      <c r="G14" s="63" t="s">
        <v>36</v>
      </c>
      <c r="H14" s="64">
        <v>137</v>
      </c>
      <c r="I14" s="65">
        <v>2.5</v>
      </c>
      <c r="J14" s="66" t="s">
        <v>37</v>
      </c>
      <c r="K14" s="282">
        <f t="shared" si="0"/>
        <v>63.613138686131386</v>
      </c>
      <c r="L14" s="67" t="s">
        <v>38</v>
      </c>
      <c r="M14" s="331"/>
      <c r="N14" s="331"/>
      <c r="O14" s="68">
        <f t="shared" si="3"/>
        <v>0.43800583941605831</v>
      </c>
      <c r="P14" s="69">
        <f t="shared" si="4"/>
        <v>1.0950145985401458</v>
      </c>
      <c r="Q14" s="59">
        <f t="shared" si="1"/>
        <v>3817.2208905109483</v>
      </c>
      <c r="R14" s="340"/>
      <c r="S14"/>
      <c r="T14"/>
      <c r="U14"/>
      <c r="V14" s="166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</row>
    <row r="15" spans="1:60" s="60" customFormat="1" ht="27" customHeight="1" thickBot="1" x14ac:dyDescent="0.3">
      <c r="A15" s="96" t="s">
        <v>130</v>
      </c>
      <c r="B15" s="97" t="s">
        <v>165</v>
      </c>
      <c r="C15" s="98" t="s">
        <v>162</v>
      </c>
      <c r="D15" s="99" t="s">
        <v>53</v>
      </c>
      <c r="E15" s="100">
        <v>51.73</v>
      </c>
      <c r="F15" s="101">
        <f t="shared" si="2"/>
        <v>60.006799999999991</v>
      </c>
      <c r="G15" s="102" t="s">
        <v>36</v>
      </c>
      <c r="H15" s="103">
        <v>137</v>
      </c>
      <c r="I15" s="99">
        <v>2.5</v>
      </c>
      <c r="J15" s="98" t="s">
        <v>37</v>
      </c>
      <c r="K15" s="272">
        <f t="shared" si="0"/>
        <v>63.613138686131386</v>
      </c>
      <c r="L15" s="105" t="s">
        <v>38</v>
      </c>
      <c r="M15" s="338"/>
      <c r="N15" s="338"/>
      <c r="O15" s="114">
        <f t="shared" si="3"/>
        <v>0.43800583941605831</v>
      </c>
      <c r="P15" s="115">
        <f t="shared" si="4"/>
        <v>1.0950145985401458</v>
      </c>
      <c r="Q15" s="210">
        <f t="shared" si="1"/>
        <v>3817.2208905109483</v>
      </c>
      <c r="R15" s="341"/>
      <c r="S15"/>
      <c r="T15"/>
      <c r="U15"/>
      <c r="V15" s="166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</row>
    <row r="16" spans="1:60" s="60" customFormat="1" ht="29.25" customHeight="1" thickBot="1" x14ac:dyDescent="0.3">
      <c r="A16" s="96" t="s">
        <v>49</v>
      </c>
      <c r="B16" s="97" t="s">
        <v>33</v>
      </c>
      <c r="C16" s="98" t="s">
        <v>131</v>
      </c>
      <c r="D16" s="99" t="s">
        <v>48</v>
      </c>
      <c r="E16" s="100">
        <v>65.52</v>
      </c>
      <c r="F16" s="101">
        <f>+E16*1.16</f>
        <v>76.003199999999993</v>
      </c>
      <c r="G16" s="102" t="s">
        <v>36</v>
      </c>
      <c r="H16" s="103">
        <v>137</v>
      </c>
      <c r="I16" s="104">
        <v>1.5</v>
      </c>
      <c r="J16" s="98" t="s">
        <v>37</v>
      </c>
      <c r="K16" s="272">
        <f t="shared" si="0"/>
        <v>38.167883211678834</v>
      </c>
      <c r="L16" s="105" t="s">
        <v>38</v>
      </c>
      <c r="M16" s="293"/>
      <c r="N16" s="293"/>
      <c r="O16" s="114">
        <f t="shared" ref="O16" si="5">+F16/H16</f>
        <v>0.5547678832116788</v>
      </c>
      <c r="P16" s="115">
        <f t="shared" ref="P16" si="6">+O16*I16</f>
        <v>0.83215182481751815</v>
      </c>
      <c r="Q16" s="116">
        <f t="shared" si="1"/>
        <v>2900.8812613138684</v>
      </c>
      <c r="R16" s="294">
        <f>+F16*N16</f>
        <v>0</v>
      </c>
      <c r="S16"/>
      <c r="T16"/>
      <c r="U16"/>
      <c r="V16" s="16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</row>
    <row r="17" spans="1:60" s="60" customFormat="1" ht="39" customHeight="1" thickBot="1" x14ac:dyDescent="0.3">
      <c r="A17" s="82" t="s">
        <v>50</v>
      </c>
      <c r="B17" s="106" t="s">
        <v>167</v>
      </c>
      <c r="C17" s="107" t="s">
        <v>52</v>
      </c>
      <c r="D17" s="85" t="s">
        <v>48</v>
      </c>
      <c r="E17" s="88">
        <v>46.2</v>
      </c>
      <c r="F17" s="87">
        <f t="shared" ref="F17:F21" si="7">+E17*1.16</f>
        <v>53.591999999999999</v>
      </c>
      <c r="G17" s="86" t="s">
        <v>36</v>
      </c>
      <c r="H17" s="108">
        <v>137</v>
      </c>
      <c r="I17" s="85">
        <f>7.5+2.5</f>
        <v>10</v>
      </c>
      <c r="J17" s="84" t="s">
        <v>37</v>
      </c>
      <c r="K17" s="271">
        <f t="shared" si="0"/>
        <v>254.45255474452554</v>
      </c>
      <c r="L17" s="90" t="s">
        <v>38</v>
      </c>
      <c r="M17" s="243"/>
      <c r="N17" s="243"/>
      <c r="O17" s="211">
        <f t="shared" si="3"/>
        <v>0.3911824817518248</v>
      </c>
      <c r="P17" s="212">
        <f t="shared" si="4"/>
        <v>3.911824817518248</v>
      </c>
      <c r="Q17" s="205">
        <f t="shared" si="1"/>
        <v>13636.621313868613</v>
      </c>
      <c r="R17" s="213">
        <f t="shared" ref="R17:R23" si="8">+F17*N17</f>
        <v>0</v>
      </c>
      <c r="S17"/>
      <c r="T17"/>
      <c r="U17"/>
      <c r="V17" s="166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</row>
    <row r="18" spans="1:60" s="60" customFormat="1" ht="29.25" customHeight="1" thickBot="1" x14ac:dyDescent="0.3">
      <c r="A18" s="82" t="s">
        <v>54</v>
      </c>
      <c r="B18" s="106" t="s">
        <v>55</v>
      </c>
      <c r="C18" s="84" t="s">
        <v>4</v>
      </c>
      <c r="D18" s="85" t="s">
        <v>53</v>
      </c>
      <c r="E18" s="88">
        <v>16.5</v>
      </c>
      <c r="F18" s="87">
        <f t="shared" si="7"/>
        <v>19.139999999999997</v>
      </c>
      <c r="G18" s="86" t="s">
        <v>36</v>
      </c>
      <c r="H18" s="108">
        <v>137</v>
      </c>
      <c r="I18" s="85">
        <v>10</v>
      </c>
      <c r="J18" s="84" t="s">
        <v>37</v>
      </c>
      <c r="K18" s="271">
        <f t="shared" si="0"/>
        <v>254.45255474452554</v>
      </c>
      <c r="L18" s="90" t="s">
        <v>38</v>
      </c>
      <c r="M18" s="243"/>
      <c r="N18" s="243"/>
      <c r="O18" s="206">
        <f>+F18/H18</f>
        <v>0.13970802919708028</v>
      </c>
      <c r="P18" s="207">
        <f>+O18*I18</f>
        <v>1.3970802919708027</v>
      </c>
      <c r="Q18" s="208">
        <f>+P18*$L$4</f>
        <v>4870.2218978102183</v>
      </c>
      <c r="R18" s="318">
        <f>+(F18*N18)+3828</f>
        <v>3828</v>
      </c>
      <c r="S18"/>
      <c r="T18"/>
      <c r="U18"/>
      <c r="V18" s="166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</row>
    <row r="19" spans="1:60" s="60" customFormat="1" ht="39" customHeight="1" thickBot="1" x14ac:dyDescent="0.3">
      <c r="A19" s="96" t="s">
        <v>56</v>
      </c>
      <c r="B19" s="109" t="s">
        <v>166</v>
      </c>
      <c r="C19" s="98" t="s">
        <v>58</v>
      </c>
      <c r="D19" s="99" t="s">
        <v>53</v>
      </c>
      <c r="E19" s="102">
        <v>59.88</v>
      </c>
      <c r="F19" s="101">
        <f t="shared" si="7"/>
        <v>69.460799999999992</v>
      </c>
      <c r="G19" s="100" t="s">
        <v>36</v>
      </c>
      <c r="H19" s="110">
        <v>137</v>
      </c>
      <c r="I19" s="99">
        <v>4.5</v>
      </c>
      <c r="J19" s="98" t="s">
        <v>37</v>
      </c>
      <c r="K19" s="272">
        <f t="shared" si="0"/>
        <v>114.5036496350365</v>
      </c>
      <c r="L19" s="105" t="s">
        <v>38</v>
      </c>
      <c r="M19" s="309"/>
      <c r="N19" s="244"/>
      <c r="O19" s="114">
        <f>+F19/H19</f>
        <v>0.50701313868613129</v>
      </c>
      <c r="P19" s="214">
        <f t="shared" si="4"/>
        <v>2.281559124087591</v>
      </c>
      <c r="Q19" s="215">
        <f t="shared" si="1"/>
        <v>7953.5151065693426</v>
      </c>
      <c r="R19" s="216">
        <f t="shared" si="8"/>
        <v>0</v>
      </c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</row>
    <row r="20" spans="1:60" ht="30.75" thickBot="1" x14ac:dyDescent="0.3">
      <c r="A20" s="111" t="s">
        <v>60</v>
      </c>
      <c r="B20" s="109" t="s">
        <v>61</v>
      </c>
      <c r="C20" s="112" t="s">
        <v>62</v>
      </c>
      <c r="D20" s="99" t="s">
        <v>59</v>
      </c>
      <c r="E20" s="102">
        <v>6.45</v>
      </c>
      <c r="F20" s="100">
        <f>+E20*1.16</f>
        <v>7.4819999999999993</v>
      </c>
      <c r="G20" s="100" t="s">
        <v>63</v>
      </c>
      <c r="H20" s="110">
        <v>18</v>
      </c>
      <c r="I20" s="99">
        <f>(1/12)</f>
        <v>8.3333333333333329E-2</v>
      </c>
      <c r="J20" s="98" t="s">
        <v>63</v>
      </c>
      <c r="K20" s="272">
        <f>(I20*$L$4)</f>
        <v>290.5</v>
      </c>
      <c r="L20" s="90" t="s">
        <v>63</v>
      </c>
      <c r="M20" s="245"/>
      <c r="N20" s="245"/>
      <c r="O20" s="114">
        <f>+F20/H20</f>
        <v>0.41566666666666663</v>
      </c>
      <c r="P20" s="115">
        <f>+F20*I20</f>
        <v>0.62349999999999994</v>
      </c>
      <c r="Q20" s="116">
        <f t="shared" si="1"/>
        <v>2173.5209999999997</v>
      </c>
      <c r="R20" s="210">
        <f t="shared" si="8"/>
        <v>0</v>
      </c>
    </row>
    <row r="21" spans="1:60" ht="33.75" customHeight="1" thickBot="1" x14ac:dyDescent="0.3">
      <c r="A21" s="117" t="s">
        <v>64</v>
      </c>
      <c r="B21" s="83" t="s">
        <v>65</v>
      </c>
      <c r="C21" s="84" t="s">
        <v>66</v>
      </c>
      <c r="D21" s="85" t="s">
        <v>53</v>
      </c>
      <c r="E21" s="88">
        <v>91.8</v>
      </c>
      <c r="F21" s="88">
        <f t="shared" si="7"/>
        <v>106.48799999999999</v>
      </c>
      <c r="G21" s="88" t="s">
        <v>67</v>
      </c>
      <c r="H21" s="89">
        <f>1.2*100</f>
        <v>120</v>
      </c>
      <c r="I21" s="84">
        <v>2.14</v>
      </c>
      <c r="J21" s="84" t="s">
        <v>37</v>
      </c>
      <c r="K21" s="271">
        <f>(I21*$L$4)/H21</f>
        <v>62.167000000000009</v>
      </c>
      <c r="L21" s="90" t="s">
        <v>68</v>
      </c>
      <c r="M21" s="243"/>
      <c r="N21" s="246"/>
      <c r="O21" s="217">
        <f>+F21/150</f>
        <v>0.70991999999999988</v>
      </c>
      <c r="P21" s="218">
        <f>+O21</f>
        <v>0.70991999999999988</v>
      </c>
      <c r="Q21" s="219">
        <f t="shared" si="1"/>
        <v>2474.7811199999996</v>
      </c>
      <c r="R21" s="220">
        <f t="shared" si="8"/>
        <v>0</v>
      </c>
    </row>
    <row r="22" spans="1:60" ht="30" customHeight="1" thickBot="1" x14ac:dyDescent="0.3">
      <c r="A22" s="117" t="s">
        <v>73</v>
      </c>
      <c r="B22" s="83" t="s">
        <v>132</v>
      </c>
      <c r="C22" s="121" t="s">
        <v>133</v>
      </c>
      <c r="D22" s="85" t="s">
        <v>134</v>
      </c>
      <c r="E22" s="88">
        <v>32.479999999999997</v>
      </c>
      <c r="F22" s="88">
        <f t="shared" ref="F22" si="9">+E22*1</f>
        <v>32.479999999999997</v>
      </c>
      <c r="G22" s="88" t="s">
        <v>74</v>
      </c>
      <c r="H22" s="89" t="s">
        <v>75</v>
      </c>
      <c r="I22" s="84">
        <v>1</v>
      </c>
      <c r="J22" s="84" t="s">
        <v>76</v>
      </c>
      <c r="K22" s="273">
        <f>+I22*$L$4</f>
        <v>3486</v>
      </c>
      <c r="L22" s="122" t="s">
        <v>74</v>
      </c>
      <c r="M22" s="246"/>
      <c r="N22" s="244"/>
      <c r="O22" s="206">
        <f t="shared" ref="O22" si="10">+F22</f>
        <v>32.479999999999997</v>
      </c>
      <c r="P22" s="221">
        <f t="shared" ref="P22" si="11">+I22*O22</f>
        <v>32.479999999999997</v>
      </c>
      <c r="Q22" s="208">
        <f>+P22*$L$4</f>
        <v>113225.27999999998</v>
      </c>
      <c r="R22" s="209">
        <f t="shared" si="8"/>
        <v>0</v>
      </c>
    </row>
    <row r="23" spans="1:60" s="60" customFormat="1" ht="46.5" customHeight="1" thickBot="1" x14ac:dyDescent="0.3">
      <c r="A23" s="117" t="s">
        <v>77</v>
      </c>
      <c r="B23" s="83" t="s">
        <v>124</v>
      </c>
      <c r="C23" s="84" t="s">
        <v>125</v>
      </c>
      <c r="D23" s="85" t="s">
        <v>53</v>
      </c>
      <c r="E23" s="88">
        <v>45</v>
      </c>
      <c r="F23" s="88">
        <f t="shared" ref="F23" si="12">+E23*1.16</f>
        <v>52.199999999999996</v>
      </c>
      <c r="G23" s="88" t="s">
        <v>67</v>
      </c>
      <c r="H23" s="89" t="s">
        <v>75</v>
      </c>
      <c r="I23" s="123">
        <f>1/33</f>
        <v>3.0303030303030304E-2</v>
      </c>
      <c r="J23" s="84" t="s">
        <v>67</v>
      </c>
      <c r="K23" s="271">
        <f>+I23*$L$4</f>
        <v>105.63636363636364</v>
      </c>
      <c r="L23" s="90" t="s">
        <v>68</v>
      </c>
      <c r="M23" s="247"/>
      <c r="N23" s="247"/>
      <c r="O23" s="206">
        <f>+F23</f>
        <v>52.199999999999996</v>
      </c>
      <c r="P23" s="221">
        <f>+I23*O23</f>
        <v>1.5818181818181818</v>
      </c>
      <c r="Q23" s="208">
        <f>+P23*$L$4</f>
        <v>5514.2181818181816</v>
      </c>
      <c r="R23" s="209">
        <f t="shared" si="8"/>
        <v>0</v>
      </c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</row>
    <row r="24" spans="1:60" s="60" customFormat="1" ht="15.75" thickBot="1" x14ac:dyDescent="0.3">
      <c r="A24" s="117" t="s">
        <v>135</v>
      </c>
      <c r="B24" s="83" t="s">
        <v>137</v>
      </c>
      <c r="C24" s="84" t="s">
        <v>4</v>
      </c>
      <c r="D24" s="85" t="s">
        <v>138</v>
      </c>
      <c r="E24" s="88">
        <v>2.6</v>
      </c>
      <c r="F24" s="88">
        <f>+E24</f>
        <v>2.6</v>
      </c>
      <c r="G24" s="88" t="s">
        <v>38</v>
      </c>
      <c r="H24" s="89" t="s">
        <v>75</v>
      </c>
      <c r="I24" s="84">
        <f>(0.16+0.175+0.2)*2</f>
        <v>1.0699999999999998</v>
      </c>
      <c r="J24" s="84" t="s">
        <v>36</v>
      </c>
      <c r="K24" s="274">
        <f>+I24*L4</f>
        <v>3730.0199999999995</v>
      </c>
      <c r="L24" s="90" t="s">
        <v>38</v>
      </c>
      <c r="M24" s="342"/>
      <c r="N24" s="344"/>
      <c r="O24" s="211">
        <f>+F24/72</f>
        <v>3.6111111111111115E-2</v>
      </c>
      <c r="P24" s="212">
        <f t="shared" ref="P24" si="13">+O24*I24</f>
        <v>3.8638888888888889E-2</v>
      </c>
      <c r="Q24" s="205">
        <f t="shared" ref="Q24:Q47" si="14">+P24*$L$4</f>
        <v>134.69516666666667</v>
      </c>
      <c r="R24" s="346">
        <f>+F24*N24</f>
        <v>0</v>
      </c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</row>
    <row r="25" spans="1:60" s="60" customFormat="1" ht="30.75" thickBot="1" x14ac:dyDescent="0.3">
      <c r="A25" s="82" t="s">
        <v>136</v>
      </c>
      <c r="B25" s="83" t="s">
        <v>139</v>
      </c>
      <c r="C25" s="84" t="s">
        <v>4</v>
      </c>
      <c r="D25" s="85" t="s">
        <v>138</v>
      </c>
      <c r="E25" s="88">
        <v>2.6</v>
      </c>
      <c r="F25" s="88">
        <f>+E25</f>
        <v>2.6</v>
      </c>
      <c r="G25" s="88" t="s">
        <v>38</v>
      </c>
      <c r="H25" s="89" t="s">
        <v>75</v>
      </c>
      <c r="I25" s="84">
        <f>(0.16+0.175+0.2)*2</f>
        <v>1.0699999999999998</v>
      </c>
      <c r="J25" s="84" t="s">
        <v>36</v>
      </c>
      <c r="K25" s="274">
        <f>+I25*L4</f>
        <v>3730.0199999999995</v>
      </c>
      <c r="L25" s="90" t="s">
        <v>38</v>
      </c>
      <c r="M25" s="343"/>
      <c r="N25" s="345"/>
      <c r="O25" s="206">
        <f>+F25/1000</f>
        <v>2.5999999999999999E-3</v>
      </c>
      <c r="P25" s="207">
        <f>+O25*I25</f>
        <v>2.7819999999999993E-3</v>
      </c>
      <c r="Q25" s="208">
        <f t="shared" si="14"/>
        <v>9.698051999999997</v>
      </c>
      <c r="R25" s="347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</row>
    <row r="26" spans="1:60" s="128" customFormat="1" ht="18.75" customHeight="1" x14ac:dyDescent="0.25">
      <c r="A26" s="329" t="s">
        <v>82</v>
      </c>
      <c r="B26" s="129" t="s">
        <v>140</v>
      </c>
      <c r="C26" s="311" t="s">
        <v>126</v>
      </c>
      <c r="D26" s="65" t="s">
        <v>81</v>
      </c>
      <c r="E26" s="63">
        <v>1.63</v>
      </c>
      <c r="F26" s="63">
        <f t="shared" ref="F26:F28" si="15">+E26*1.16</f>
        <v>1.8907999999999998</v>
      </c>
      <c r="G26" s="63" t="s">
        <v>74</v>
      </c>
      <c r="H26" s="64" t="s">
        <v>75</v>
      </c>
      <c r="I26" s="66">
        <v>1</v>
      </c>
      <c r="J26" s="66" t="s">
        <v>76</v>
      </c>
      <c r="K26" s="275">
        <v>0</v>
      </c>
      <c r="L26" s="67" t="s">
        <v>74</v>
      </c>
      <c r="M26" s="331"/>
      <c r="N26" s="248"/>
      <c r="O26" s="68">
        <v>0</v>
      </c>
      <c r="P26" s="118">
        <f t="shared" ref="P26:P30" si="16">+I26*O26</f>
        <v>0</v>
      </c>
      <c r="Q26" s="70">
        <f t="shared" si="14"/>
        <v>0</v>
      </c>
      <c r="R26" s="59">
        <f t="shared" ref="R26:R28" si="17">+F26*N26</f>
        <v>0</v>
      </c>
    </row>
    <row r="27" spans="1:60" s="128" customFormat="1" ht="18.75" customHeight="1" x14ac:dyDescent="0.25">
      <c r="A27" s="330"/>
      <c r="B27" s="129" t="s">
        <v>141</v>
      </c>
      <c r="C27" s="311" t="s">
        <v>126</v>
      </c>
      <c r="D27" s="65" t="s">
        <v>81</v>
      </c>
      <c r="E27" s="63">
        <v>1.77</v>
      </c>
      <c r="F27" s="63">
        <f t="shared" si="15"/>
        <v>2.0531999999999999</v>
      </c>
      <c r="G27" s="63" t="s">
        <v>74</v>
      </c>
      <c r="H27" s="64" t="s">
        <v>75</v>
      </c>
      <c r="I27" s="66">
        <v>1</v>
      </c>
      <c r="J27" s="66" t="s">
        <v>76</v>
      </c>
      <c r="K27" s="275">
        <f t="shared" ref="K27" si="18">+I27*$L$4</f>
        <v>3486</v>
      </c>
      <c r="L27" s="67" t="s">
        <v>74</v>
      </c>
      <c r="M27" s="331"/>
      <c r="N27" s="248"/>
      <c r="O27" s="68">
        <f>+F27</f>
        <v>2.0531999999999999</v>
      </c>
      <c r="P27" s="118">
        <f t="shared" si="16"/>
        <v>2.0531999999999999</v>
      </c>
      <c r="Q27" s="70">
        <f t="shared" si="14"/>
        <v>7157.4551999999994</v>
      </c>
      <c r="R27" s="59">
        <f t="shared" si="17"/>
        <v>0</v>
      </c>
    </row>
    <row r="28" spans="1:60" s="128" customFormat="1" ht="18.75" customHeight="1" thickBot="1" x14ac:dyDescent="0.3">
      <c r="A28" s="330"/>
      <c r="B28" s="130" t="s">
        <v>142</v>
      </c>
      <c r="C28" s="312" t="s">
        <v>126</v>
      </c>
      <c r="D28" s="76" t="s">
        <v>81</v>
      </c>
      <c r="E28" s="79">
        <v>1.89</v>
      </c>
      <c r="F28" s="79">
        <f t="shared" si="15"/>
        <v>2.1923999999999997</v>
      </c>
      <c r="G28" s="79" t="s">
        <v>74</v>
      </c>
      <c r="H28" s="80" t="s">
        <v>75</v>
      </c>
      <c r="I28" s="75">
        <v>1</v>
      </c>
      <c r="J28" s="75" t="s">
        <v>76</v>
      </c>
      <c r="K28" s="276">
        <v>0</v>
      </c>
      <c r="L28" s="81" t="s">
        <v>74</v>
      </c>
      <c r="M28" s="331"/>
      <c r="N28" s="249"/>
      <c r="O28" s="217">
        <v>0</v>
      </c>
      <c r="P28" s="218">
        <f t="shared" si="16"/>
        <v>0</v>
      </c>
      <c r="Q28" s="58">
        <f t="shared" si="14"/>
        <v>0</v>
      </c>
      <c r="R28" s="222">
        <f t="shared" si="17"/>
        <v>0</v>
      </c>
    </row>
    <row r="29" spans="1:60" s="131" customFormat="1" ht="29.25" customHeight="1" thickBot="1" x14ac:dyDescent="0.3">
      <c r="A29" s="135" t="s">
        <v>86</v>
      </c>
      <c r="B29" s="283" t="s">
        <v>155</v>
      </c>
      <c r="C29" s="84" t="s">
        <v>131</v>
      </c>
      <c r="D29" s="85" t="s">
        <v>83</v>
      </c>
      <c r="E29" s="88">
        <v>0.32</v>
      </c>
      <c r="F29" s="88">
        <f t="shared" ref="F29" si="19">+E29*1</f>
        <v>0.32</v>
      </c>
      <c r="G29" s="88" t="s">
        <v>63</v>
      </c>
      <c r="H29" s="89" t="s">
        <v>75</v>
      </c>
      <c r="I29" s="84">
        <v>2</v>
      </c>
      <c r="J29" s="84" t="s">
        <v>84</v>
      </c>
      <c r="K29" s="273">
        <f t="shared" ref="K29:K33" si="20">+I29*$L$4</f>
        <v>6972</v>
      </c>
      <c r="L29" s="122" t="s">
        <v>85</v>
      </c>
      <c r="M29" s="310"/>
      <c r="N29" s="250"/>
      <c r="O29" s="206">
        <f t="shared" ref="O29:O30" si="21">+F29</f>
        <v>0.32</v>
      </c>
      <c r="P29" s="221">
        <f t="shared" si="16"/>
        <v>0.64</v>
      </c>
      <c r="Q29" s="208">
        <f t="shared" si="14"/>
        <v>2231.04</v>
      </c>
      <c r="R29" s="209">
        <f t="shared" ref="R29:R33" si="22">+F29*N29</f>
        <v>0</v>
      </c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</row>
    <row r="30" spans="1:60" s="131" customFormat="1" ht="31.5" customHeight="1" thickBot="1" x14ac:dyDescent="0.3">
      <c r="A30" s="117" t="s">
        <v>87</v>
      </c>
      <c r="B30" s="83" t="s">
        <v>159</v>
      </c>
      <c r="C30" s="121" t="s">
        <v>88</v>
      </c>
      <c r="D30" s="85" t="s">
        <v>83</v>
      </c>
      <c r="E30" s="88">
        <v>0.46</v>
      </c>
      <c r="F30" s="88">
        <f>+E30*1</f>
        <v>0.46</v>
      </c>
      <c r="G30" s="88" t="s">
        <v>89</v>
      </c>
      <c r="H30" s="89" t="s">
        <v>75</v>
      </c>
      <c r="I30" s="84">
        <v>2</v>
      </c>
      <c r="J30" s="84" t="s">
        <v>84</v>
      </c>
      <c r="K30" s="273">
        <f>+I30*L4</f>
        <v>6972</v>
      </c>
      <c r="L30" s="122" t="s">
        <v>85</v>
      </c>
      <c r="M30" s="310"/>
      <c r="N30" s="250"/>
      <c r="O30" s="206">
        <f t="shared" si="21"/>
        <v>0.46</v>
      </c>
      <c r="P30" s="221">
        <f t="shared" si="16"/>
        <v>0.92</v>
      </c>
      <c r="Q30" s="208">
        <f t="shared" si="14"/>
        <v>3207.1200000000003</v>
      </c>
      <c r="R30" s="209">
        <f t="shared" si="22"/>
        <v>0</v>
      </c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</row>
    <row r="31" spans="1:60" s="134" customFormat="1" ht="15" customHeight="1" thickBot="1" x14ac:dyDescent="0.3">
      <c r="A31" s="132" t="s">
        <v>90</v>
      </c>
      <c r="B31" s="97" t="s">
        <v>160</v>
      </c>
      <c r="C31" s="99" t="s">
        <v>168</v>
      </c>
      <c r="D31" s="99" t="s">
        <v>161</v>
      </c>
      <c r="E31" s="102">
        <v>9.07</v>
      </c>
      <c r="F31" s="102">
        <f>+E31*1</f>
        <v>9.07</v>
      </c>
      <c r="G31" s="102" t="s">
        <v>63</v>
      </c>
      <c r="H31" s="103" t="s">
        <v>75</v>
      </c>
      <c r="I31" s="99">
        <v>1</v>
      </c>
      <c r="J31" s="99" t="s">
        <v>84</v>
      </c>
      <c r="K31" s="277">
        <f>+L4</f>
        <v>3486</v>
      </c>
      <c r="L31" s="133" t="s">
        <v>85</v>
      </c>
      <c r="M31" s="244"/>
      <c r="N31" s="244"/>
      <c r="O31" s="206">
        <f>+F31</f>
        <v>9.07</v>
      </c>
      <c r="P31" s="221">
        <f>+O31</f>
        <v>9.07</v>
      </c>
      <c r="Q31" s="208">
        <f t="shared" si="14"/>
        <v>31618.02</v>
      </c>
      <c r="R31" s="209">
        <f t="shared" si="22"/>
        <v>0</v>
      </c>
    </row>
    <row r="32" spans="1:60" s="134" customFormat="1" ht="15" customHeight="1" thickBot="1" x14ac:dyDescent="0.3">
      <c r="A32" s="135" t="s">
        <v>91</v>
      </c>
      <c r="B32" s="135" t="s">
        <v>93</v>
      </c>
      <c r="C32" s="284" t="s">
        <v>4</v>
      </c>
      <c r="D32" s="85" t="s">
        <v>94</v>
      </c>
      <c r="E32" s="88">
        <v>0.34300000000000003</v>
      </c>
      <c r="F32" s="136">
        <f>+E32</f>
        <v>0.34300000000000003</v>
      </c>
      <c r="G32" s="88" t="s">
        <v>80</v>
      </c>
      <c r="H32" s="89" t="s">
        <v>75</v>
      </c>
      <c r="I32" s="85">
        <v>1</v>
      </c>
      <c r="J32" s="85" t="s">
        <v>84</v>
      </c>
      <c r="K32" s="278">
        <f t="shared" si="20"/>
        <v>3486</v>
      </c>
      <c r="L32" s="137" t="s">
        <v>85</v>
      </c>
      <c r="M32" s="267"/>
      <c r="N32" s="246"/>
      <c r="O32" s="206">
        <f>+F32/1000</f>
        <v>3.4300000000000004E-4</v>
      </c>
      <c r="P32" s="221">
        <f>+O32</f>
        <v>3.4300000000000004E-4</v>
      </c>
      <c r="Q32" s="208">
        <f t="shared" si="14"/>
        <v>1.1956980000000001</v>
      </c>
      <c r="R32" s="209">
        <f t="shared" si="22"/>
        <v>0</v>
      </c>
    </row>
    <row r="33" spans="1:60" s="134" customFormat="1" ht="15" customHeight="1" thickBot="1" x14ac:dyDescent="0.3">
      <c r="A33" s="138" t="s">
        <v>92</v>
      </c>
      <c r="B33" s="124" t="s">
        <v>93</v>
      </c>
      <c r="C33" s="125" t="s">
        <v>4</v>
      </c>
      <c r="D33" s="48" t="s">
        <v>94</v>
      </c>
      <c r="E33" s="126">
        <v>0.152</v>
      </c>
      <c r="F33" s="139">
        <v>0.152</v>
      </c>
      <c r="G33" s="126" t="s">
        <v>80</v>
      </c>
      <c r="H33" s="127" t="s">
        <v>75</v>
      </c>
      <c r="I33" s="125">
        <v>4</v>
      </c>
      <c r="J33" s="125" t="s">
        <v>84</v>
      </c>
      <c r="K33" s="279">
        <f t="shared" si="20"/>
        <v>13944</v>
      </c>
      <c r="L33" s="140" t="s">
        <v>85</v>
      </c>
      <c r="M33" s="268"/>
      <c r="N33" s="266"/>
      <c r="O33" s="114">
        <f>+F33</f>
        <v>0.152</v>
      </c>
      <c r="P33" s="227">
        <f>+I33*O33</f>
        <v>0.60799999999999998</v>
      </c>
      <c r="Q33" s="116">
        <f t="shared" si="14"/>
        <v>2119.4879999999998</v>
      </c>
      <c r="R33" s="210">
        <f t="shared" si="22"/>
        <v>0</v>
      </c>
    </row>
    <row r="34" spans="1:60" s="152" customFormat="1" ht="30.75" customHeight="1" x14ac:dyDescent="0.25">
      <c r="A34" s="141" t="str">
        <f>+A29</f>
        <v>TRANSFER PLANTILLA</v>
      </c>
      <c r="B34" s="142" t="str">
        <f>+B29</f>
        <v>REFIL</v>
      </c>
      <c r="C34" s="143" t="str">
        <f>+C29</f>
        <v>NEGRO</v>
      </c>
      <c r="D34" s="143"/>
      <c r="E34" s="144"/>
      <c r="F34" s="144"/>
      <c r="G34" s="144"/>
      <c r="H34" s="145"/>
      <c r="I34" s="143"/>
      <c r="J34" s="143"/>
      <c r="K34" s="146"/>
      <c r="L34" s="147"/>
      <c r="M34" s="251"/>
      <c r="N34" s="251"/>
      <c r="O34" s="223">
        <v>0</v>
      </c>
      <c r="P34" s="224">
        <f t="shared" ref="P34:P47" si="23">+I34*O34</f>
        <v>0</v>
      </c>
      <c r="Q34" s="225">
        <f t="shared" si="14"/>
        <v>0</v>
      </c>
      <c r="R34" s="226">
        <v>0</v>
      </c>
    </row>
    <row r="35" spans="1:60" s="152" customFormat="1" ht="15.75" thickBot="1" x14ac:dyDescent="0.3">
      <c r="A35" s="153" t="s">
        <v>95</v>
      </c>
      <c r="B35" s="154" t="str">
        <f>+B30</f>
        <v>NOM 020 888924</v>
      </c>
      <c r="C35" s="155" t="s">
        <v>96</v>
      </c>
      <c r="D35" s="156" t="s">
        <v>97</v>
      </c>
      <c r="E35" s="157" t="s">
        <v>98</v>
      </c>
      <c r="F35" s="157" t="s">
        <v>99</v>
      </c>
      <c r="G35" s="157"/>
      <c r="H35" s="158"/>
      <c r="I35" s="155"/>
      <c r="J35" s="159"/>
      <c r="K35" s="160"/>
      <c r="L35" s="161"/>
      <c r="M35" s="252"/>
      <c r="N35" s="252"/>
      <c r="O35" s="148">
        <v>0</v>
      </c>
      <c r="P35" s="149">
        <v>0</v>
      </c>
      <c r="Q35" s="150">
        <f t="shared" si="14"/>
        <v>0</v>
      </c>
      <c r="R35" s="151">
        <v>0</v>
      </c>
    </row>
    <row r="36" spans="1:60" s="152" customFormat="1" ht="15.75" thickBot="1" x14ac:dyDescent="0.3">
      <c r="A36" s="153" t="s">
        <v>100</v>
      </c>
      <c r="B36" s="154" t="s">
        <v>145</v>
      </c>
      <c r="C36" s="159"/>
      <c r="D36" s="159"/>
      <c r="E36" s="157"/>
      <c r="F36" s="157"/>
      <c r="G36" s="157"/>
      <c r="H36" s="158"/>
      <c r="I36" s="159"/>
      <c r="J36" s="159"/>
      <c r="K36" s="160"/>
      <c r="L36" s="161"/>
      <c r="M36" s="252"/>
      <c r="N36" s="252"/>
      <c r="O36" s="148">
        <v>0</v>
      </c>
      <c r="P36" s="149">
        <f t="shared" si="23"/>
        <v>0</v>
      </c>
      <c r="Q36" s="150">
        <f t="shared" si="14"/>
        <v>0</v>
      </c>
      <c r="R36" s="151">
        <v>0</v>
      </c>
    </row>
    <row r="37" spans="1:60" s="152" customFormat="1" ht="15.75" thickBot="1" x14ac:dyDescent="0.3">
      <c r="A37" s="153" t="s">
        <v>101</v>
      </c>
      <c r="B37" s="154" t="s">
        <v>4</v>
      </c>
      <c r="C37" s="155">
        <v>1</v>
      </c>
      <c r="D37" s="155" t="s">
        <v>102</v>
      </c>
      <c r="E37" s="157"/>
      <c r="F37" s="157" t="s">
        <v>143</v>
      </c>
      <c r="G37" s="157"/>
      <c r="H37" s="158"/>
      <c r="I37" s="155"/>
      <c r="J37" s="159"/>
      <c r="K37" s="160"/>
      <c r="L37" s="161"/>
      <c r="M37" s="252"/>
      <c r="N37" s="252"/>
      <c r="O37" s="148">
        <v>0</v>
      </c>
      <c r="P37" s="149">
        <f t="shared" si="23"/>
        <v>0</v>
      </c>
      <c r="Q37" s="150">
        <f t="shared" si="14"/>
        <v>0</v>
      </c>
      <c r="R37" s="151">
        <v>0</v>
      </c>
    </row>
    <row r="38" spans="1:60" s="152" customFormat="1" ht="15.75" thickBot="1" x14ac:dyDescent="0.3">
      <c r="A38" s="153" t="s">
        <v>103</v>
      </c>
      <c r="B38" s="154" t="s">
        <v>4</v>
      </c>
      <c r="C38" s="155">
        <v>1</v>
      </c>
      <c r="D38" s="155" t="s">
        <v>102</v>
      </c>
      <c r="E38" s="157"/>
      <c r="F38" s="157"/>
      <c r="G38" s="157"/>
      <c r="H38" s="158"/>
      <c r="I38" s="159"/>
      <c r="J38" s="159"/>
      <c r="K38" s="160"/>
      <c r="L38" s="161"/>
      <c r="M38" s="252"/>
      <c r="N38" s="252"/>
      <c r="O38" s="148">
        <v>0</v>
      </c>
      <c r="P38" s="149">
        <f t="shared" si="23"/>
        <v>0</v>
      </c>
      <c r="Q38" s="150">
        <f t="shared" si="14"/>
        <v>0</v>
      </c>
      <c r="R38" s="151">
        <v>0</v>
      </c>
    </row>
    <row r="39" spans="1:60" x14ac:dyDescent="0.25">
      <c r="A39" s="162"/>
      <c r="B39" s="163"/>
      <c r="C39" s="163"/>
      <c r="D39" s="163"/>
      <c r="E39" s="163"/>
      <c r="F39" s="163"/>
      <c r="G39" s="163"/>
      <c r="H39" s="163"/>
      <c r="I39" s="163"/>
      <c r="J39" s="163"/>
      <c r="K39" s="163"/>
      <c r="L39" s="163"/>
      <c r="M39" s="253"/>
      <c r="N39" s="254"/>
      <c r="O39" s="148">
        <v>0</v>
      </c>
      <c r="P39" s="149">
        <f t="shared" si="23"/>
        <v>0</v>
      </c>
      <c r="Q39" s="150">
        <f t="shared" si="14"/>
        <v>0</v>
      </c>
      <c r="R39" s="151">
        <v>0</v>
      </c>
    </row>
    <row r="40" spans="1:60" x14ac:dyDescent="0.25">
      <c r="A40" s="164"/>
      <c r="B40" s="1"/>
      <c r="C40" s="28" t="s">
        <v>151</v>
      </c>
      <c r="F40" s="28"/>
      <c r="G40" s="1"/>
      <c r="H40" s="1"/>
      <c r="I40" s="27"/>
      <c r="J40" s="28" t="s">
        <v>150</v>
      </c>
      <c r="K40" s="1"/>
      <c r="L40" s="296" t="s">
        <v>104</v>
      </c>
      <c r="M40" s="239"/>
      <c r="N40" s="255"/>
      <c r="O40" s="148">
        <v>0</v>
      </c>
      <c r="P40" s="149">
        <f t="shared" si="23"/>
        <v>0</v>
      </c>
      <c r="Q40" s="150">
        <f t="shared" si="14"/>
        <v>0</v>
      </c>
      <c r="R40" s="151">
        <v>0</v>
      </c>
    </row>
    <row r="41" spans="1:60" x14ac:dyDescent="0.25">
      <c r="A41" s="164"/>
      <c r="B41" s="1"/>
      <c r="C41" s="1"/>
      <c r="D41" s="1"/>
      <c r="E41" s="1"/>
      <c r="F41" s="1"/>
      <c r="G41" s="1"/>
      <c r="H41" s="1"/>
      <c r="I41" s="27"/>
      <c r="J41" s="1"/>
      <c r="K41" s="1"/>
      <c r="L41" s="1"/>
      <c r="M41" s="239"/>
      <c r="N41" s="255"/>
      <c r="O41" s="148">
        <v>0</v>
      </c>
      <c r="P41" s="149">
        <f t="shared" si="23"/>
        <v>0</v>
      </c>
      <c r="Q41" s="150">
        <f t="shared" si="14"/>
        <v>0</v>
      </c>
      <c r="R41" s="151">
        <v>0</v>
      </c>
    </row>
    <row r="42" spans="1:60" x14ac:dyDescent="0.25">
      <c r="A42" s="164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239"/>
      <c r="N42" s="255"/>
      <c r="O42" s="148">
        <v>0</v>
      </c>
      <c r="P42" s="149">
        <f t="shared" si="23"/>
        <v>0</v>
      </c>
      <c r="Q42" s="150">
        <f t="shared" si="14"/>
        <v>0</v>
      </c>
      <c r="R42" s="151">
        <v>0</v>
      </c>
    </row>
    <row r="43" spans="1:60" ht="54.75" customHeight="1" x14ac:dyDescent="0.25">
      <c r="A43" s="164"/>
      <c r="B43" s="1"/>
      <c r="C43" s="1"/>
      <c r="D43" s="1"/>
      <c r="E43" s="1"/>
      <c r="F43" s="1"/>
      <c r="G43" s="1"/>
      <c r="H43" s="1"/>
      <c r="I43" s="27"/>
      <c r="K43" s="1"/>
      <c r="L43" s="1"/>
      <c r="M43" s="239"/>
      <c r="N43" s="255"/>
      <c r="O43" s="285">
        <v>0</v>
      </c>
      <c r="P43" s="286">
        <f t="shared" si="23"/>
        <v>0</v>
      </c>
      <c r="Q43" s="287">
        <f t="shared" si="14"/>
        <v>0</v>
      </c>
      <c r="R43" s="288">
        <v>0</v>
      </c>
    </row>
    <row r="44" spans="1:60" s="166" customFormat="1" ht="42" customHeight="1" x14ac:dyDescent="0.25">
      <c r="A44" s="164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239"/>
      <c r="N44" s="255"/>
      <c r="O44" s="285">
        <v>0</v>
      </c>
      <c r="P44" s="286">
        <f t="shared" si="23"/>
        <v>0</v>
      </c>
      <c r="Q44" s="287">
        <f t="shared" si="14"/>
        <v>0</v>
      </c>
      <c r="R44" s="288">
        <v>0</v>
      </c>
      <c r="S44" s="165"/>
      <c r="T44" s="165"/>
      <c r="U44" s="165"/>
      <c r="V44" s="165"/>
      <c r="W44" s="165"/>
      <c r="X44" s="165"/>
      <c r="Y44" s="165"/>
      <c r="Z44" s="165"/>
      <c r="AA44" s="165"/>
      <c r="AB44" s="165"/>
      <c r="AC44" s="165"/>
      <c r="AD44" s="165"/>
      <c r="AE44" s="165"/>
      <c r="AF44" s="165"/>
      <c r="AG44" s="165"/>
      <c r="AH44" s="165"/>
      <c r="AI44" s="165"/>
      <c r="AJ44" s="165"/>
      <c r="AK44" s="165"/>
      <c r="AL44" s="165"/>
      <c r="AM44" s="165"/>
      <c r="AN44" s="165"/>
      <c r="AO44" s="165"/>
      <c r="AP44" s="165"/>
      <c r="AQ44" s="165"/>
      <c r="AR44" s="165"/>
      <c r="AS44" s="165"/>
      <c r="AT44" s="165"/>
      <c r="AU44" s="165"/>
      <c r="AV44" s="165"/>
      <c r="AW44" s="165"/>
      <c r="AX44" s="165"/>
      <c r="AY44" s="165"/>
      <c r="AZ44" s="165"/>
      <c r="BA44" s="165"/>
      <c r="BB44" s="165"/>
      <c r="BC44" s="165"/>
      <c r="BD44" s="165"/>
      <c r="BE44" s="165"/>
      <c r="BF44" s="165"/>
      <c r="BG44" s="165"/>
      <c r="BH44" s="165"/>
    </row>
    <row r="45" spans="1:60" s="166" customFormat="1" ht="27" customHeight="1" x14ac:dyDescent="0.25">
      <c r="A45" s="164"/>
      <c r="B45" s="1"/>
      <c r="C45" s="167"/>
      <c r="D45" s="1"/>
      <c r="E45" s="1"/>
      <c r="F45" s="1"/>
      <c r="G45" s="1"/>
      <c r="H45" s="1"/>
      <c r="I45" s="1"/>
      <c r="J45" s="1"/>
      <c r="K45" s="1"/>
      <c r="L45" s="1"/>
      <c r="M45" s="239"/>
      <c r="N45" s="255"/>
      <c r="O45" s="285">
        <v>0</v>
      </c>
      <c r="P45" s="286">
        <f t="shared" si="23"/>
        <v>0</v>
      </c>
      <c r="Q45" s="287">
        <f t="shared" si="14"/>
        <v>0</v>
      </c>
      <c r="R45" s="288">
        <v>0</v>
      </c>
      <c r="S45" s="165"/>
      <c r="T45" s="165"/>
      <c r="U45" s="165"/>
      <c r="V45" s="165"/>
      <c r="W45" s="165"/>
      <c r="X45" s="165"/>
      <c r="Y45" s="165"/>
      <c r="Z45" s="165"/>
      <c r="AA45" s="165"/>
      <c r="AB45" s="165"/>
      <c r="AC45" s="165"/>
      <c r="AD45" s="165"/>
      <c r="AE45" s="165"/>
      <c r="AF45" s="165"/>
      <c r="AG45" s="165"/>
      <c r="AH45" s="165"/>
      <c r="AI45" s="165"/>
      <c r="AJ45" s="165"/>
      <c r="AK45" s="165"/>
      <c r="AL45" s="165"/>
      <c r="AM45" s="165"/>
      <c r="AN45" s="165"/>
      <c r="AO45" s="165"/>
      <c r="AP45" s="165"/>
      <c r="AQ45" s="165"/>
      <c r="AR45" s="165"/>
      <c r="AS45" s="165"/>
      <c r="AT45" s="165"/>
      <c r="AU45" s="165"/>
      <c r="AV45" s="165"/>
      <c r="AW45" s="165"/>
      <c r="AX45" s="165"/>
      <c r="AY45" s="165"/>
      <c r="AZ45" s="165"/>
      <c r="BA45" s="165"/>
      <c r="BB45" s="165"/>
      <c r="BC45" s="165"/>
      <c r="BD45" s="165"/>
      <c r="BE45" s="165"/>
      <c r="BF45" s="165"/>
      <c r="BG45" s="165"/>
      <c r="BH45" s="165"/>
    </row>
    <row r="46" spans="1:60" s="166" customFormat="1" ht="34.5" customHeight="1" x14ac:dyDescent="0.25">
      <c r="A46" s="168" t="s">
        <v>144</v>
      </c>
      <c r="B46" s="169"/>
      <c r="C46" s="169"/>
      <c r="D46" s="1"/>
      <c r="E46" s="1"/>
      <c r="F46" s="1"/>
      <c r="G46" s="1"/>
      <c r="H46" s="1"/>
      <c r="I46" s="1"/>
      <c r="J46" s="1"/>
      <c r="K46" s="1"/>
      <c r="L46" s="1"/>
      <c r="M46" s="239"/>
      <c r="N46" s="255"/>
      <c r="O46" s="285">
        <v>0</v>
      </c>
      <c r="P46" s="286">
        <f t="shared" si="23"/>
        <v>0</v>
      </c>
      <c r="Q46" s="287">
        <f t="shared" si="14"/>
        <v>0</v>
      </c>
      <c r="R46" s="288">
        <v>0</v>
      </c>
      <c r="S46" s="165"/>
      <c r="T46" s="165"/>
      <c r="U46" s="165"/>
      <c r="V46" s="165"/>
      <c r="W46" s="165"/>
      <c r="X46" s="165"/>
      <c r="Y46" s="165"/>
      <c r="Z46" s="165"/>
      <c r="AA46" s="165"/>
      <c r="AB46" s="165"/>
      <c r="AC46" s="165"/>
      <c r="AD46" s="165"/>
      <c r="AE46" s="165"/>
      <c r="AF46" s="165"/>
      <c r="AG46" s="165"/>
      <c r="AH46" s="165"/>
      <c r="AI46" s="165"/>
      <c r="AJ46" s="165"/>
      <c r="AK46" s="165"/>
      <c r="AL46" s="165"/>
      <c r="AM46" s="165"/>
      <c r="AN46" s="165"/>
      <c r="AO46" s="165"/>
      <c r="AP46" s="165"/>
      <c r="AQ46" s="165"/>
      <c r="AR46" s="165"/>
      <c r="AS46" s="165"/>
      <c r="AT46" s="165"/>
      <c r="AU46" s="165"/>
      <c r="AV46" s="165"/>
      <c r="AW46" s="165"/>
      <c r="AX46" s="165"/>
      <c r="AY46" s="165"/>
      <c r="AZ46" s="165"/>
      <c r="BA46" s="165"/>
      <c r="BB46" s="165"/>
      <c r="BC46" s="165"/>
      <c r="BD46" s="165"/>
      <c r="BE46" s="165"/>
      <c r="BF46" s="165"/>
      <c r="BG46" s="165"/>
      <c r="BH46" s="165"/>
    </row>
    <row r="47" spans="1:60" s="166" customFormat="1" ht="15.75" thickBot="1" x14ac:dyDescent="0.3">
      <c r="A47" s="170"/>
      <c r="B47" s="171"/>
      <c r="C47" s="172"/>
      <c r="D47" s="171"/>
      <c r="E47" s="171"/>
      <c r="F47" s="171"/>
      <c r="G47" s="171"/>
      <c r="H47" s="171"/>
      <c r="I47" s="171"/>
      <c r="J47" s="171"/>
      <c r="K47" s="171"/>
      <c r="L47" s="171"/>
      <c r="M47" s="256"/>
      <c r="N47" s="257"/>
      <c r="O47" s="289">
        <v>0</v>
      </c>
      <c r="P47" s="290">
        <f t="shared" si="23"/>
        <v>0</v>
      </c>
      <c r="Q47" s="291">
        <f t="shared" si="14"/>
        <v>0</v>
      </c>
      <c r="R47" s="292">
        <v>0</v>
      </c>
      <c r="S47" s="165"/>
      <c r="T47" s="165"/>
      <c r="U47" s="165"/>
      <c r="V47" s="165"/>
      <c r="W47" s="165"/>
      <c r="X47" s="165"/>
      <c r="Y47" s="165"/>
      <c r="Z47" s="165"/>
      <c r="AA47" s="165"/>
      <c r="AB47" s="165"/>
      <c r="AC47" s="165"/>
      <c r="AD47" s="165"/>
      <c r="AE47" s="165"/>
      <c r="AF47" s="165"/>
      <c r="AG47" s="165"/>
      <c r="AH47" s="165"/>
      <c r="AI47" s="165"/>
      <c r="AJ47" s="165"/>
      <c r="AK47" s="165"/>
      <c r="AL47" s="165"/>
      <c r="AM47" s="165"/>
      <c r="AN47" s="165"/>
      <c r="AO47" s="165"/>
      <c r="AP47" s="165"/>
      <c r="AQ47" s="165"/>
      <c r="AR47" s="165"/>
      <c r="AS47" s="165"/>
      <c r="AT47" s="165"/>
      <c r="AU47" s="165"/>
      <c r="AV47" s="165"/>
      <c r="AW47" s="165"/>
      <c r="AX47" s="165"/>
      <c r="AY47" s="165"/>
      <c r="AZ47" s="165"/>
      <c r="BA47" s="165"/>
      <c r="BB47" s="165"/>
      <c r="BC47" s="165"/>
      <c r="BD47" s="165"/>
      <c r="BE47" s="165"/>
      <c r="BF47" s="165"/>
      <c r="BG47" s="165"/>
      <c r="BH47" s="165"/>
    </row>
    <row r="48" spans="1:60" ht="15.75" thickBot="1" x14ac:dyDescent="0.3">
      <c r="J48" s="173"/>
      <c r="K48" s="174"/>
      <c r="L48" s="174"/>
      <c r="M48" s="258"/>
      <c r="N48" s="259" t="s">
        <v>105</v>
      </c>
      <c r="O48" s="175"/>
      <c r="P48" s="235">
        <f>SUM(P10:P47)</f>
        <v>68.602846158298306</v>
      </c>
      <c r="Q48" s="235">
        <f>SUM(Q10:Q47)</f>
        <v>239149.52170782787</v>
      </c>
      <c r="R48" s="236">
        <f>SUM(R10:R47)</f>
        <v>6737.2800000000007</v>
      </c>
      <c r="S48" s="228"/>
      <c r="T48" s="308"/>
      <c r="U48" s="319"/>
    </row>
    <row r="49" spans="10:22" ht="15.75" thickBot="1" x14ac:dyDescent="0.3">
      <c r="J49" s="176">
        <v>178</v>
      </c>
      <c r="K49" s="177"/>
      <c r="L49" s="178"/>
      <c r="M49" s="260" t="s">
        <v>106</v>
      </c>
      <c r="N49" s="261" t="s">
        <v>107</v>
      </c>
      <c r="O49" s="175"/>
      <c r="P49" s="175">
        <f>+O49/L4</f>
        <v>0</v>
      </c>
      <c r="Q49" s="179">
        <f>+P49*$L$4</f>
        <v>0</v>
      </c>
      <c r="R49" s="179">
        <f>+O49</f>
        <v>0</v>
      </c>
    </row>
    <row r="50" spans="10:22" x14ac:dyDescent="0.25">
      <c r="J50" s="180"/>
      <c r="K50" s="181"/>
      <c r="L50" s="182"/>
      <c r="M50" s="262" t="s">
        <v>108</v>
      </c>
      <c r="N50" s="263" t="s">
        <v>109</v>
      </c>
      <c r="O50" s="175"/>
      <c r="P50" s="175">
        <f>+O50/L4</f>
        <v>0</v>
      </c>
      <c r="Q50" s="179">
        <f t="shared" ref="Q50:Q56" si="24">+P50*$L$4</f>
        <v>0</v>
      </c>
      <c r="R50" s="179">
        <v>0</v>
      </c>
    </row>
    <row r="51" spans="10:22" x14ac:dyDescent="0.25">
      <c r="J51" s="180"/>
      <c r="K51" s="181"/>
      <c r="L51" s="182"/>
      <c r="M51" s="262" t="s">
        <v>110</v>
      </c>
      <c r="N51" s="264" t="s">
        <v>111</v>
      </c>
      <c r="O51" s="175">
        <v>0</v>
      </c>
      <c r="P51" s="175">
        <v>0</v>
      </c>
      <c r="Q51" s="179">
        <f t="shared" si="24"/>
        <v>0</v>
      </c>
      <c r="R51" s="179">
        <v>0</v>
      </c>
    </row>
    <row r="52" spans="10:22" x14ac:dyDescent="0.25">
      <c r="J52" s="180"/>
      <c r="K52" s="181"/>
      <c r="L52" s="182"/>
      <c r="M52" s="262" t="s">
        <v>112</v>
      </c>
      <c r="N52" s="264" t="s">
        <v>113</v>
      </c>
      <c r="O52" s="175">
        <v>0</v>
      </c>
      <c r="P52" s="175">
        <f>+O52/1900</f>
        <v>0</v>
      </c>
      <c r="Q52" s="179">
        <f t="shared" si="24"/>
        <v>0</v>
      </c>
      <c r="R52" s="179">
        <v>0</v>
      </c>
    </row>
    <row r="53" spans="10:22" x14ac:dyDescent="0.25">
      <c r="J53" s="180"/>
      <c r="K53" s="181"/>
      <c r="L53" s="182"/>
      <c r="M53" s="262" t="s">
        <v>112</v>
      </c>
      <c r="N53" s="264" t="s">
        <v>114</v>
      </c>
      <c r="O53" s="175">
        <v>0</v>
      </c>
      <c r="P53" s="175">
        <f>+O53/1900</f>
        <v>0</v>
      </c>
      <c r="Q53" s="179">
        <f t="shared" si="24"/>
        <v>0</v>
      </c>
      <c r="R53" s="179">
        <v>0</v>
      </c>
      <c r="V53" s="166"/>
    </row>
    <row r="54" spans="10:22" x14ac:dyDescent="0.25">
      <c r="J54" s="180"/>
      <c r="K54" s="181"/>
      <c r="L54" s="182"/>
      <c r="M54" s="262" t="s">
        <v>112</v>
      </c>
      <c r="N54" s="264" t="s">
        <v>115</v>
      </c>
      <c r="O54" s="175">
        <v>0</v>
      </c>
      <c r="P54" s="175">
        <f t="shared" ref="P54" si="25">+O54</f>
        <v>0</v>
      </c>
      <c r="Q54" s="179">
        <f t="shared" si="24"/>
        <v>0</v>
      </c>
      <c r="R54" s="179">
        <v>0</v>
      </c>
      <c r="V54" s="166"/>
    </row>
    <row r="55" spans="10:22" ht="15.75" thickBot="1" x14ac:dyDescent="0.3">
      <c r="J55" s="183"/>
      <c r="K55" s="184"/>
      <c r="L55" s="185"/>
      <c r="M55" s="265" t="s">
        <v>112</v>
      </c>
      <c r="N55" s="245" t="s">
        <v>111</v>
      </c>
      <c r="O55" s="175">
        <v>0</v>
      </c>
      <c r="P55" s="175">
        <v>0</v>
      </c>
      <c r="Q55" s="179">
        <f t="shared" si="24"/>
        <v>0</v>
      </c>
      <c r="R55" s="179">
        <v>0</v>
      </c>
      <c r="V55" s="166"/>
    </row>
    <row r="56" spans="10:22" x14ac:dyDescent="0.25">
      <c r="J56" s="182"/>
      <c r="K56" s="182"/>
      <c r="L56" s="182"/>
      <c r="M56" s="262">
        <f>25.78*1.16</f>
        <v>29.904799999999998</v>
      </c>
      <c r="P56" s="186">
        <f>SUM(P48:P55)-P52-P53</f>
        <v>68.602846158298306</v>
      </c>
      <c r="Q56" s="237">
        <f t="shared" si="24"/>
        <v>239149.52170782789</v>
      </c>
      <c r="R56" s="238">
        <f>+R48+R49</f>
        <v>6737.2800000000007</v>
      </c>
      <c r="T56" s="228"/>
      <c r="V56" s="166"/>
    </row>
    <row r="57" spans="10:22" ht="15.75" x14ac:dyDescent="0.25">
      <c r="J57" s="182"/>
      <c r="K57" s="182"/>
      <c r="L57" s="182"/>
      <c r="O57" s="187" t="s">
        <v>116</v>
      </c>
      <c r="P57" s="188">
        <v>36</v>
      </c>
      <c r="S57" s="166"/>
      <c r="T57" s="166"/>
      <c r="V57" s="166"/>
    </row>
    <row r="58" spans="10:22" ht="15.75" x14ac:dyDescent="0.25">
      <c r="J58" s="182"/>
      <c r="K58" s="182"/>
      <c r="L58" s="182"/>
      <c r="O58" s="187" t="s">
        <v>117</v>
      </c>
      <c r="P58" s="189">
        <v>30</v>
      </c>
      <c r="V58" s="166"/>
    </row>
    <row r="59" spans="10:22" ht="16.5" thickBot="1" x14ac:dyDescent="0.3">
      <c r="O59" s="187"/>
      <c r="P59" s="186">
        <f>SUM(P56:P58)</f>
        <v>134.60284615829829</v>
      </c>
      <c r="V59" s="228"/>
    </row>
    <row r="60" spans="10:22" ht="16.5" thickBot="1" x14ac:dyDescent="0.3">
      <c r="O60" s="190" t="s">
        <v>118</v>
      </c>
      <c r="P60" s="191">
        <f>+J49</f>
        <v>178</v>
      </c>
    </row>
    <row r="61" spans="10:22" ht="15.75" x14ac:dyDescent="0.25">
      <c r="O61" s="187" t="s">
        <v>119</v>
      </c>
      <c r="P61" s="192">
        <f>+P60-P59</f>
        <v>43.397153841701709</v>
      </c>
      <c r="S61" s="166">
        <f>+S60/5683</f>
        <v>0</v>
      </c>
    </row>
    <row r="63" spans="10:22" x14ac:dyDescent="0.25">
      <c r="P63">
        <f>+P60*1.12</f>
        <v>199.36</v>
      </c>
    </row>
    <row r="64" spans="10:22" x14ac:dyDescent="0.25">
      <c r="O64" s="152" t="s">
        <v>119</v>
      </c>
      <c r="P64" s="228">
        <f>+P63-P59</f>
        <v>64.757153841701722</v>
      </c>
    </row>
  </sheetData>
  <mergeCells count="11">
    <mergeCell ref="A26:A28"/>
    <mergeCell ref="M26:M28"/>
    <mergeCell ref="C3:D3"/>
    <mergeCell ref="O3:R3"/>
    <mergeCell ref="C4:D4"/>
    <mergeCell ref="M11:M15"/>
    <mergeCell ref="N11:N15"/>
    <mergeCell ref="R11:R15"/>
    <mergeCell ref="M24:M25"/>
    <mergeCell ref="N24:N25"/>
    <mergeCell ref="R24:R25"/>
  </mergeCells>
  <printOptions horizontalCentered="1"/>
  <pageMargins left="0" right="0" top="0" bottom="0" header="0" footer="0"/>
  <pageSetup scale="49" orientation="portrait" r:id="rId1"/>
  <ignoredErrors>
    <ignoredError sqref="K31 Q48 O21 O32 K20 F22 R18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7B7AD-81FA-4439-84EB-716DA1CEDD47}">
  <sheetPr>
    <pageSetUpPr fitToPage="1"/>
  </sheetPr>
  <dimension ref="A1:BH64"/>
  <sheetViews>
    <sheetView zoomScale="90" zoomScaleNormal="90" workbookViewId="0">
      <pane ySplit="9" topLeftCell="A10" activePane="bottomLeft" state="frozen"/>
      <selection pane="bottomLeft" activeCell="B10" sqref="B10"/>
    </sheetView>
  </sheetViews>
  <sheetFormatPr baseColWidth="10" defaultRowHeight="15" x14ac:dyDescent="0.25"/>
  <cols>
    <col min="1" max="1" width="17.7109375" customWidth="1"/>
    <col min="2" max="2" width="25.85546875" customWidth="1"/>
    <col min="3" max="3" width="20" customWidth="1"/>
    <col min="4" max="4" width="16.42578125" customWidth="1"/>
    <col min="5" max="5" width="13.28515625" customWidth="1"/>
    <col min="6" max="6" width="10.5703125" customWidth="1"/>
    <col min="7" max="7" width="9.28515625" customWidth="1"/>
    <col min="8" max="8" width="8" customWidth="1"/>
    <col min="9" max="9" width="12.140625" customWidth="1"/>
    <col min="10" max="10" width="10.7109375" customWidth="1"/>
    <col min="11" max="11" width="16.140625" customWidth="1"/>
    <col min="12" max="12" width="20.85546875" customWidth="1"/>
    <col min="13" max="14" width="11.42578125" style="262" customWidth="1"/>
    <col min="15" max="15" width="13.42578125" customWidth="1"/>
    <col min="16" max="16" width="16.7109375" customWidth="1"/>
    <col min="17" max="17" width="14.42578125" bestFit="1" customWidth="1"/>
    <col min="18" max="20" width="13.28515625" bestFit="1" customWidth="1"/>
    <col min="22" max="22" width="13.28515625" bestFit="1" customWidth="1"/>
  </cols>
  <sheetData>
    <row r="1" spans="1:60" x14ac:dyDescent="0.25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239"/>
      <c r="N1" s="239"/>
      <c r="O1" s="3"/>
      <c r="P1" s="3"/>
      <c r="Q1" s="4"/>
      <c r="R1" s="5"/>
    </row>
    <row r="2" spans="1:60" ht="15.75" thickBot="1" x14ac:dyDescent="0.3">
      <c r="A2" s="1"/>
      <c r="B2" s="1"/>
      <c r="C2" s="1"/>
      <c r="D2" s="6"/>
      <c r="E2" s="1"/>
      <c r="F2" s="1"/>
      <c r="G2" s="1"/>
      <c r="H2" s="1"/>
      <c r="I2" s="1"/>
      <c r="J2" s="1"/>
      <c r="K2" s="7" t="s">
        <v>1</v>
      </c>
      <c r="L2" s="8"/>
      <c r="M2" s="239"/>
      <c r="N2" s="239"/>
      <c r="O2" s="9"/>
      <c r="P2" s="10"/>
      <c r="Q2" s="11"/>
      <c r="R2" s="12"/>
    </row>
    <row r="3" spans="1:60" ht="24" thickBot="1" x14ac:dyDescent="0.4">
      <c r="A3" s="1"/>
      <c r="B3" s="1"/>
      <c r="C3" s="332">
        <v>888924</v>
      </c>
      <c r="D3" s="333"/>
      <c r="E3" s="1"/>
      <c r="F3" s="1"/>
      <c r="G3" s="1"/>
      <c r="H3" s="1"/>
      <c r="I3" s="1"/>
      <c r="J3" s="1"/>
      <c r="K3" s="13" t="s">
        <v>2</v>
      </c>
      <c r="L3" s="14">
        <v>202536</v>
      </c>
      <c r="M3" s="239"/>
      <c r="N3" s="239"/>
      <c r="O3" s="334" t="s">
        <v>3</v>
      </c>
      <c r="P3" s="335"/>
      <c r="Q3" s="335"/>
      <c r="R3" s="336"/>
    </row>
    <row r="4" spans="1:60" ht="16.5" thickBot="1" x14ac:dyDescent="0.3">
      <c r="A4" s="1"/>
      <c r="B4" s="1"/>
      <c r="C4" s="332" t="s">
        <v>127</v>
      </c>
      <c r="D4" s="333"/>
      <c r="E4" s="1"/>
      <c r="F4" s="1"/>
      <c r="G4" s="1"/>
      <c r="H4" s="1"/>
      <c r="I4" s="1"/>
      <c r="J4" s="1"/>
      <c r="K4" s="6" t="s">
        <v>5</v>
      </c>
      <c r="L4" s="15">
        <v>4000</v>
      </c>
      <c r="M4" s="240"/>
      <c r="N4" s="239"/>
      <c r="O4" s="9"/>
      <c r="P4" s="10"/>
      <c r="Q4" s="11"/>
      <c r="R4" s="12"/>
    </row>
    <row r="5" spans="1:60" ht="15.75" thickBot="1" x14ac:dyDescent="0.3">
      <c r="A5" s="1"/>
      <c r="B5" s="1"/>
      <c r="C5" s="17" t="s">
        <v>6</v>
      </c>
      <c r="D5" s="18" t="s">
        <v>146</v>
      </c>
      <c r="E5" s="1"/>
      <c r="F5" s="1"/>
      <c r="G5" s="1"/>
      <c r="H5" s="1"/>
      <c r="I5" s="1"/>
      <c r="J5" s="1"/>
      <c r="K5" s="1"/>
      <c r="L5" s="19"/>
      <c r="M5" s="239"/>
      <c r="N5" s="239"/>
      <c r="O5" s="9"/>
      <c r="P5" s="10"/>
      <c r="Q5" s="11"/>
      <c r="R5" s="12"/>
    </row>
    <row r="6" spans="1:60" x14ac:dyDescent="0.25">
      <c r="A6" s="20"/>
      <c r="B6" s="21"/>
      <c r="C6" s="1"/>
      <c r="D6" s="1"/>
      <c r="E6" s="1"/>
      <c r="F6" s="1"/>
      <c r="G6" s="1"/>
      <c r="H6" s="1"/>
      <c r="I6" s="1"/>
      <c r="J6" s="1"/>
      <c r="K6" s="22" t="s">
        <v>8</v>
      </c>
      <c r="L6" s="23">
        <v>45925</v>
      </c>
      <c r="M6" s="241"/>
      <c r="N6" s="239"/>
      <c r="O6" s="9"/>
      <c r="P6" s="10"/>
      <c r="Q6" s="11"/>
      <c r="R6" s="12"/>
    </row>
    <row r="7" spans="1:60" ht="15.75" x14ac:dyDescent="0.25">
      <c r="A7" s="20" t="s">
        <v>9</v>
      </c>
      <c r="B7" s="21"/>
      <c r="C7" s="25" t="s">
        <v>157</v>
      </c>
      <c r="D7" s="1"/>
      <c r="E7" s="1"/>
      <c r="F7" s="1"/>
      <c r="G7" s="1"/>
      <c r="H7" s="1"/>
      <c r="I7" s="1"/>
      <c r="J7" s="26"/>
      <c r="K7" s="27"/>
      <c r="L7" s="28" t="s">
        <v>156</v>
      </c>
      <c r="M7" s="239"/>
      <c r="N7" s="239"/>
      <c r="O7" s="9"/>
      <c r="P7" s="29"/>
      <c r="Q7" s="11"/>
      <c r="R7" s="12"/>
    </row>
    <row r="8" spans="1:60" ht="36.75" customHeight="1" thickBot="1" x14ac:dyDescent="0.3">
      <c r="A8" s="30">
        <v>45252</v>
      </c>
      <c r="B8" s="31" t="s">
        <v>11</v>
      </c>
      <c r="C8" s="32" t="s">
        <v>12</v>
      </c>
      <c r="D8" s="1"/>
      <c r="E8" s="1"/>
      <c r="F8" s="1"/>
      <c r="G8" s="1"/>
      <c r="H8" s="1"/>
      <c r="I8" s="1"/>
      <c r="J8" s="33"/>
      <c r="K8" s="34" t="s">
        <v>13</v>
      </c>
      <c r="L8" s="35"/>
      <c r="M8" s="239"/>
      <c r="N8" s="239"/>
      <c r="O8" s="36"/>
      <c r="P8" s="37"/>
      <c r="Q8" s="38"/>
      <c r="R8" s="39"/>
    </row>
    <row r="9" spans="1:60" s="44" customFormat="1" ht="39.75" customHeight="1" thickBot="1" x14ac:dyDescent="0.3">
      <c r="A9" s="229" t="s">
        <v>14</v>
      </c>
      <c r="B9" s="230" t="s">
        <v>15</v>
      </c>
      <c r="C9" s="230" t="s">
        <v>16</v>
      </c>
      <c r="D9" s="230" t="s">
        <v>17</v>
      </c>
      <c r="E9" s="231" t="s">
        <v>18</v>
      </c>
      <c r="F9" s="231" t="s">
        <v>19</v>
      </c>
      <c r="G9" s="231" t="s">
        <v>20</v>
      </c>
      <c r="H9" s="231" t="s">
        <v>21</v>
      </c>
      <c r="I9" s="231" t="s">
        <v>22</v>
      </c>
      <c r="J9" s="231" t="s">
        <v>23</v>
      </c>
      <c r="K9" s="230" t="s">
        <v>24</v>
      </c>
      <c r="L9" s="232" t="s">
        <v>25</v>
      </c>
      <c r="M9" s="242" t="s">
        <v>26</v>
      </c>
      <c r="N9" s="242" t="s">
        <v>123</v>
      </c>
      <c r="O9" s="233" t="s">
        <v>28</v>
      </c>
      <c r="P9" s="234" t="s">
        <v>29</v>
      </c>
      <c r="Q9" s="234" t="s">
        <v>30</v>
      </c>
      <c r="R9" s="234" t="s">
        <v>31</v>
      </c>
    </row>
    <row r="10" spans="1:60" s="60" customFormat="1" ht="27" customHeight="1" thickBot="1" x14ac:dyDescent="0.3">
      <c r="A10" s="297" t="s">
        <v>32</v>
      </c>
      <c r="B10" s="124" t="s">
        <v>152</v>
      </c>
      <c r="C10" s="298" t="s">
        <v>153</v>
      </c>
      <c r="D10" s="125" t="s">
        <v>53</v>
      </c>
      <c r="E10" s="320">
        <v>84</v>
      </c>
      <c r="F10" s="321">
        <f>+E10*1.16</f>
        <v>97.44</v>
      </c>
      <c r="G10" s="301" t="s">
        <v>36</v>
      </c>
      <c r="H10" s="302">
        <v>137</v>
      </c>
      <c r="I10" s="303">
        <v>4</v>
      </c>
      <c r="J10" s="304" t="s">
        <v>37</v>
      </c>
      <c r="K10" s="269">
        <f>(I10*$L$4)/H10</f>
        <v>116.78832116788321</v>
      </c>
      <c r="L10" s="305" t="s">
        <v>38</v>
      </c>
      <c r="M10" s="315"/>
      <c r="N10" s="315"/>
      <c r="O10" s="211">
        <f>+F10/H10</f>
        <v>0.7112408759124087</v>
      </c>
      <c r="P10" s="212">
        <f>+I10*O10</f>
        <v>2.8449635036496348</v>
      </c>
      <c r="Q10" s="205">
        <f>+P10*$L$4</f>
        <v>11379.854014598539</v>
      </c>
      <c r="R10" s="213">
        <f>+F10*N10</f>
        <v>0</v>
      </c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</row>
    <row r="11" spans="1:60" s="60" customFormat="1" ht="27" customHeight="1" x14ac:dyDescent="0.25">
      <c r="A11" s="45" t="s">
        <v>128</v>
      </c>
      <c r="B11" s="92" t="s">
        <v>154</v>
      </c>
      <c r="C11" s="54" t="s">
        <v>4</v>
      </c>
      <c r="D11" s="53" t="s">
        <v>53</v>
      </c>
      <c r="E11" s="322">
        <v>75</v>
      </c>
      <c r="F11" s="323">
        <v>75</v>
      </c>
      <c r="G11" s="93" t="s">
        <v>36</v>
      </c>
      <c r="H11" s="94">
        <v>137</v>
      </c>
      <c r="I11" s="53">
        <v>12</v>
      </c>
      <c r="J11" s="54" t="s">
        <v>37</v>
      </c>
      <c r="K11" s="306">
        <f t="shared" ref="K11:K19" si="0">(I11*$L$4)/H11</f>
        <v>350.36496350364962</v>
      </c>
      <c r="L11" s="55" t="s">
        <v>38</v>
      </c>
      <c r="M11" s="337"/>
      <c r="N11" s="337"/>
      <c r="O11" s="56">
        <f>+F11/H11</f>
        <v>0.54744525547445255</v>
      </c>
      <c r="P11" s="57">
        <f>+O11*I11</f>
        <v>6.5693430656934311</v>
      </c>
      <c r="Q11" s="307">
        <f t="shared" ref="Q11:Q21" si="1">+P11*$L$4</f>
        <v>26277.372262773722</v>
      </c>
      <c r="R11" s="339">
        <f>+F11*N11</f>
        <v>0</v>
      </c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</row>
    <row r="12" spans="1:60" s="60" customFormat="1" ht="27" customHeight="1" x14ac:dyDescent="0.25">
      <c r="A12" s="71" t="s">
        <v>129</v>
      </c>
      <c r="B12" s="46" t="s">
        <v>154</v>
      </c>
      <c r="C12" s="47" t="s">
        <v>4</v>
      </c>
      <c r="D12" s="48" t="s">
        <v>53</v>
      </c>
      <c r="E12" s="324">
        <v>75</v>
      </c>
      <c r="F12" s="325">
        <v>75</v>
      </c>
      <c r="G12" s="63" t="s">
        <v>36</v>
      </c>
      <c r="H12" s="64">
        <v>137</v>
      </c>
      <c r="I12" s="66">
        <v>1.5</v>
      </c>
      <c r="J12" s="66" t="s">
        <v>37</v>
      </c>
      <c r="K12" s="270">
        <f t="shared" si="0"/>
        <v>43.795620437956202</v>
      </c>
      <c r="L12" s="67" t="s">
        <v>38</v>
      </c>
      <c r="M12" s="331"/>
      <c r="N12" s="331"/>
      <c r="O12" s="68">
        <f t="shared" ref="O12:O17" si="2">+F12/H12</f>
        <v>0.54744525547445255</v>
      </c>
      <c r="P12" s="69">
        <f t="shared" ref="P12:P19" si="3">+O12*I12</f>
        <v>0.82116788321167888</v>
      </c>
      <c r="Q12" s="59">
        <f t="shared" si="1"/>
        <v>3284.6715328467153</v>
      </c>
      <c r="R12" s="340"/>
      <c r="S12"/>
      <c r="T12"/>
      <c r="U12"/>
      <c r="V12" s="166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</row>
    <row r="13" spans="1:60" s="60" customFormat="1" ht="27" customHeight="1" x14ac:dyDescent="0.25">
      <c r="A13" s="72" t="s">
        <v>41</v>
      </c>
      <c r="B13" s="280" t="s">
        <v>154</v>
      </c>
      <c r="C13" s="66" t="s">
        <v>4</v>
      </c>
      <c r="D13" s="65" t="s">
        <v>53</v>
      </c>
      <c r="E13" s="326">
        <v>75</v>
      </c>
      <c r="F13" s="325">
        <v>75</v>
      </c>
      <c r="G13" s="63" t="s">
        <v>36</v>
      </c>
      <c r="H13" s="64">
        <v>137</v>
      </c>
      <c r="I13" s="65">
        <v>0.3</v>
      </c>
      <c r="J13" s="66" t="s">
        <v>37</v>
      </c>
      <c r="K13" s="270">
        <f t="shared" si="0"/>
        <v>8.7591240875912408</v>
      </c>
      <c r="L13" s="67" t="s">
        <v>38</v>
      </c>
      <c r="M13" s="331"/>
      <c r="N13" s="331"/>
      <c r="O13" s="68">
        <f t="shared" si="2"/>
        <v>0.54744525547445255</v>
      </c>
      <c r="P13" s="69">
        <f t="shared" si="3"/>
        <v>0.16423357664233576</v>
      </c>
      <c r="Q13" s="59">
        <f t="shared" si="1"/>
        <v>656.93430656934299</v>
      </c>
      <c r="R13" s="340"/>
      <c r="S13"/>
      <c r="T13"/>
      <c r="U13"/>
      <c r="V13" s="166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</row>
    <row r="14" spans="1:60" s="60" customFormat="1" ht="27" customHeight="1" x14ac:dyDescent="0.25">
      <c r="A14" s="72" t="s">
        <v>42</v>
      </c>
      <c r="B14" s="280" t="s">
        <v>154</v>
      </c>
      <c r="C14" s="66" t="s">
        <v>4</v>
      </c>
      <c r="D14" s="65" t="s">
        <v>53</v>
      </c>
      <c r="E14" s="326">
        <v>75</v>
      </c>
      <c r="F14" s="325">
        <v>75</v>
      </c>
      <c r="G14" s="63" t="s">
        <v>36</v>
      </c>
      <c r="H14" s="64">
        <v>137</v>
      </c>
      <c r="I14" s="65">
        <v>2.5</v>
      </c>
      <c r="J14" s="66" t="s">
        <v>37</v>
      </c>
      <c r="K14" s="282">
        <f t="shared" si="0"/>
        <v>72.992700729927009</v>
      </c>
      <c r="L14" s="67" t="s">
        <v>38</v>
      </c>
      <c r="M14" s="331"/>
      <c r="N14" s="331"/>
      <c r="O14" s="68">
        <f t="shared" si="2"/>
        <v>0.54744525547445255</v>
      </c>
      <c r="P14" s="69">
        <f t="shared" si="3"/>
        <v>1.3686131386861313</v>
      </c>
      <c r="Q14" s="59">
        <f t="shared" si="1"/>
        <v>5474.4525547445255</v>
      </c>
      <c r="R14" s="340"/>
      <c r="S14"/>
      <c r="T14"/>
      <c r="U14"/>
      <c r="V14" s="166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</row>
    <row r="15" spans="1:60" s="60" customFormat="1" ht="27" customHeight="1" thickBot="1" x14ac:dyDescent="0.3">
      <c r="A15" s="96" t="s">
        <v>130</v>
      </c>
      <c r="B15" s="97" t="s">
        <v>154</v>
      </c>
      <c r="C15" s="98" t="s">
        <v>4</v>
      </c>
      <c r="D15" s="99" t="s">
        <v>53</v>
      </c>
      <c r="E15" s="327">
        <v>75</v>
      </c>
      <c r="F15" s="328">
        <v>75</v>
      </c>
      <c r="G15" s="102" t="s">
        <v>36</v>
      </c>
      <c r="H15" s="103">
        <v>137</v>
      </c>
      <c r="I15" s="99">
        <v>2.5</v>
      </c>
      <c r="J15" s="98" t="s">
        <v>37</v>
      </c>
      <c r="K15" s="272">
        <f t="shared" si="0"/>
        <v>72.992700729927009</v>
      </c>
      <c r="L15" s="105" t="s">
        <v>38</v>
      </c>
      <c r="M15" s="338"/>
      <c r="N15" s="338"/>
      <c r="O15" s="114">
        <f t="shared" si="2"/>
        <v>0.54744525547445255</v>
      </c>
      <c r="P15" s="115">
        <f t="shared" si="3"/>
        <v>1.3686131386861313</v>
      </c>
      <c r="Q15" s="210">
        <f t="shared" si="1"/>
        <v>5474.4525547445255</v>
      </c>
      <c r="R15" s="341"/>
      <c r="S15"/>
      <c r="T15"/>
      <c r="U15"/>
      <c r="V15" s="166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</row>
    <row r="16" spans="1:60" s="60" customFormat="1" ht="29.25" customHeight="1" thickBot="1" x14ac:dyDescent="0.3">
      <c r="A16" s="96" t="s">
        <v>49</v>
      </c>
      <c r="B16" s="97" t="s">
        <v>33</v>
      </c>
      <c r="C16" s="98" t="s">
        <v>131</v>
      </c>
      <c r="D16" s="99" t="s">
        <v>48</v>
      </c>
      <c r="E16" s="100">
        <v>65</v>
      </c>
      <c r="F16" s="101">
        <f>+E16*1.16</f>
        <v>75.399999999999991</v>
      </c>
      <c r="G16" s="102" t="s">
        <v>36</v>
      </c>
      <c r="H16" s="103">
        <v>137</v>
      </c>
      <c r="I16" s="104">
        <v>1.5</v>
      </c>
      <c r="J16" s="98" t="s">
        <v>37</v>
      </c>
      <c r="K16" s="272">
        <f t="shared" si="0"/>
        <v>43.795620437956202</v>
      </c>
      <c r="L16" s="105" t="s">
        <v>38</v>
      </c>
      <c r="M16" s="316"/>
      <c r="N16" s="316"/>
      <c r="O16" s="114">
        <f t="shared" si="2"/>
        <v>0.55036496350364961</v>
      </c>
      <c r="P16" s="115">
        <f t="shared" si="3"/>
        <v>0.82554744525547441</v>
      </c>
      <c r="Q16" s="116">
        <f t="shared" si="1"/>
        <v>3302.1897810218975</v>
      </c>
      <c r="R16" s="317">
        <f>+F16*N16</f>
        <v>0</v>
      </c>
      <c r="S16"/>
      <c r="T16"/>
      <c r="U16"/>
      <c r="V16" s="16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</row>
    <row r="17" spans="1:60" s="60" customFormat="1" ht="39" customHeight="1" thickBot="1" x14ac:dyDescent="0.3">
      <c r="A17" s="82" t="s">
        <v>50</v>
      </c>
      <c r="B17" s="106" t="s">
        <v>51</v>
      </c>
      <c r="C17" s="107" t="s">
        <v>52</v>
      </c>
      <c r="D17" s="85" t="s">
        <v>53</v>
      </c>
      <c r="E17" s="88">
        <v>43</v>
      </c>
      <c r="F17" s="87">
        <f t="shared" ref="F17:F21" si="4">+E17*1.16</f>
        <v>49.879999999999995</v>
      </c>
      <c r="G17" s="86" t="s">
        <v>36</v>
      </c>
      <c r="H17" s="108">
        <v>137</v>
      </c>
      <c r="I17" s="85">
        <v>16</v>
      </c>
      <c r="J17" s="84" t="s">
        <v>37</v>
      </c>
      <c r="K17" s="271">
        <f t="shared" si="0"/>
        <v>467.15328467153284</v>
      </c>
      <c r="L17" s="90" t="s">
        <v>38</v>
      </c>
      <c r="M17" s="243"/>
      <c r="N17" s="243"/>
      <c r="O17" s="211">
        <f t="shared" si="2"/>
        <v>0.36408759124087586</v>
      </c>
      <c r="P17" s="212">
        <f t="shared" si="3"/>
        <v>5.8254014598540138</v>
      </c>
      <c r="Q17" s="205">
        <f t="shared" si="1"/>
        <v>23301.605839416054</v>
      </c>
      <c r="R17" s="213">
        <f t="shared" ref="R17:R23" si="5">+F17*N17</f>
        <v>0</v>
      </c>
      <c r="S17"/>
      <c r="T17"/>
      <c r="U17"/>
      <c r="V17" s="166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</row>
    <row r="18" spans="1:60" s="60" customFormat="1" ht="29.25" customHeight="1" thickBot="1" x14ac:dyDescent="0.3">
      <c r="A18" s="82" t="s">
        <v>54</v>
      </c>
      <c r="B18" s="106" t="s">
        <v>55</v>
      </c>
      <c r="C18" s="84" t="s">
        <v>4</v>
      </c>
      <c r="D18" s="85" t="s">
        <v>53</v>
      </c>
      <c r="E18" s="88">
        <v>16.5</v>
      </c>
      <c r="F18" s="87">
        <f t="shared" si="4"/>
        <v>19.139999999999997</v>
      </c>
      <c r="G18" s="86" t="s">
        <v>36</v>
      </c>
      <c r="H18" s="108">
        <v>137</v>
      </c>
      <c r="I18" s="85">
        <v>10</v>
      </c>
      <c r="J18" s="84" t="s">
        <v>37</v>
      </c>
      <c r="K18" s="271">
        <f t="shared" si="0"/>
        <v>291.97080291970804</v>
      </c>
      <c r="L18" s="90" t="s">
        <v>38</v>
      </c>
      <c r="M18" s="243"/>
      <c r="N18" s="243"/>
      <c r="O18" s="206">
        <f>+F18/H18</f>
        <v>0.13970802919708028</v>
      </c>
      <c r="P18" s="207">
        <f>+O18*I18</f>
        <v>1.3970802919708027</v>
      </c>
      <c r="Q18" s="208">
        <f>+P18*$L$4</f>
        <v>5588.3211678832113</v>
      </c>
      <c r="R18" s="318">
        <f>+(F18*N18)</f>
        <v>0</v>
      </c>
      <c r="S18"/>
      <c r="T18"/>
      <c r="U18"/>
      <c r="V18" s="166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</row>
    <row r="19" spans="1:60" s="60" customFormat="1" ht="39" customHeight="1" thickBot="1" x14ac:dyDescent="0.3">
      <c r="A19" s="96" t="s">
        <v>56</v>
      </c>
      <c r="B19" s="109" t="s">
        <v>57</v>
      </c>
      <c r="C19" s="98" t="s">
        <v>58</v>
      </c>
      <c r="D19" s="99" t="s">
        <v>53</v>
      </c>
      <c r="E19" s="102">
        <v>56</v>
      </c>
      <c r="F19" s="101">
        <f t="shared" si="4"/>
        <v>64.959999999999994</v>
      </c>
      <c r="G19" s="100" t="s">
        <v>36</v>
      </c>
      <c r="H19" s="110">
        <v>137</v>
      </c>
      <c r="I19" s="99">
        <v>4.5</v>
      </c>
      <c r="J19" s="98" t="s">
        <v>37</v>
      </c>
      <c r="K19" s="272">
        <f t="shared" si="0"/>
        <v>131.38686131386862</v>
      </c>
      <c r="L19" s="105" t="s">
        <v>38</v>
      </c>
      <c r="M19" s="309"/>
      <c r="N19" s="244"/>
      <c r="O19" s="114">
        <f>+F19/H19</f>
        <v>0.47416058394160582</v>
      </c>
      <c r="P19" s="214">
        <f t="shared" si="3"/>
        <v>2.1337226277372263</v>
      </c>
      <c r="Q19" s="215">
        <f t="shared" si="1"/>
        <v>8534.890510948906</v>
      </c>
      <c r="R19" s="216">
        <f t="shared" si="5"/>
        <v>0</v>
      </c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</row>
    <row r="20" spans="1:60" ht="30.75" thickBot="1" x14ac:dyDescent="0.3">
      <c r="A20" s="111" t="s">
        <v>60</v>
      </c>
      <c r="B20" s="109" t="s">
        <v>61</v>
      </c>
      <c r="C20" s="112" t="s">
        <v>62</v>
      </c>
      <c r="D20" s="99" t="s">
        <v>59</v>
      </c>
      <c r="E20" s="102">
        <v>6.45</v>
      </c>
      <c r="F20" s="100">
        <f>+E20*1.16</f>
        <v>7.4819999999999993</v>
      </c>
      <c r="G20" s="100" t="s">
        <v>63</v>
      </c>
      <c r="H20" s="110">
        <v>18</v>
      </c>
      <c r="I20" s="99">
        <f>(1/12)</f>
        <v>8.3333333333333329E-2</v>
      </c>
      <c r="J20" s="98" t="s">
        <v>63</v>
      </c>
      <c r="K20" s="272">
        <f>(I20*$L$4)</f>
        <v>333.33333333333331</v>
      </c>
      <c r="L20" s="90" t="s">
        <v>63</v>
      </c>
      <c r="M20" s="245"/>
      <c r="N20" s="245"/>
      <c r="O20" s="114">
        <f>+F20/H20</f>
        <v>0.41566666666666663</v>
      </c>
      <c r="P20" s="115">
        <f>+F20*I20</f>
        <v>0.62349999999999994</v>
      </c>
      <c r="Q20" s="116">
        <f t="shared" si="1"/>
        <v>2494</v>
      </c>
      <c r="R20" s="210">
        <f t="shared" si="5"/>
        <v>0</v>
      </c>
    </row>
    <row r="21" spans="1:60" ht="33.75" customHeight="1" thickBot="1" x14ac:dyDescent="0.3">
      <c r="A21" s="117" t="s">
        <v>64</v>
      </c>
      <c r="B21" s="83" t="s">
        <v>65</v>
      </c>
      <c r="C21" s="84" t="s">
        <v>66</v>
      </c>
      <c r="D21" s="85" t="s">
        <v>53</v>
      </c>
      <c r="E21" s="88">
        <v>91.8</v>
      </c>
      <c r="F21" s="88">
        <f t="shared" si="4"/>
        <v>106.48799999999999</v>
      </c>
      <c r="G21" s="88" t="s">
        <v>67</v>
      </c>
      <c r="H21" s="89">
        <f>1.2*100</f>
        <v>120</v>
      </c>
      <c r="I21" s="84">
        <v>2.14</v>
      </c>
      <c r="J21" s="84" t="s">
        <v>37</v>
      </c>
      <c r="K21" s="271">
        <f>(I21*$L$4)/H21</f>
        <v>71.333333333333329</v>
      </c>
      <c r="L21" s="90" t="s">
        <v>68</v>
      </c>
      <c r="M21" s="243"/>
      <c r="N21" s="246"/>
      <c r="O21" s="217">
        <f>+F21/150</f>
        <v>0.70991999999999988</v>
      </c>
      <c r="P21" s="218">
        <f>+O21</f>
        <v>0.70991999999999988</v>
      </c>
      <c r="Q21" s="219">
        <f t="shared" si="1"/>
        <v>2839.6799999999994</v>
      </c>
      <c r="R21" s="220">
        <f t="shared" si="5"/>
        <v>0</v>
      </c>
    </row>
    <row r="22" spans="1:60" ht="30" customHeight="1" thickBot="1" x14ac:dyDescent="0.3">
      <c r="A22" s="117" t="s">
        <v>73</v>
      </c>
      <c r="B22" s="83" t="s">
        <v>132</v>
      </c>
      <c r="C22" s="121" t="s">
        <v>133</v>
      </c>
      <c r="D22" s="85" t="s">
        <v>134</v>
      </c>
      <c r="E22" s="88">
        <v>32.5</v>
      </c>
      <c r="F22" s="88">
        <f t="shared" ref="F22" si="6">+E22*1</f>
        <v>32.5</v>
      </c>
      <c r="G22" s="88" t="s">
        <v>74</v>
      </c>
      <c r="H22" s="89" t="s">
        <v>75</v>
      </c>
      <c r="I22" s="84">
        <v>1</v>
      </c>
      <c r="J22" s="84" t="s">
        <v>76</v>
      </c>
      <c r="K22" s="273">
        <f>+I22*$L$4</f>
        <v>4000</v>
      </c>
      <c r="L22" s="122" t="s">
        <v>74</v>
      </c>
      <c r="M22" s="246"/>
      <c r="N22" s="244"/>
      <c r="O22" s="206">
        <f t="shared" ref="O22" si="7">+F22</f>
        <v>32.5</v>
      </c>
      <c r="P22" s="221">
        <f t="shared" ref="P22" si="8">+I22*O22</f>
        <v>32.5</v>
      </c>
      <c r="Q22" s="208">
        <f>+P22*$L$4</f>
        <v>130000</v>
      </c>
      <c r="R22" s="209">
        <f t="shared" si="5"/>
        <v>0</v>
      </c>
    </row>
    <row r="23" spans="1:60" s="60" customFormat="1" ht="46.5" customHeight="1" thickBot="1" x14ac:dyDescent="0.3">
      <c r="A23" s="117" t="s">
        <v>77</v>
      </c>
      <c r="B23" s="83" t="s">
        <v>124</v>
      </c>
      <c r="C23" s="84" t="s">
        <v>125</v>
      </c>
      <c r="D23" s="85" t="s">
        <v>53</v>
      </c>
      <c r="E23" s="88">
        <v>45</v>
      </c>
      <c r="F23" s="88">
        <f t="shared" ref="F23" si="9">+E23*1.16</f>
        <v>52.199999999999996</v>
      </c>
      <c r="G23" s="88" t="s">
        <v>67</v>
      </c>
      <c r="H23" s="89" t="s">
        <v>75</v>
      </c>
      <c r="I23" s="123">
        <f>1/33</f>
        <v>3.0303030303030304E-2</v>
      </c>
      <c r="J23" s="84" t="s">
        <v>67</v>
      </c>
      <c r="K23" s="271">
        <f>+I23*$L$4</f>
        <v>121.21212121212122</v>
      </c>
      <c r="L23" s="90" t="s">
        <v>68</v>
      </c>
      <c r="M23" s="247"/>
      <c r="N23" s="247"/>
      <c r="O23" s="206">
        <f>+F23</f>
        <v>52.199999999999996</v>
      </c>
      <c r="P23" s="221">
        <f>+I23*O23</f>
        <v>1.5818181818181818</v>
      </c>
      <c r="Q23" s="208">
        <f>+P23*$L$4</f>
        <v>6327.272727272727</v>
      </c>
      <c r="R23" s="209">
        <f t="shared" si="5"/>
        <v>0</v>
      </c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</row>
    <row r="24" spans="1:60" s="60" customFormat="1" ht="15.75" thickBot="1" x14ac:dyDescent="0.3">
      <c r="A24" s="117" t="s">
        <v>135</v>
      </c>
      <c r="B24" s="83" t="s">
        <v>137</v>
      </c>
      <c r="C24" s="84" t="s">
        <v>4</v>
      </c>
      <c r="D24" s="85" t="s">
        <v>138</v>
      </c>
      <c r="E24" s="88">
        <v>2.6</v>
      </c>
      <c r="F24" s="88">
        <f>+E24*1.16</f>
        <v>3.016</v>
      </c>
      <c r="G24" s="88" t="s">
        <v>38</v>
      </c>
      <c r="H24" s="89" t="s">
        <v>75</v>
      </c>
      <c r="I24" s="84">
        <f>(0.16+0.175+0.2)*2</f>
        <v>1.0699999999999998</v>
      </c>
      <c r="J24" s="84" t="s">
        <v>36</v>
      </c>
      <c r="K24" s="274">
        <f>+I24*L4</f>
        <v>4279.9999999999991</v>
      </c>
      <c r="L24" s="90" t="s">
        <v>38</v>
      </c>
      <c r="M24" s="342"/>
      <c r="N24" s="344"/>
      <c r="O24" s="211">
        <f>+F24/72</f>
        <v>4.1888888888888892E-2</v>
      </c>
      <c r="P24" s="212">
        <f t="shared" ref="P24" si="10">+O24*I24</f>
        <v>4.482111111111111E-2</v>
      </c>
      <c r="Q24" s="205">
        <f t="shared" ref="Q24:Q47" si="11">+P24*$L$4</f>
        <v>179.28444444444443</v>
      </c>
      <c r="R24" s="346">
        <f>+F24*N24</f>
        <v>0</v>
      </c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</row>
    <row r="25" spans="1:60" s="60" customFormat="1" ht="30.75" thickBot="1" x14ac:dyDescent="0.3">
      <c r="A25" s="82" t="s">
        <v>136</v>
      </c>
      <c r="B25" s="83" t="s">
        <v>139</v>
      </c>
      <c r="C25" s="84" t="s">
        <v>4</v>
      </c>
      <c r="D25" s="85" t="s">
        <v>138</v>
      </c>
      <c r="E25" s="88">
        <v>2.6</v>
      </c>
      <c r="F25" s="88">
        <f>+E25*1.16</f>
        <v>3.016</v>
      </c>
      <c r="G25" s="88" t="s">
        <v>38</v>
      </c>
      <c r="H25" s="89" t="s">
        <v>75</v>
      </c>
      <c r="I25" s="84">
        <f>(0.16+0.175+0.2)*2</f>
        <v>1.0699999999999998</v>
      </c>
      <c r="J25" s="84" t="s">
        <v>36</v>
      </c>
      <c r="K25" s="274">
        <f>+I25*L4</f>
        <v>4279.9999999999991</v>
      </c>
      <c r="L25" s="90" t="s">
        <v>38</v>
      </c>
      <c r="M25" s="343"/>
      <c r="N25" s="345"/>
      <c r="O25" s="206">
        <f>+F25/1000</f>
        <v>3.016E-3</v>
      </c>
      <c r="P25" s="207">
        <f>+O25*I25</f>
        <v>3.2271199999999996E-3</v>
      </c>
      <c r="Q25" s="208">
        <f t="shared" si="11"/>
        <v>12.908479999999999</v>
      </c>
      <c r="R25" s="347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</row>
    <row r="26" spans="1:60" s="128" customFormat="1" ht="18.75" customHeight="1" x14ac:dyDescent="0.25">
      <c r="A26" s="329" t="s">
        <v>82</v>
      </c>
      <c r="B26" s="129" t="s">
        <v>140</v>
      </c>
      <c r="C26" s="311" t="s">
        <v>126</v>
      </c>
      <c r="D26" s="65" t="s">
        <v>81</v>
      </c>
      <c r="E26" s="63">
        <v>1.63</v>
      </c>
      <c r="F26" s="63">
        <f t="shared" ref="F26:F28" si="12">+E26*1.16</f>
        <v>1.8907999999999998</v>
      </c>
      <c r="G26" s="63" t="s">
        <v>74</v>
      </c>
      <c r="H26" s="64" t="s">
        <v>75</v>
      </c>
      <c r="I26" s="66">
        <v>1</v>
      </c>
      <c r="J26" s="66" t="s">
        <v>76</v>
      </c>
      <c r="K26" s="275">
        <v>0</v>
      </c>
      <c r="L26" s="67" t="s">
        <v>74</v>
      </c>
      <c r="M26" s="331"/>
      <c r="N26" s="248"/>
      <c r="O26" s="68">
        <v>0</v>
      </c>
      <c r="P26" s="118">
        <f t="shared" ref="P26:P30" si="13">+I26*O26</f>
        <v>0</v>
      </c>
      <c r="Q26" s="70">
        <f t="shared" si="11"/>
        <v>0</v>
      </c>
      <c r="R26" s="59">
        <f t="shared" ref="R26:R33" si="14">+F26*N26</f>
        <v>0</v>
      </c>
    </row>
    <row r="27" spans="1:60" s="128" customFormat="1" ht="18.75" customHeight="1" x14ac:dyDescent="0.25">
      <c r="A27" s="330"/>
      <c r="B27" s="129" t="s">
        <v>141</v>
      </c>
      <c r="C27" s="311" t="s">
        <v>126</v>
      </c>
      <c r="D27" s="65" t="s">
        <v>81</v>
      </c>
      <c r="E27" s="63">
        <v>1.77</v>
      </c>
      <c r="F27" s="63">
        <f t="shared" si="12"/>
        <v>2.0531999999999999</v>
      </c>
      <c r="G27" s="63" t="s">
        <v>74</v>
      </c>
      <c r="H27" s="64" t="s">
        <v>75</v>
      </c>
      <c r="I27" s="66">
        <v>1</v>
      </c>
      <c r="J27" s="66" t="s">
        <v>76</v>
      </c>
      <c r="K27" s="275">
        <f t="shared" ref="K27" si="15">+I27*$L$4</f>
        <v>4000</v>
      </c>
      <c r="L27" s="67" t="s">
        <v>74</v>
      </c>
      <c r="M27" s="331"/>
      <c r="N27" s="248"/>
      <c r="O27" s="68">
        <f>+F27</f>
        <v>2.0531999999999999</v>
      </c>
      <c r="P27" s="118">
        <f t="shared" si="13"/>
        <v>2.0531999999999999</v>
      </c>
      <c r="Q27" s="70">
        <f t="shared" si="11"/>
        <v>8212.7999999999993</v>
      </c>
      <c r="R27" s="59">
        <f t="shared" si="14"/>
        <v>0</v>
      </c>
    </row>
    <row r="28" spans="1:60" s="128" customFormat="1" ht="18.75" customHeight="1" thickBot="1" x14ac:dyDescent="0.3">
      <c r="A28" s="330"/>
      <c r="B28" s="130" t="s">
        <v>142</v>
      </c>
      <c r="C28" s="312" t="s">
        <v>126</v>
      </c>
      <c r="D28" s="76" t="s">
        <v>81</v>
      </c>
      <c r="E28" s="79">
        <v>1.89</v>
      </c>
      <c r="F28" s="79">
        <f t="shared" si="12"/>
        <v>2.1923999999999997</v>
      </c>
      <c r="G28" s="79" t="s">
        <v>74</v>
      </c>
      <c r="H28" s="80" t="s">
        <v>75</v>
      </c>
      <c r="I28" s="75">
        <v>1</v>
      </c>
      <c r="J28" s="75" t="s">
        <v>76</v>
      </c>
      <c r="K28" s="276">
        <v>0</v>
      </c>
      <c r="L28" s="81" t="s">
        <v>74</v>
      </c>
      <c r="M28" s="331"/>
      <c r="N28" s="249"/>
      <c r="O28" s="217">
        <v>0</v>
      </c>
      <c r="P28" s="218">
        <f t="shared" si="13"/>
        <v>0</v>
      </c>
      <c r="Q28" s="58">
        <f t="shared" si="11"/>
        <v>0</v>
      </c>
      <c r="R28" s="222">
        <f t="shared" si="14"/>
        <v>0</v>
      </c>
    </row>
    <row r="29" spans="1:60" s="131" customFormat="1" ht="29.25" customHeight="1" thickBot="1" x14ac:dyDescent="0.3">
      <c r="A29" s="135" t="s">
        <v>86</v>
      </c>
      <c r="B29" s="283" t="s">
        <v>155</v>
      </c>
      <c r="C29" s="84" t="s">
        <v>131</v>
      </c>
      <c r="D29" s="85" t="s">
        <v>83</v>
      </c>
      <c r="E29" s="88">
        <v>0.32</v>
      </c>
      <c r="F29" s="88">
        <f t="shared" ref="F29" si="16">+E29*1</f>
        <v>0.32</v>
      </c>
      <c r="G29" s="88" t="s">
        <v>63</v>
      </c>
      <c r="H29" s="89" t="s">
        <v>75</v>
      </c>
      <c r="I29" s="84">
        <v>2</v>
      </c>
      <c r="J29" s="84" t="s">
        <v>84</v>
      </c>
      <c r="K29" s="273">
        <f t="shared" ref="K29:K33" si="17">+I29*$L$4</f>
        <v>8000</v>
      </c>
      <c r="L29" s="122" t="s">
        <v>85</v>
      </c>
      <c r="M29" s="310"/>
      <c r="N29" s="250"/>
      <c r="O29" s="206">
        <f t="shared" ref="O29:O30" si="18">+F29</f>
        <v>0.32</v>
      </c>
      <c r="P29" s="221">
        <f t="shared" si="13"/>
        <v>0.64</v>
      </c>
      <c r="Q29" s="208">
        <f t="shared" si="11"/>
        <v>2560</v>
      </c>
      <c r="R29" s="209">
        <f t="shared" si="14"/>
        <v>0</v>
      </c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</row>
    <row r="30" spans="1:60" s="131" customFormat="1" ht="31.5" customHeight="1" thickBot="1" x14ac:dyDescent="0.3">
      <c r="A30" s="117" t="s">
        <v>87</v>
      </c>
      <c r="B30" s="83" t="s">
        <v>147</v>
      </c>
      <c r="C30" s="121" t="s">
        <v>88</v>
      </c>
      <c r="D30" s="85" t="s">
        <v>83</v>
      </c>
      <c r="E30" s="88">
        <v>0.46</v>
      </c>
      <c r="F30" s="88">
        <f>+E30*1</f>
        <v>0.46</v>
      </c>
      <c r="G30" s="88" t="s">
        <v>89</v>
      </c>
      <c r="H30" s="89" t="s">
        <v>75</v>
      </c>
      <c r="I30" s="84">
        <v>2</v>
      </c>
      <c r="J30" s="84" t="s">
        <v>84</v>
      </c>
      <c r="K30" s="273">
        <f>+I30*L4</f>
        <v>8000</v>
      </c>
      <c r="L30" s="122" t="s">
        <v>85</v>
      </c>
      <c r="M30" s="310"/>
      <c r="N30" s="250"/>
      <c r="O30" s="206">
        <f t="shared" si="18"/>
        <v>0.46</v>
      </c>
      <c r="P30" s="221">
        <f t="shared" si="13"/>
        <v>0.92</v>
      </c>
      <c r="Q30" s="208">
        <f t="shared" si="11"/>
        <v>3680</v>
      </c>
      <c r="R30" s="209">
        <f t="shared" si="14"/>
        <v>0</v>
      </c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</row>
    <row r="31" spans="1:60" s="134" customFormat="1" ht="15" customHeight="1" thickBot="1" x14ac:dyDescent="0.3">
      <c r="A31" s="132" t="s">
        <v>90</v>
      </c>
      <c r="B31" s="97" t="s">
        <v>155</v>
      </c>
      <c r="C31" s="99" t="s">
        <v>148</v>
      </c>
      <c r="D31" s="99" t="s">
        <v>149</v>
      </c>
      <c r="E31" s="102">
        <v>8.1</v>
      </c>
      <c r="F31" s="102">
        <f>+E31*1</f>
        <v>8.1</v>
      </c>
      <c r="G31" s="102" t="s">
        <v>63</v>
      </c>
      <c r="H31" s="103" t="s">
        <v>75</v>
      </c>
      <c r="I31" s="99">
        <v>1</v>
      </c>
      <c r="J31" s="99" t="s">
        <v>84</v>
      </c>
      <c r="K31" s="277">
        <f>+L4</f>
        <v>4000</v>
      </c>
      <c r="L31" s="133" t="s">
        <v>85</v>
      </c>
      <c r="M31" s="244"/>
      <c r="N31" s="244"/>
      <c r="O31" s="206">
        <f>+F31</f>
        <v>8.1</v>
      </c>
      <c r="P31" s="221">
        <f>+O31</f>
        <v>8.1</v>
      </c>
      <c r="Q31" s="208">
        <f t="shared" si="11"/>
        <v>32400</v>
      </c>
      <c r="R31" s="209">
        <f t="shared" si="14"/>
        <v>0</v>
      </c>
    </row>
    <row r="32" spans="1:60" s="134" customFormat="1" ht="15" customHeight="1" thickBot="1" x14ac:dyDescent="0.3">
      <c r="A32" s="135" t="s">
        <v>91</v>
      </c>
      <c r="B32" s="135" t="s">
        <v>93</v>
      </c>
      <c r="C32" s="284" t="s">
        <v>4</v>
      </c>
      <c r="D32" s="85" t="s">
        <v>94</v>
      </c>
      <c r="E32" s="88">
        <v>0.34300000000000003</v>
      </c>
      <c r="F32" s="136">
        <f>+E32</f>
        <v>0.34300000000000003</v>
      </c>
      <c r="G32" s="88" t="s">
        <v>80</v>
      </c>
      <c r="H32" s="89" t="s">
        <v>75</v>
      </c>
      <c r="I32" s="85">
        <v>1</v>
      </c>
      <c r="J32" s="85" t="s">
        <v>84</v>
      </c>
      <c r="K32" s="278">
        <f t="shared" si="17"/>
        <v>4000</v>
      </c>
      <c r="L32" s="137" t="s">
        <v>85</v>
      </c>
      <c r="M32" s="267"/>
      <c r="N32" s="246"/>
      <c r="O32" s="206">
        <f>+F32/1000</f>
        <v>3.4300000000000004E-4</v>
      </c>
      <c r="P32" s="221">
        <f>+O32</f>
        <v>3.4300000000000004E-4</v>
      </c>
      <c r="Q32" s="208">
        <f t="shared" si="11"/>
        <v>1.3720000000000001</v>
      </c>
      <c r="R32" s="209">
        <f t="shared" si="14"/>
        <v>0</v>
      </c>
    </row>
    <row r="33" spans="1:60" s="134" customFormat="1" ht="15" customHeight="1" thickBot="1" x14ac:dyDescent="0.3">
      <c r="A33" s="313" t="s">
        <v>92</v>
      </c>
      <c r="B33" s="124" t="s">
        <v>93</v>
      </c>
      <c r="C33" s="125" t="s">
        <v>4</v>
      </c>
      <c r="D33" s="48" t="s">
        <v>94</v>
      </c>
      <c r="E33" s="126">
        <v>0.152</v>
      </c>
      <c r="F33" s="139">
        <v>0.152</v>
      </c>
      <c r="G33" s="126" t="s">
        <v>80</v>
      </c>
      <c r="H33" s="127" t="s">
        <v>75</v>
      </c>
      <c r="I33" s="125">
        <v>4</v>
      </c>
      <c r="J33" s="125" t="s">
        <v>84</v>
      </c>
      <c r="K33" s="279">
        <f t="shared" si="17"/>
        <v>16000</v>
      </c>
      <c r="L33" s="140" t="s">
        <v>85</v>
      </c>
      <c r="M33" s="268"/>
      <c r="N33" s="314"/>
      <c r="O33" s="114">
        <f>+F33</f>
        <v>0.152</v>
      </c>
      <c r="P33" s="227">
        <f>+I33*O33</f>
        <v>0.60799999999999998</v>
      </c>
      <c r="Q33" s="116">
        <f t="shared" si="11"/>
        <v>2432</v>
      </c>
      <c r="R33" s="210">
        <f t="shared" si="14"/>
        <v>0</v>
      </c>
    </row>
    <row r="34" spans="1:60" s="152" customFormat="1" ht="30.75" customHeight="1" x14ac:dyDescent="0.25">
      <c r="A34" s="141" t="str">
        <f>+A29</f>
        <v>TRANSFER PLANTILLA</v>
      </c>
      <c r="B34" s="142" t="str">
        <f>+B29</f>
        <v>REFIL</v>
      </c>
      <c r="C34" s="143" t="str">
        <f>+C29</f>
        <v>NEGRO</v>
      </c>
      <c r="D34" s="143"/>
      <c r="E34" s="144"/>
      <c r="F34" s="144"/>
      <c r="G34" s="144"/>
      <c r="H34" s="145"/>
      <c r="I34" s="143"/>
      <c r="J34" s="143"/>
      <c r="K34" s="146"/>
      <c r="L34" s="147"/>
      <c r="M34" s="251"/>
      <c r="N34" s="251"/>
      <c r="O34" s="223">
        <v>0</v>
      </c>
      <c r="P34" s="224">
        <f t="shared" ref="P34:P47" si="19">+I34*O34</f>
        <v>0</v>
      </c>
      <c r="Q34" s="225">
        <f t="shared" si="11"/>
        <v>0</v>
      </c>
      <c r="R34" s="226">
        <v>0</v>
      </c>
    </row>
    <row r="35" spans="1:60" s="152" customFormat="1" ht="15.75" thickBot="1" x14ac:dyDescent="0.3">
      <c r="A35" s="153" t="s">
        <v>95</v>
      </c>
      <c r="B35" s="154" t="str">
        <f>+B30</f>
        <v>NOM 020 4044</v>
      </c>
      <c r="C35" s="155" t="s">
        <v>96</v>
      </c>
      <c r="D35" s="156" t="s">
        <v>97</v>
      </c>
      <c r="E35" s="157" t="s">
        <v>98</v>
      </c>
      <c r="F35" s="157" t="s">
        <v>99</v>
      </c>
      <c r="G35" s="157"/>
      <c r="H35" s="158"/>
      <c r="I35" s="155"/>
      <c r="J35" s="159"/>
      <c r="K35" s="160"/>
      <c r="L35" s="161"/>
      <c r="M35" s="252"/>
      <c r="N35" s="252"/>
      <c r="O35" s="148">
        <v>0</v>
      </c>
      <c r="P35" s="149">
        <v>0</v>
      </c>
      <c r="Q35" s="150">
        <f t="shared" si="11"/>
        <v>0</v>
      </c>
      <c r="R35" s="151">
        <v>0</v>
      </c>
    </row>
    <row r="36" spans="1:60" s="152" customFormat="1" ht="15.75" thickBot="1" x14ac:dyDescent="0.3">
      <c r="A36" s="153" t="s">
        <v>100</v>
      </c>
      <c r="B36" s="154" t="s">
        <v>145</v>
      </c>
      <c r="C36" s="159"/>
      <c r="D36" s="159"/>
      <c r="E36" s="157"/>
      <c r="F36" s="157"/>
      <c r="G36" s="157"/>
      <c r="H36" s="158"/>
      <c r="I36" s="159"/>
      <c r="J36" s="159"/>
      <c r="K36" s="160"/>
      <c r="L36" s="161"/>
      <c r="M36" s="252"/>
      <c r="N36" s="252"/>
      <c r="O36" s="148">
        <v>0</v>
      </c>
      <c r="P36" s="149">
        <f t="shared" si="19"/>
        <v>0</v>
      </c>
      <c r="Q36" s="150">
        <f t="shared" si="11"/>
        <v>0</v>
      </c>
      <c r="R36" s="151">
        <v>0</v>
      </c>
    </row>
    <row r="37" spans="1:60" s="152" customFormat="1" ht="15.75" thickBot="1" x14ac:dyDescent="0.3">
      <c r="A37" s="153" t="s">
        <v>101</v>
      </c>
      <c r="B37" s="154" t="s">
        <v>4</v>
      </c>
      <c r="C37" s="155">
        <v>1</v>
      </c>
      <c r="D37" s="155" t="s">
        <v>102</v>
      </c>
      <c r="E37" s="157"/>
      <c r="F37" s="157" t="s">
        <v>143</v>
      </c>
      <c r="G37" s="157"/>
      <c r="H37" s="158"/>
      <c r="I37" s="155"/>
      <c r="J37" s="159"/>
      <c r="K37" s="160"/>
      <c r="L37" s="161"/>
      <c r="M37" s="252"/>
      <c r="N37" s="252"/>
      <c r="O37" s="148">
        <v>0</v>
      </c>
      <c r="P37" s="149">
        <f t="shared" si="19"/>
        <v>0</v>
      </c>
      <c r="Q37" s="150">
        <f t="shared" si="11"/>
        <v>0</v>
      </c>
      <c r="R37" s="151">
        <v>0</v>
      </c>
    </row>
    <row r="38" spans="1:60" s="152" customFormat="1" ht="15.75" thickBot="1" x14ac:dyDescent="0.3">
      <c r="A38" s="153" t="s">
        <v>103</v>
      </c>
      <c r="B38" s="154" t="s">
        <v>4</v>
      </c>
      <c r="C38" s="155">
        <v>1</v>
      </c>
      <c r="D38" s="155" t="s">
        <v>102</v>
      </c>
      <c r="E38" s="157"/>
      <c r="F38" s="157"/>
      <c r="G38" s="157"/>
      <c r="H38" s="158"/>
      <c r="I38" s="159"/>
      <c r="J38" s="159"/>
      <c r="K38" s="160"/>
      <c r="L38" s="161"/>
      <c r="M38" s="252"/>
      <c r="N38" s="252"/>
      <c r="O38" s="148">
        <v>0</v>
      </c>
      <c r="P38" s="149">
        <f t="shared" si="19"/>
        <v>0</v>
      </c>
      <c r="Q38" s="150">
        <f t="shared" si="11"/>
        <v>0</v>
      </c>
      <c r="R38" s="151">
        <v>0</v>
      </c>
    </row>
    <row r="39" spans="1:60" x14ac:dyDescent="0.25">
      <c r="A39" s="162"/>
      <c r="B39" s="163"/>
      <c r="C39" s="163"/>
      <c r="D39" s="163"/>
      <c r="E39" s="163"/>
      <c r="F39" s="163"/>
      <c r="G39" s="163"/>
      <c r="H39" s="163"/>
      <c r="I39" s="163"/>
      <c r="J39" s="163"/>
      <c r="K39" s="163"/>
      <c r="L39" s="163"/>
      <c r="M39" s="253"/>
      <c r="N39" s="254"/>
      <c r="O39" s="148">
        <v>0</v>
      </c>
      <c r="P39" s="149">
        <f t="shared" si="19"/>
        <v>0</v>
      </c>
      <c r="Q39" s="150">
        <f t="shared" si="11"/>
        <v>0</v>
      </c>
      <c r="R39" s="151">
        <v>0</v>
      </c>
    </row>
    <row r="40" spans="1:60" x14ac:dyDescent="0.25">
      <c r="A40" s="164"/>
      <c r="B40" s="1"/>
      <c r="C40" s="28" t="s">
        <v>151</v>
      </c>
      <c r="F40" s="28"/>
      <c r="G40" s="1"/>
      <c r="H40" s="1"/>
      <c r="I40" s="27"/>
      <c r="J40" s="28" t="s">
        <v>150</v>
      </c>
      <c r="K40" s="1"/>
      <c r="L40" s="296" t="s">
        <v>104</v>
      </c>
      <c r="M40" s="239"/>
      <c r="N40" s="255"/>
      <c r="O40" s="148">
        <v>0</v>
      </c>
      <c r="P40" s="149">
        <f t="shared" si="19"/>
        <v>0</v>
      </c>
      <c r="Q40" s="150">
        <f t="shared" si="11"/>
        <v>0</v>
      </c>
      <c r="R40" s="151">
        <v>0</v>
      </c>
    </row>
    <row r="41" spans="1:60" x14ac:dyDescent="0.25">
      <c r="A41" s="164"/>
      <c r="B41" s="1"/>
      <c r="C41" s="1"/>
      <c r="D41" s="1"/>
      <c r="E41" s="1"/>
      <c r="F41" s="1"/>
      <c r="G41" s="1"/>
      <c r="H41" s="1"/>
      <c r="I41" s="27"/>
      <c r="J41" s="1"/>
      <c r="K41" s="1"/>
      <c r="L41" s="1"/>
      <c r="M41" s="239"/>
      <c r="N41" s="255"/>
      <c r="O41" s="148">
        <v>0</v>
      </c>
      <c r="P41" s="149">
        <f t="shared" si="19"/>
        <v>0</v>
      </c>
      <c r="Q41" s="150">
        <f t="shared" si="11"/>
        <v>0</v>
      </c>
      <c r="R41" s="151">
        <v>0</v>
      </c>
    </row>
    <row r="42" spans="1:60" x14ac:dyDescent="0.25">
      <c r="A42" s="164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239"/>
      <c r="N42" s="255"/>
      <c r="O42" s="148">
        <v>0</v>
      </c>
      <c r="P42" s="149">
        <f t="shared" si="19"/>
        <v>0</v>
      </c>
      <c r="Q42" s="150">
        <f t="shared" si="11"/>
        <v>0</v>
      </c>
      <c r="R42" s="151">
        <v>0</v>
      </c>
    </row>
    <row r="43" spans="1:60" ht="54.75" customHeight="1" x14ac:dyDescent="0.25">
      <c r="A43" s="164"/>
      <c r="B43" s="1"/>
      <c r="C43" s="1"/>
      <c r="D43" s="1"/>
      <c r="E43" s="1"/>
      <c r="F43" s="1"/>
      <c r="G43" s="1"/>
      <c r="H43" s="1"/>
      <c r="I43" s="27"/>
      <c r="K43" s="1"/>
      <c r="L43" s="1"/>
      <c r="M43" s="239"/>
      <c r="N43" s="255"/>
      <c r="O43" s="285">
        <v>0</v>
      </c>
      <c r="P43" s="286">
        <f t="shared" si="19"/>
        <v>0</v>
      </c>
      <c r="Q43" s="287">
        <f t="shared" si="11"/>
        <v>0</v>
      </c>
      <c r="R43" s="288">
        <v>0</v>
      </c>
    </row>
    <row r="44" spans="1:60" s="166" customFormat="1" ht="42" customHeight="1" x14ac:dyDescent="0.25">
      <c r="A44" s="164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239"/>
      <c r="N44" s="255"/>
      <c r="O44" s="285">
        <v>0</v>
      </c>
      <c r="P44" s="286">
        <f t="shared" si="19"/>
        <v>0</v>
      </c>
      <c r="Q44" s="287">
        <f t="shared" si="11"/>
        <v>0</v>
      </c>
      <c r="R44" s="288">
        <v>0</v>
      </c>
      <c r="S44" s="165"/>
      <c r="T44" s="165"/>
      <c r="U44" s="165"/>
      <c r="V44" s="165"/>
      <c r="W44" s="165"/>
      <c r="X44" s="165"/>
      <c r="Y44" s="165"/>
      <c r="Z44" s="165"/>
      <c r="AA44" s="165"/>
      <c r="AB44" s="165"/>
      <c r="AC44" s="165"/>
      <c r="AD44" s="165"/>
      <c r="AE44" s="165"/>
      <c r="AF44" s="165"/>
      <c r="AG44" s="165"/>
      <c r="AH44" s="165"/>
      <c r="AI44" s="165"/>
      <c r="AJ44" s="165"/>
      <c r="AK44" s="165"/>
      <c r="AL44" s="165"/>
      <c r="AM44" s="165"/>
      <c r="AN44" s="165"/>
      <c r="AO44" s="165"/>
      <c r="AP44" s="165"/>
      <c r="AQ44" s="165"/>
      <c r="AR44" s="165"/>
      <c r="AS44" s="165"/>
      <c r="AT44" s="165"/>
      <c r="AU44" s="165"/>
      <c r="AV44" s="165"/>
      <c r="AW44" s="165"/>
      <c r="AX44" s="165"/>
      <c r="AY44" s="165"/>
      <c r="AZ44" s="165"/>
      <c r="BA44" s="165"/>
      <c r="BB44" s="165"/>
      <c r="BC44" s="165"/>
      <c r="BD44" s="165"/>
      <c r="BE44" s="165"/>
      <c r="BF44" s="165"/>
      <c r="BG44" s="165"/>
      <c r="BH44" s="165"/>
    </row>
    <row r="45" spans="1:60" s="166" customFormat="1" ht="27" customHeight="1" x14ac:dyDescent="0.25">
      <c r="A45" s="164"/>
      <c r="B45" s="1"/>
      <c r="C45" s="167"/>
      <c r="D45" s="1"/>
      <c r="E45" s="1"/>
      <c r="F45" s="1"/>
      <c r="G45" s="1"/>
      <c r="H45" s="1"/>
      <c r="I45" s="1"/>
      <c r="J45" s="1"/>
      <c r="K45" s="1"/>
      <c r="L45" s="1"/>
      <c r="M45" s="239"/>
      <c r="N45" s="255"/>
      <c r="O45" s="285">
        <v>0</v>
      </c>
      <c r="P45" s="286">
        <f t="shared" si="19"/>
        <v>0</v>
      </c>
      <c r="Q45" s="287">
        <f t="shared" si="11"/>
        <v>0</v>
      </c>
      <c r="R45" s="288">
        <v>0</v>
      </c>
      <c r="S45" s="165"/>
      <c r="T45" s="165"/>
      <c r="U45" s="165"/>
      <c r="V45" s="165"/>
      <c r="W45" s="165"/>
      <c r="X45" s="165"/>
      <c r="Y45" s="165"/>
      <c r="Z45" s="165"/>
      <c r="AA45" s="165"/>
      <c r="AB45" s="165"/>
      <c r="AC45" s="165"/>
      <c r="AD45" s="165"/>
      <c r="AE45" s="165"/>
      <c r="AF45" s="165"/>
      <c r="AG45" s="165"/>
      <c r="AH45" s="165"/>
      <c r="AI45" s="165"/>
      <c r="AJ45" s="165"/>
      <c r="AK45" s="165"/>
      <c r="AL45" s="165"/>
      <c r="AM45" s="165"/>
      <c r="AN45" s="165"/>
      <c r="AO45" s="165"/>
      <c r="AP45" s="165"/>
      <c r="AQ45" s="165"/>
      <c r="AR45" s="165"/>
      <c r="AS45" s="165"/>
      <c r="AT45" s="165"/>
      <c r="AU45" s="165"/>
      <c r="AV45" s="165"/>
      <c r="AW45" s="165"/>
      <c r="AX45" s="165"/>
      <c r="AY45" s="165"/>
      <c r="AZ45" s="165"/>
      <c r="BA45" s="165"/>
      <c r="BB45" s="165"/>
      <c r="BC45" s="165"/>
      <c r="BD45" s="165"/>
      <c r="BE45" s="165"/>
      <c r="BF45" s="165"/>
      <c r="BG45" s="165"/>
      <c r="BH45" s="165"/>
    </row>
    <row r="46" spans="1:60" s="166" customFormat="1" ht="34.5" customHeight="1" x14ac:dyDescent="0.25">
      <c r="A46" s="168" t="s">
        <v>144</v>
      </c>
      <c r="B46" s="169"/>
      <c r="C46" s="169"/>
      <c r="D46" s="1"/>
      <c r="E46" s="1"/>
      <c r="F46" s="1"/>
      <c r="G46" s="1"/>
      <c r="H46" s="1"/>
      <c r="I46" s="1"/>
      <c r="J46" s="1"/>
      <c r="K46" s="1"/>
      <c r="L46" s="1"/>
      <c r="M46" s="239"/>
      <c r="N46" s="255"/>
      <c r="O46" s="285">
        <v>0</v>
      </c>
      <c r="P46" s="286">
        <f t="shared" si="19"/>
        <v>0</v>
      </c>
      <c r="Q46" s="287">
        <f t="shared" si="11"/>
        <v>0</v>
      </c>
      <c r="R46" s="288">
        <v>0</v>
      </c>
      <c r="S46" s="165"/>
      <c r="T46" s="165"/>
      <c r="U46" s="165"/>
      <c r="V46" s="165"/>
      <c r="W46" s="165"/>
      <c r="X46" s="165"/>
      <c r="Y46" s="165"/>
      <c r="Z46" s="165"/>
      <c r="AA46" s="165"/>
      <c r="AB46" s="165"/>
      <c r="AC46" s="165"/>
      <c r="AD46" s="165"/>
      <c r="AE46" s="165"/>
      <c r="AF46" s="165"/>
      <c r="AG46" s="165"/>
      <c r="AH46" s="165"/>
      <c r="AI46" s="165"/>
      <c r="AJ46" s="165"/>
      <c r="AK46" s="165"/>
      <c r="AL46" s="165"/>
      <c r="AM46" s="165"/>
      <c r="AN46" s="165"/>
      <c r="AO46" s="165"/>
      <c r="AP46" s="165"/>
      <c r="AQ46" s="165"/>
      <c r="AR46" s="165"/>
      <c r="AS46" s="165"/>
      <c r="AT46" s="165"/>
      <c r="AU46" s="165"/>
      <c r="AV46" s="165"/>
      <c r="AW46" s="165"/>
      <c r="AX46" s="165"/>
      <c r="AY46" s="165"/>
      <c r="AZ46" s="165"/>
      <c r="BA46" s="165"/>
      <c r="BB46" s="165"/>
      <c r="BC46" s="165"/>
      <c r="BD46" s="165"/>
      <c r="BE46" s="165"/>
      <c r="BF46" s="165"/>
      <c r="BG46" s="165"/>
      <c r="BH46" s="165"/>
    </row>
    <row r="47" spans="1:60" s="166" customFormat="1" ht="15.75" thickBot="1" x14ac:dyDescent="0.3">
      <c r="A47" s="170"/>
      <c r="B47" s="171"/>
      <c r="C47" s="172"/>
      <c r="D47" s="171"/>
      <c r="E47" s="171"/>
      <c r="F47" s="171"/>
      <c r="G47" s="171"/>
      <c r="H47" s="171"/>
      <c r="I47" s="171"/>
      <c r="J47" s="171"/>
      <c r="K47" s="171"/>
      <c r="L47" s="171"/>
      <c r="M47" s="256"/>
      <c r="N47" s="257"/>
      <c r="O47" s="289">
        <v>0</v>
      </c>
      <c r="P47" s="290">
        <f t="shared" si="19"/>
        <v>0</v>
      </c>
      <c r="Q47" s="291">
        <f t="shared" si="11"/>
        <v>0</v>
      </c>
      <c r="R47" s="292">
        <v>0</v>
      </c>
      <c r="S47" s="165"/>
      <c r="T47" s="165"/>
      <c r="U47" s="165"/>
      <c r="V47" s="165"/>
      <c r="W47" s="165"/>
      <c r="X47" s="165"/>
      <c r="Y47" s="165"/>
      <c r="Z47" s="165"/>
      <c r="AA47" s="165"/>
      <c r="AB47" s="165"/>
      <c r="AC47" s="165"/>
      <c r="AD47" s="165"/>
      <c r="AE47" s="165"/>
      <c r="AF47" s="165"/>
      <c r="AG47" s="165"/>
      <c r="AH47" s="165"/>
      <c r="AI47" s="165"/>
      <c r="AJ47" s="165"/>
      <c r="AK47" s="165"/>
      <c r="AL47" s="165"/>
      <c r="AM47" s="165"/>
      <c r="AN47" s="165"/>
      <c r="AO47" s="165"/>
      <c r="AP47" s="165"/>
      <c r="AQ47" s="165"/>
      <c r="AR47" s="165"/>
      <c r="AS47" s="165"/>
      <c r="AT47" s="165"/>
      <c r="AU47" s="165"/>
      <c r="AV47" s="165"/>
      <c r="AW47" s="165"/>
      <c r="AX47" s="165"/>
      <c r="AY47" s="165"/>
      <c r="AZ47" s="165"/>
      <c r="BA47" s="165"/>
      <c r="BB47" s="165"/>
      <c r="BC47" s="165"/>
      <c r="BD47" s="165"/>
      <c r="BE47" s="165"/>
      <c r="BF47" s="165"/>
      <c r="BG47" s="165"/>
      <c r="BH47" s="165"/>
    </row>
    <row r="48" spans="1:60" ht="15.75" thickBot="1" x14ac:dyDescent="0.3">
      <c r="J48" s="173"/>
      <c r="K48" s="174"/>
      <c r="L48" s="174"/>
      <c r="M48" s="258"/>
      <c r="N48" s="259" t="s">
        <v>105</v>
      </c>
      <c r="O48" s="175"/>
      <c r="P48" s="235">
        <f>SUM(P10:P47)</f>
        <v>71.103515544316153</v>
      </c>
      <c r="Q48" s="235">
        <f>SUM(Q10:Q47)</f>
        <v>284414.0621772646</v>
      </c>
      <c r="R48" s="236">
        <f>SUM(R10:R47)</f>
        <v>0</v>
      </c>
      <c r="S48" s="228"/>
      <c r="T48" s="308"/>
      <c r="U48" s="319"/>
    </row>
    <row r="49" spans="4:22" ht="15.75" thickBot="1" x14ac:dyDescent="0.3">
      <c r="J49" s="176">
        <v>178</v>
      </c>
      <c r="K49" s="177"/>
      <c r="L49" s="178"/>
      <c r="M49" s="260" t="s">
        <v>106</v>
      </c>
      <c r="N49" s="261" t="s">
        <v>107</v>
      </c>
      <c r="O49" s="175"/>
      <c r="P49" s="175">
        <v>1.5</v>
      </c>
      <c r="Q49" s="179">
        <f>+P49*$L$4</f>
        <v>6000</v>
      </c>
      <c r="R49" s="179">
        <f>+O49</f>
        <v>0</v>
      </c>
    </row>
    <row r="50" spans="4:22" x14ac:dyDescent="0.25">
      <c r="J50" s="180"/>
      <c r="K50" s="181"/>
      <c r="L50" s="182"/>
      <c r="M50" s="262" t="s">
        <v>108</v>
      </c>
      <c r="N50" s="263" t="s">
        <v>109</v>
      </c>
      <c r="O50" s="175"/>
      <c r="P50" s="175">
        <f>+O50/L4</f>
        <v>0</v>
      </c>
      <c r="Q50" s="179">
        <f t="shared" ref="Q50:Q56" si="20">+P50*$L$4</f>
        <v>0</v>
      </c>
      <c r="R50" s="179">
        <v>0</v>
      </c>
    </row>
    <row r="51" spans="4:22" x14ac:dyDescent="0.25">
      <c r="J51" s="180"/>
      <c r="K51" s="181"/>
      <c r="L51" s="182"/>
      <c r="M51" s="262" t="s">
        <v>110</v>
      </c>
      <c r="N51" s="264" t="s">
        <v>111</v>
      </c>
      <c r="O51" s="175">
        <v>0</v>
      </c>
      <c r="P51" s="175">
        <v>0</v>
      </c>
      <c r="Q51" s="179">
        <f t="shared" si="20"/>
        <v>0</v>
      </c>
      <c r="R51" s="179">
        <v>0</v>
      </c>
    </row>
    <row r="52" spans="4:22" x14ac:dyDescent="0.25">
      <c r="J52" s="180"/>
      <c r="K52" s="181"/>
      <c r="L52" s="182"/>
      <c r="M52" s="262" t="s">
        <v>112</v>
      </c>
      <c r="N52" s="264" t="s">
        <v>113</v>
      </c>
      <c r="O52" s="175">
        <v>0</v>
      </c>
      <c r="P52" s="175">
        <f>+O52/1900</f>
        <v>0</v>
      </c>
      <c r="Q52" s="179">
        <f t="shared" si="20"/>
        <v>0</v>
      </c>
      <c r="R52" s="179">
        <v>0</v>
      </c>
    </row>
    <row r="53" spans="4:22" x14ac:dyDescent="0.25">
      <c r="J53" s="180"/>
      <c r="K53" s="181"/>
      <c r="L53" s="182"/>
      <c r="M53" s="262" t="s">
        <v>112</v>
      </c>
      <c r="N53" s="264" t="s">
        <v>114</v>
      </c>
      <c r="O53" s="175">
        <v>0</v>
      </c>
      <c r="P53" s="175">
        <f>+O53/1900</f>
        <v>0</v>
      </c>
      <c r="Q53" s="179">
        <f t="shared" si="20"/>
        <v>0</v>
      </c>
      <c r="R53" s="179">
        <v>0</v>
      </c>
      <c r="V53" s="166"/>
    </row>
    <row r="54" spans="4:22" x14ac:dyDescent="0.25">
      <c r="J54" s="180"/>
      <c r="K54" s="181"/>
      <c r="L54" s="182"/>
      <c r="M54" s="262" t="s">
        <v>112</v>
      </c>
      <c r="N54" s="264" t="s">
        <v>115</v>
      </c>
      <c r="O54" s="175">
        <v>0</v>
      </c>
      <c r="P54" s="175">
        <f t="shared" ref="P54" si="21">+O54</f>
        <v>0</v>
      </c>
      <c r="Q54" s="179">
        <f t="shared" si="20"/>
        <v>0</v>
      </c>
      <c r="R54" s="179">
        <v>0</v>
      </c>
      <c r="V54" s="166"/>
    </row>
    <row r="55" spans="4:22" ht="15.75" thickBot="1" x14ac:dyDescent="0.3">
      <c r="J55" s="183"/>
      <c r="K55" s="184"/>
      <c r="L55" s="185"/>
      <c r="M55" s="265" t="s">
        <v>112</v>
      </c>
      <c r="N55" s="245" t="s">
        <v>111</v>
      </c>
      <c r="O55" s="175">
        <v>0</v>
      </c>
      <c r="P55" s="175">
        <v>0</v>
      </c>
      <c r="Q55" s="179">
        <f t="shared" si="20"/>
        <v>0</v>
      </c>
      <c r="R55" s="179">
        <v>0</v>
      </c>
      <c r="V55" s="166"/>
    </row>
    <row r="56" spans="4:22" x14ac:dyDescent="0.25">
      <c r="J56" s="182"/>
      <c r="K56" s="182"/>
      <c r="L56" s="182"/>
      <c r="M56" s="262">
        <f>25.78*1.16</f>
        <v>29.904799999999998</v>
      </c>
      <c r="P56" s="186">
        <f>SUM(P48:P55)-P52-P53</f>
        <v>72.603515544316153</v>
      </c>
      <c r="Q56" s="237">
        <f t="shared" si="20"/>
        <v>290414.0621772646</v>
      </c>
      <c r="R56" s="238">
        <f>+R48+R49</f>
        <v>0</v>
      </c>
      <c r="T56" s="228"/>
      <c r="V56" s="166"/>
    </row>
    <row r="57" spans="4:22" ht="15.75" x14ac:dyDescent="0.25">
      <c r="D57">
        <v>2755</v>
      </c>
      <c r="E57">
        <f>+D57/33</f>
        <v>83.484848484848484</v>
      </c>
      <c r="J57" s="182"/>
      <c r="K57" s="182"/>
      <c r="L57" s="182"/>
      <c r="O57" s="187" t="s">
        <v>116</v>
      </c>
      <c r="P57" s="188">
        <v>40</v>
      </c>
      <c r="S57" s="166"/>
      <c r="T57" s="166"/>
      <c r="V57" s="166"/>
    </row>
    <row r="58" spans="4:22" ht="15.75" x14ac:dyDescent="0.25">
      <c r="E58">
        <f>+E57/140</f>
        <v>0.59632034632034636</v>
      </c>
      <c r="J58" s="182"/>
      <c r="K58" s="182"/>
      <c r="L58" s="182"/>
      <c r="O58" s="187" t="s">
        <v>117</v>
      </c>
      <c r="P58" s="189">
        <v>30</v>
      </c>
      <c r="V58" s="166"/>
    </row>
    <row r="59" spans="4:22" ht="16.5" thickBot="1" x14ac:dyDescent="0.3">
      <c r="E59">
        <f>1.5*E58</f>
        <v>0.89448051948051954</v>
      </c>
      <c r="O59" s="187"/>
      <c r="P59" s="186">
        <f>SUM(P56:P58)</f>
        <v>142.60351554431617</v>
      </c>
      <c r="V59" s="228"/>
    </row>
    <row r="60" spans="4:22" ht="16.5" thickBot="1" x14ac:dyDescent="0.3">
      <c r="O60" s="190" t="s">
        <v>118</v>
      </c>
      <c r="P60" s="191">
        <v>199</v>
      </c>
    </row>
    <row r="61" spans="4:22" ht="15.75" x14ac:dyDescent="0.25">
      <c r="L61">
        <f>25.78/137</f>
        <v>0.18817518248175183</v>
      </c>
      <c r="O61" s="187" t="s">
        <v>119</v>
      </c>
      <c r="P61" s="192">
        <f>+P60-P59</f>
        <v>56.396484455683833</v>
      </c>
      <c r="S61" s="166">
        <f>+S60/5683</f>
        <v>0</v>
      </c>
    </row>
    <row r="62" spans="4:22" x14ac:dyDescent="0.25">
      <c r="L62">
        <f>8*L61</f>
        <v>1.5054014598540146</v>
      </c>
    </row>
    <row r="63" spans="4:22" x14ac:dyDescent="0.25">
      <c r="P63">
        <f>+P60*1.12</f>
        <v>222.88000000000002</v>
      </c>
    </row>
    <row r="64" spans="4:22" x14ac:dyDescent="0.25">
      <c r="O64" s="152" t="s">
        <v>119</v>
      </c>
      <c r="P64" s="228">
        <f>+P63-P59</f>
        <v>80.276484455683857</v>
      </c>
    </row>
  </sheetData>
  <mergeCells count="11">
    <mergeCell ref="C3:D3"/>
    <mergeCell ref="O3:R3"/>
    <mergeCell ref="C4:D4"/>
    <mergeCell ref="M11:M15"/>
    <mergeCell ref="N11:N15"/>
    <mergeCell ref="R11:R15"/>
    <mergeCell ref="M24:M25"/>
    <mergeCell ref="N24:N25"/>
    <mergeCell ref="R24:R25"/>
    <mergeCell ref="A26:A28"/>
    <mergeCell ref="M26:M28"/>
  </mergeCells>
  <printOptions horizontalCentered="1"/>
  <pageMargins left="0" right="0" top="0" bottom="0" header="0" footer="0"/>
  <pageSetup scale="4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516A7-F4B2-47AA-99B8-29CCCEFFD808}">
  <sheetPr>
    <pageSetUpPr fitToPage="1"/>
  </sheetPr>
  <dimension ref="A1:BE24"/>
  <sheetViews>
    <sheetView zoomScale="90" zoomScaleNormal="90" workbookViewId="0">
      <pane ySplit="9" topLeftCell="A19" activePane="bottomLeft" state="frozen"/>
      <selection pane="bottomLeft" activeCell="D21" sqref="D21"/>
    </sheetView>
  </sheetViews>
  <sheetFormatPr baseColWidth="10" defaultRowHeight="15" x14ac:dyDescent="0.25"/>
  <cols>
    <col min="1" max="1" width="17.7109375" customWidth="1"/>
    <col min="2" max="2" width="25.85546875" customWidth="1"/>
    <col min="3" max="3" width="18.85546875" bestFit="1" customWidth="1"/>
    <col min="4" max="4" width="16.42578125" customWidth="1"/>
    <col min="5" max="5" width="13.28515625" hidden="1" customWidth="1"/>
    <col min="6" max="6" width="10.5703125" hidden="1" customWidth="1"/>
    <col min="7" max="7" width="9.28515625" hidden="1" customWidth="1"/>
    <col min="8" max="8" width="8" hidden="1" customWidth="1"/>
    <col min="9" max="9" width="12.140625" customWidth="1"/>
    <col min="10" max="10" width="10.7109375" customWidth="1"/>
    <col min="11" max="11" width="16.140625" customWidth="1"/>
    <col min="12" max="12" width="20.85546875" customWidth="1"/>
    <col min="13" max="16" width="11.42578125" customWidth="1"/>
  </cols>
  <sheetData>
    <row r="1" spans="1:57" x14ac:dyDescent="0.25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57" ht="15.75" thickBot="1" x14ac:dyDescent="0.3">
      <c r="A2" s="1"/>
      <c r="B2" s="1"/>
      <c r="C2" s="1" t="s">
        <v>0</v>
      </c>
      <c r="D2" s="6"/>
      <c r="E2" s="1"/>
      <c r="F2" s="1"/>
      <c r="G2" s="1"/>
      <c r="H2" s="1"/>
      <c r="I2" s="1"/>
      <c r="J2" s="1"/>
      <c r="K2" s="7" t="s">
        <v>1</v>
      </c>
      <c r="L2" s="8">
        <f>+'863712 BASE DEL 330-69'!L2</f>
        <v>98460399</v>
      </c>
      <c r="M2" s="1"/>
      <c r="N2" s="1"/>
      <c r="O2" s="1"/>
      <c r="P2" s="1"/>
    </row>
    <row r="3" spans="1:57" ht="24" thickBot="1" x14ac:dyDescent="0.4">
      <c r="A3" s="1"/>
      <c r="B3" s="1"/>
      <c r="C3" s="332">
        <v>863712</v>
      </c>
      <c r="D3" s="333"/>
      <c r="E3" s="1"/>
      <c r="F3" s="1"/>
      <c r="G3" s="1"/>
      <c r="H3" s="1"/>
      <c r="I3" s="1"/>
      <c r="J3" s="1"/>
      <c r="K3" s="13" t="s">
        <v>2</v>
      </c>
      <c r="L3" s="14">
        <f>+'863712 BASE DEL 330-69'!L3</f>
        <v>202541</v>
      </c>
      <c r="M3" s="1"/>
      <c r="N3" s="1"/>
      <c r="O3" s="1"/>
      <c r="P3" s="1"/>
    </row>
    <row r="4" spans="1:57" ht="16.5" thickBot="1" x14ac:dyDescent="0.3">
      <c r="A4" s="1"/>
      <c r="B4" s="1"/>
      <c r="C4" s="332" t="s">
        <v>4</v>
      </c>
      <c r="D4" s="333"/>
      <c r="E4" s="1"/>
      <c r="F4" s="1"/>
      <c r="G4" s="1"/>
      <c r="H4" s="1"/>
      <c r="I4" s="1"/>
      <c r="J4" s="1"/>
      <c r="K4" s="6" t="s">
        <v>5</v>
      </c>
      <c r="L4" s="15">
        <f>+'863712 BASE DEL 330-69'!L4</f>
        <v>3486</v>
      </c>
      <c r="M4" s="16"/>
      <c r="N4" s="16"/>
      <c r="O4" s="16"/>
      <c r="P4" s="8"/>
    </row>
    <row r="5" spans="1:57" ht="15.75" thickBot="1" x14ac:dyDescent="0.3">
      <c r="A5" s="1"/>
      <c r="B5" s="1"/>
      <c r="C5" s="17" t="s">
        <v>6</v>
      </c>
      <c r="D5" s="18" t="s">
        <v>7</v>
      </c>
      <c r="E5" s="1"/>
      <c r="F5" s="1"/>
      <c r="G5" s="1"/>
      <c r="H5" s="1"/>
      <c r="I5" s="1"/>
      <c r="J5" s="1"/>
      <c r="K5" s="1"/>
      <c r="L5" s="19"/>
      <c r="M5" s="1"/>
      <c r="N5" s="1"/>
      <c r="O5" s="1"/>
      <c r="P5" s="1"/>
    </row>
    <row r="6" spans="1:57" x14ac:dyDescent="0.25">
      <c r="A6" s="20"/>
      <c r="B6" s="21"/>
      <c r="C6" s="1"/>
      <c r="D6" s="1"/>
      <c r="E6" s="1"/>
      <c r="F6" s="1"/>
      <c r="G6" s="1"/>
      <c r="H6" s="1"/>
      <c r="I6" s="1"/>
      <c r="J6" s="1"/>
      <c r="K6" s="22" t="s">
        <v>8</v>
      </c>
      <c r="L6" s="23"/>
      <c r="M6" s="24"/>
      <c r="N6" s="24"/>
      <c r="O6" s="24"/>
      <c r="P6" s="1"/>
    </row>
    <row r="7" spans="1:57" ht="15.75" x14ac:dyDescent="0.25">
      <c r="A7" s="20" t="s">
        <v>9</v>
      </c>
      <c r="B7" s="21"/>
      <c r="C7" s="25" t="s">
        <v>10</v>
      </c>
      <c r="D7" s="1"/>
      <c r="E7" s="1"/>
      <c r="F7" s="1"/>
      <c r="G7" s="1"/>
      <c r="H7" s="1"/>
      <c r="I7" s="1"/>
      <c r="J7" s="26"/>
      <c r="K7" s="27"/>
      <c r="L7" s="28"/>
      <c r="M7" s="1"/>
      <c r="N7" s="1"/>
      <c r="O7" s="1"/>
      <c r="P7" s="1"/>
    </row>
    <row r="8" spans="1:57" ht="36.75" customHeight="1" thickBot="1" x14ac:dyDescent="0.3">
      <c r="A8" s="30">
        <v>45252</v>
      </c>
      <c r="B8" s="31" t="s">
        <v>11</v>
      </c>
      <c r="C8" s="32" t="s">
        <v>12</v>
      </c>
      <c r="D8" s="1"/>
      <c r="E8" s="1"/>
      <c r="F8" s="1"/>
      <c r="G8" s="1"/>
      <c r="H8" s="1"/>
      <c r="I8" s="1"/>
      <c r="J8" s="33"/>
      <c r="K8" s="34" t="s">
        <v>13</v>
      </c>
      <c r="L8" s="35"/>
      <c r="M8" s="1"/>
      <c r="N8" s="1"/>
      <c r="O8" s="1"/>
      <c r="P8" s="1"/>
    </row>
    <row r="9" spans="1:57" s="44" customFormat="1" ht="39.75" customHeight="1" thickBot="1" x14ac:dyDescent="0.3">
      <c r="A9" s="40" t="s">
        <v>14</v>
      </c>
      <c r="B9" s="41" t="s">
        <v>15</v>
      </c>
      <c r="C9" s="41" t="s">
        <v>16</v>
      </c>
      <c r="D9" s="41" t="s">
        <v>17</v>
      </c>
      <c r="E9" s="42" t="s">
        <v>18</v>
      </c>
      <c r="F9" s="42" t="s">
        <v>19</v>
      </c>
      <c r="G9" s="42" t="s">
        <v>20</v>
      </c>
      <c r="H9" s="42" t="s">
        <v>21</v>
      </c>
      <c r="I9" s="42" t="s">
        <v>22</v>
      </c>
      <c r="J9" s="42" t="s">
        <v>23</v>
      </c>
      <c r="K9" s="41" t="s">
        <v>24</v>
      </c>
      <c r="L9" s="43" t="s">
        <v>25</v>
      </c>
      <c r="M9" s="43" t="s">
        <v>120</v>
      </c>
      <c r="N9" s="43" t="s">
        <v>25</v>
      </c>
      <c r="O9" s="43" t="s">
        <v>121</v>
      </c>
      <c r="P9" s="43" t="s">
        <v>27</v>
      </c>
    </row>
    <row r="10" spans="1:57" s="60" customFormat="1" ht="27" customHeight="1" x14ac:dyDescent="0.25">
      <c r="A10" s="45" t="s">
        <v>32</v>
      </c>
      <c r="B10" s="46" t="s">
        <v>33</v>
      </c>
      <c r="C10" s="47" t="s">
        <v>34</v>
      </c>
      <c r="D10" s="48" t="s">
        <v>35</v>
      </c>
      <c r="E10" s="49">
        <v>66.62</v>
      </c>
      <c r="F10" s="50">
        <f>+E10*1.16</f>
        <v>77.279200000000003</v>
      </c>
      <c r="G10" s="51" t="s">
        <v>36</v>
      </c>
      <c r="H10" s="52">
        <v>137</v>
      </c>
      <c r="I10" s="53">
        <v>2.35</v>
      </c>
      <c r="J10" s="54" t="s">
        <v>37</v>
      </c>
      <c r="K10" s="193">
        <f>(I10*$L$4)/H10</f>
        <v>59.796350364963509</v>
      </c>
      <c r="L10" s="199" t="s">
        <v>38</v>
      </c>
      <c r="M10" s="348">
        <f>SUM(K10:K14)</f>
        <v>306.36087591240874</v>
      </c>
      <c r="N10" s="348" t="s">
        <v>38</v>
      </c>
      <c r="O10" s="348"/>
      <c r="P10" s="348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</row>
    <row r="11" spans="1:57" s="60" customFormat="1" ht="27" customHeight="1" x14ac:dyDescent="0.25">
      <c r="A11" s="61" t="s">
        <v>39</v>
      </c>
      <c r="B11" s="46" t="s">
        <v>33</v>
      </c>
      <c r="C11" s="47" t="s">
        <v>34</v>
      </c>
      <c r="D11" s="48" t="s">
        <v>35</v>
      </c>
      <c r="E11" s="49">
        <v>66.62</v>
      </c>
      <c r="F11" s="62">
        <f>+E11*1.16</f>
        <v>77.279200000000003</v>
      </c>
      <c r="G11" s="63" t="s">
        <v>36</v>
      </c>
      <c r="H11" s="64">
        <v>137</v>
      </c>
      <c r="I11" s="65">
        <v>2.25</v>
      </c>
      <c r="J11" s="66" t="s">
        <v>37</v>
      </c>
      <c r="K11" s="194">
        <f t="shared" ref="K11:K20" si="0">(I11*$L$4)/H11</f>
        <v>57.251824817518248</v>
      </c>
      <c r="L11" s="201" t="s">
        <v>38</v>
      </c>
      <c r="M11" s="349"/>
      <c r="N11" s="349"/>
      <c r="O11" s="349"/>
      <c r="P11" s="349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</row>
    <row r="12" spans="1:57" s="60" customFormat="1" ht="27" customHeight="1" x14ac:dyDescent="0.25">
      <c r="A12" s="71" t="s">
        <v>40</v>
      </c>
      <c r="B12" s="46" t="s">
        <v>33</v>
      </c>
      <c r="C12" s="47" t="s">
        <v>34</v>
      </c>
      <c r="D12" s="48" t="s">
        <v>35</v>
      </c>
      <c r="E12" s="49">
        <v>66.62</v>
      </c>
      <c r="F12" s="62">
        <f t="shared" ref="F12:F22" si="1">+E12*1.16</f>
        <v>77.279200000000003</v>
      </c>
      <c r="G12" s="63" t="s">
        <v>36</v>
      </c>
      <c r="H12" s="64">
        <v>137</v>
      </c>
      <c r="I12" s="66">
        <v>4.82</v>
      </c>
      <c r="J12" s="66" t="s">
        <v>37</v>
      </c>
      <c r="K12" s="194">
        <f t="shared" si="0"/>
        <v>122.64613138686131</v>
      </c>
      <c r="L12" s="201" t="s">
        <v>38</v>
      </c>
      <c r="M12" s="349"/>
      <c r="N12" s="349"/>
      <c r="O12" s="349"/>
      <c r="P12" s="349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</row>
    <row r="13" spans="1:57" s="60" customFormat="1" ht="27" customHeight="1" x14ac:dyDescent="0.25">
      <c r="A13" s="72" t="s">
        <v>41</v>
      </c>
      <c r="B13" s="46" t="s">
        <v>33</v>
      </c>
      <c r="C13" s="47" t="s">
        <v>34</v>
      </c>
      <c r="D13" s="48" t="s">
        <v>35</v>
      </c>
      <c r="E13" s="49">
        <v>66.62</v>
      </c>
      <c r="F13" s="62">
        <f t="shared" si="1"/>
        <v>77.279200000000003</v>
      </c>
      <c r="G13" s="63" t="s">
        <v>36</v>
      </c>
      <c r="H13" s="64">
        <v>137</v>
      </c>
      <c r="I13" s="65">
        <v>0.48</v>
      </c>
      <c r="J13" s="66" t="s">
        <v>37</v>
      </c>
      <c r="K13" s="194">
        <f t="shared" si="0"/>
        <v>12.213722627737226</v>
      </c>
      <c r="L13" s="201" t="s">
        <v>38</v>
      </c>
      <c r="M13" s="349"/>
      <c r="N13" s="349"/>
      <c r="O13" s="349"/>
      <c r="P13" s="349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</row>
    <row r="14" spans="1:57" s="60" customFormat="1" ht="27" customHeight="1" thickBot="1" x14ac:dyDescent="0.3">
      <c r="A14" s="73" t="s">
        <v>42</v>
      </c>
      <c r="B14" s="74" t="s">
        <v>33</v>
      </c>
      <c r="C14" s="75" t="s">
        <v>34</v>
      </c>
      <c r="D14" s="76" t="s">
        <v>35</v>
      </c>
      <c r="E14" s="77">
        <v>66.62</v>
      </c>
      <c r="F14" s="78">
        <f t="shared" si="1"/>
        <v>77.279200000000003</v>
      </c>
      <c r="G14" s="79" t="s">
        <v>36</v>
      </c>
      <c r="H14" s="80">
        <v>137</v>
      </c>
      <c r="I14" s="76">
        <v>2.14</v>
      </c>
      <c r="J14" s="75" t="s">
        <v>37</v>
      </c>
      <c r="K14" s="195">
        <f t="shared" si="0"/>
        <v>54.452846715328477</v>
      </c>
      <c r="L14" s="200" t="s">
        <v>38</v>
      </c>
      <c r="M14" s="350"/>
      <c r="N14" s="350"/>
      <c r="O14" s="350"/>
      <c r="P14" s="350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</row>
    <row r="15" spans="1:57" s="60" customFormat="1" ht="27" customHeight="1" thickBot="1" x14ac:dyDescent="0.3">
      <c r="A15" s="82" t="s">
        <v>43</v>
      </c>
      <c r="B15" s="83" t="s">
        <v>44</v>
      </c>
      <c r="C15" s="84" t="s">
        <v>34</v>
      </c>
      <c r="D15" s="85" t="s">
        <v>35</v>
      </c>
      <c r="E15" s="86">
        <v>66.62</v>
      </c>
      <c r="F15" s="87">
        <f>+E15*1.16</f>
        <v>77.279200000000003</v>
      </c>
      <c r="G15" s="88" t="s">
        <v>36</v>
      </c>
      <c r="H15" s="89">
        <v>137</v>
      </c>
      <c r="I15" s="85">
        <v>7.452</v>
      </c>
      <c r="J15" s="84" t="s">
        <v>37</v>
      </c>
      <c r="K15" s="196">
        <f t="shared" si="0"/>
        <v>189.61804379562042</v>
      </c>
      <c r="L15" s="122" t="s">
        <v>38</v>
      </c>
      <c r="M15" s="202">
        <f>+K15</f>
        <v>189.61804379562042</v>
      </c>
      <c r="N15" s="202" t="s">
        <v>38</v>
      </c>
      <c r="O15" s="202"/>
      <c r="P15" s="202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</row>
    <row r="16" spans="1:57" ht="44.25" customHeight="1" x14ac:dyDescent="0.25">
      <c r="A16" s="91" t="s">
        <v>45</v>
      </c>
      <c r="B16" s="92" t="s">
        <v>46</v>
      </c>
      <c r="C16" s="54" t="s">
        <v>47</v>
      </c>
      <c r="D16" s="53" t="s">
        <v>48</v>
      </c>
      <c r="E16" s="51">
        <v>72</v>
      </c>
      <c r="F16" s="50">
        <f t="shared" si="1"/>
        <v>83.52</v>
      </c>
      <c r="G16" s="93" t="s">
        <v>36</v>
      </c>
      <c r="H16" s="94">
        <v>137</v>
      </c>
      <c r="I16" s="95">
        <v>2.35</v>
      </c>
      <c r="J16" s="54" t="s">
        <v>37</v>
      </c>
      <c r="K16" s="197">
        <f>(I16*$L$4)/H16</f>
        <v>59.796350364963509</v>
      </c>
      <c r="L16" s="199" t="s">
        <v>38</v>
      </c>
      <c r="M16" s="348">
        <f>SUM(K16:K17)</f>
        <v>83.205985401459856</v>
      </c>
      <c r="N16" s="348" t="s">
        <v>38</v>
      </c>
      <c r="O16" s="348"/>
      <c r="P16" s="348"/>
    </row>
    <row r="17" spans="1:57" s="60" customFormat="1" ht="29.25" customHeight="1" thickBot="1" x14ac:dyDescent="0.3">
      <c r="A17" s="96" t="s">
        <v>49</v>
      </c>
      <c r="B17" s="97" t="s">
        <v>46</v>
      </c>
      <c r="C17" s="98" t="s">
        <v>47</v>
      </c>
      <c r="D17" s="99" t="s">
        <v>48</v>
      </c>
      <c r="E17" s="100">
        <v>72</v>
      </c>
      <c r="F17" s="101">
        <f t="shared" si="1"/>
        <v>83.52</v>
      </c>
      <c r="G17" s="102" t="s">
        <v>36</v>
      </c>
      <c r="H17" s="103">
        <v>137</v>
      </c>
      <c r="I17" s="104">
        <v>0.92</v>
      </c>
      <c r="J17" s="98" t="s">
        <v>37</v>
      </c>
      <c r="K17" s="198">
        <f t="shared" si="0"/>
        <v>23.409635036496354</v>
      </c>
      <c r="L17" s="113" t="s">
        <v>38</v>
      </c>
      <c r="M17" s="350"/>
      <c r="N17" s="350"/>
      <c r="O17" s="350"/>
      <c r="P17" s="350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</row>
    <row r="18" spans="1:57" s="60" customFormat="1" ht="39" customHeight="1" thickBot="1" x14ac:dyDescent="0.3">
      <c r="A18" s="82" t="s">
        <v>50</v>
      </c>
      <c r="B18" s="106" t="s">
        <v>51</v>
      </c>
      <c r="C18" s="107" t="s">
        <v>52</v>
      </c>
      <c r="D18" s="85" t="s">
        <v>53</v>
      </c>
      <c r="E18" s="88">
        <v>43</v>
      </c>
      <c r="F18" s="87">
        <f t="shared" si="1"/>
        <v>49.879999999999995</v>
      </c>
      <c r="G18" s="86" t="s">
        <v>36</v>
      </c>
      <c r="H18" s="108">
        <v>137</v>
      </c>
      <c r="I18" s="85">
        <f>16.51+0.4</f>
        <v>16.91</v>
      </c>
      <c r="J18" s="84" t="s">
        <v>37</v>
      </c>
      <c r="K18" s="196">
        <f t="shared" si="0"/>
        <v>430.27927007299269</v>
      </c>
      <c r="L18" s="122" t="s">
        <v>38</v>
      </c>
      <c r="M18" s="202">
        <f t="shared" ref="M18:M24" si="2">+K18</f>
        <v>430.27927007299269</v>
      </c>
      <c r="N18" s="202" t="s">
        <v>38</v>
      </c>
      <c r="O18" s="202"/>
      <c r="P18" s="202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</row>
    <row r="19" spans="1:57" s="60" customFormat="1" ht="29.25" customHeight="1" thickBot="1" x14ac:dyDescent="0.3">
      <c r="A19" s="82" t="s">
        <v>54</v>
      </c>
      <c r="B19" s="106" t="s">
        <v>55</v>
      </c>
      <c r="C19" s="84" t="s">
        <v>4</v>
      </c>
      <c r="D19" s="85" t="s">
        <v>53</v>
      </c>
      <c r="E19" s="88">
        <v>17.86</v>
      </c>
      <c r="F19" s="87">
        <f t="shared" si="1"/>
        <v>20.717599999999997</v>
      </c>
      <c r="G19" s="86" t="s">
        <v>36</v>
      </c>
      <c r="H19" s="108">
        <v>137</v>
      </c>
      <c r="I19" s="85">
        <v>10.08</v>
      </c>
      <c r="J19" s="84" t="s">
        <v>37</v>
      </c>
      <c r="K19" s="196">
        <f t="shared" si="0"/>
        <v>256.48817518248171</v>
      </c>
      <c r="L19" s="122" t="s">
        <v>38</v>
      </c>
      <c r="M19" s="202">
        <f t="shared" si="2"/>
        <v>256.48817518248171</v>
      </c>
      <c r="N19" s="202" t="s">
        <v>38</v>
      </c>
      <c r="O19" s="202"/>
      <c r="P19" s="202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</row>
    <row r="20" spans="1:57" s="60" customFormat="1" ht="39" customHeight="1" thickBot="1" x14ac:dyDescent="0.3">
      <c r="A20" s="96" t="s">
        <v>56</v>
      </c>
      <c r="B20" s="109" t="s">
        <v>57</v>
      </c>
      <c r="C20" s="98" t="s">
        <v>58</v>
      </c>
      <c r="D20" s="99" t="s">
        <v>59</v>
      </c>
      <c r="E20" s="102">
        <v>56.3</v>
      </c>
      <c r="F20" s="101">
        <f t="shared" si="1"/>
        <v>65.307999999999993</v>
      </c>
      <c r="G20" s="100" t="s">
        <v>36</v>
      </c>
      <c r="H20" s="110">
        <v>137</v>
      </c>
      <c r="I20" s="99">
        <v>4.5</v>
      </c>
      <c r="J20" s="98" t="s">
        <v>37</v>
      </c>
      <c r="K20" s="198">
        <f t="shared" si="0"/>
        <v>114.5036496350365</v>
      </c>
      <c r="L20" s="113" t="s">
        <v>38</v>
      </c>
      <c r="M20" s="203">
        <f t="shared" si="2"/>
        <v>114.5036496350365</v>
      </c>
      <c r="N20" s="203" t="s">
        <v>38</v>
      </c>
      <c r="O20" s="203"/>
      <c r="P20" s="203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</row>
    <row r="21" spans="1:57" ht="30.75" thickBot="1" x14ac:dyDescent="0.3">
      <c r="A21" s="111" t="s">
        <v>60</v>
      </c>
      <c r="B21" s="109" t="s">
        <v>61</v>
      </c>
      <c r="C21" s="112" t="s">
        <v>62</v>
      </c>
      <c r="D21" s="99" t="s">
        <v>59</v>
      </c>
      <c r="E21" s="102">
        <v>7.48</v>
      </c>
      <c r="F21" s="100">
        <f>+E21*1</f>
        <v>7.48</v>
      </c>
      <c r="G21" s="100" t="s">
        <v>63</v>
      </c>
      <c r="H21" s="110">
        <v>18</v>
      </c>
      <c r="I21" s="99">
        <f>(1/12)</f>
        <v>8.3333333333333329E-2</v>
      </c>
      <c r="J21" s="98" t="s">
        <v>63</v>
      </c>
      <c r="K21" s="198">
        <f>(I21*$L$4)</f>
        <v>290.5</v>
      </c>
      <c r="L21" s="113" t="s">
        <v>63</v>
      </c>
      <c r="M21" s="203">
        <f t="shared" si="2"/>
        <v>290.5</v>
      </c>
      <c r="N21" s="203" t="s">
        <v>122</v>
      </c>
      <c r="O21" s="203"/>
      <c r="P21" s="203"/>
    </row>
    <row r="22" spans="1:57" ht="33.75" customHeight="1" thickBot="1" x14ac:dyDescent="0.3">
      <c r="A22" s="117" t="s">
        <v>64</v>
      </c>
      <c r="B22" s="83" t="s">
        <v>65</v>
      </c>
      <c r="C22" s="84" t="s">
        <v>66</v>
      </c>
      <c r="D22" s="85" t="s">
        <v>53</v>
      </c>
      <c r="E22" s="88">
        <v>91.8</v>
      </c>
      <c r="F22" s="88">
        <f t="shared" si="1"/>
        <v>106.48799999999999</v>
      </c>
      <c r="G22" s="88" t="s">
        <v>67</v>
      </c>
      <c r="H22" s="89">
        <f>1.2*100</f>
        <v>120</v>
      </c>
      <c r="I22" s="84">
        <v>2.14</v>
      </c>
      <c r="J22" s="84" t="s">
        <v>37</v>
      </c>
      <c r="K22" s="196">
        <f>(I22*$L$4)/H22</f>
        <v>62.167000000000009</v>
      </c>
      <c r="L22" s="122" t="s">
        <v>68</v>
      </c>
      <c r="M22" s="202">
        <f t="shared" si="2"/>
        <v>62.167000000000009</v>
      </c>
      <c r="N22" s="202" t="s">
        <v>107</v>
      </c>
      <c r="O22" s="202"/>
      <c r="P22" s="202"/>
    </row>
    <row r="23" spans="1:57" ht="28.5" customHeight="1" thickBot="1" x14ac:dyDescent="0.3">
      <c r="A23" s="119" t="s">
        <v>69</v>
      </c>
      <c r="B23" s="83" t="s">
        <v>70</v>
      </c>
      <c r="C23" s="84" t="s">
        <v>71</v>
      </c>
      <c r="D23" s="85" t="s">
        <v>72</v>
      </c>
      <c r="E23" s="86">
        <v>18</v>
      </c>
      <c r="F23" s="87">
        <f>+E23*1.16</f>
        <v>20.88</v>
      </c>
      <c r="G23" s="88" t="s">
        <v>36</v>
      </c>
      <c r="H23" s="89">
        <f>0.54*120</f>
        <v>64.800000000000011</v>
      </c>
      <c r="I23" s="120">
        <v>1.7929999999999999</v>
      </c>
      <c r="J23" s="84" t="s">
        <v>37</v>
      </c>
      <c r="K23" s="196">
        <f>(I23*$L$4)/H23</f>
        <v>96.456759259259243</v>
      </c>
      <c r="L23" s="122" t="s">
        <v>68</v>
      </c>
      <c r="M23" s="202">
        <f t="shared" si="2"/>
        <v>96.456759259259243</v>
      </c>
      <c r="N23" s="202" t="s">
        <v>107</v>
      </c>
      <c r="O23" s="202"/>
      <c r="P23" s="202"/>
    </row>
    <row r="24" spans="1:57" s="60" customFormat="1" ht="46.5" customHeight="1" thickBot="1" x14ac:dyDescent="0.3">
      <c r="A24" s="117" t="s">
        <v>77</v>
      </c>
      <c r="B24" s="83" t="s">
        <v>78</v>
      </c>
      <c r="C24" s="84" t="s">
        <v>79</v>
      </c>
      <c r="D24" s="85" t="s">
        <v>53</v>
      </c>
      <c r="E24" s="88">
        <v>46.79</v>
      </c>
      <c r="F24" s="88">
        <f t="shared" ref="F24" si="3">+E24*1.16</f>
        <v>54.276399999999995</v>
      </c>
      <c r="G24" s="88" t="s">
        <v>67</v>
      </c>
      <c r="H24" s="89" t="s">
        <v>75</v>
      </c>
      <c r="I24" s="123">
        <f>1/36</f>
        <v>2.7777777777777776E-2</v>
      </c>
      <c r="J24" s="84" t="s">
        <v>67</v>
      </c>
      <c r="K24" s="196">
        <f>+I24*$L$4</f>
        <v>96.833333333333329</v>
      </c>
      <c r="L24" s="122" t="s">
        <v>68</v>
      </c>
      <c r="M24" s="204">
        <f t="shared" si="2"/>
        <v>96.833333333333329</v>
      </c>
      <c r="N24" s="204" t="s">
        <v>107</v>
      </c>
      <c r="O24" s="204"/>
      <c r="P24" s="20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</row>
  </sheetData>
  <mergeCells count="10">
    <mergeCell ref="O10:O14"/>
    <mergeCell ref="P10:P14"/>
    <mergeCell ref="N16:N17"/>
    <mergeCell ref="O16:O17"/>
    <mergeCell ref="P16:P17"/>
    <mergeCell ref="C3:D3"/>
    <mergeCell ref="C4:D4"/>
    <mergeCell ref="M10:M14"/>
    <mergeCell ref="M16:M17"/>
    <mergeCell ref="N10:N14"/>
  </mergeCells>
  <printOptions horizontalCentered="1"/>
  <pageMargins left="0" right="0" top="0" bottom="0" header="0" footer="0"/>
  <pageSetup scale="9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863712 BASE DEL 330-69</vt:lpstr>
      <vt:lpstr>863712 BASE DEL 330-69 (2)</vt:lpstr>
      <vt:lpstr>PARA CORTE</vt:lpstr>
      <vt:lpstr>'863712 BASE DEL 330-69'!Área_de_impresión</vt:lpstr>
      <vt:lpstr>'863712 BASE DEL 330-69 (2)'!Área_de_impresión</vt:lpstr>
      <vt:lpstr>'PARA CORTE'!Área_de_impresión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Admon lenmarq</dc:creator>
  <cp:lastModifiedBy>AdmonLen</cp:lastModifiedBy>
  <cp:lastPrinted>2025-09-01T23:35:35Z</cp:lastPrinted>
  <dcterms:created xsi:type="dcterms:W3CDTF">2024-01-22T17:10:19Z</dcterms:created>
  <dcterms:modified xsi:type="dcterms:W3CDTF">2025-09-24T23:38:43Z</dcterms:modified>
</cp:coreProperties>
</file>