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hamidras_ntnu_no/Documents/Experiments/Bottle Test Videos/"/>
    </mc:Choice>
  </mc:AlternateContent>
  <xr:revisionPtr revIDLastSave="449" documentId="8_{5183FB62-5358-C643-BD0B-7B43650C471D}" xr6:coauthVersionLast="47" xr6:coauthVersionMax="47" xr10:uidLastSave="{BB6BAAD6-964D-C54C-907D-CD5C0A20761D}"/>
  <bookViews>
    <workbookView xWindow="36700" yWindow="500" windowWidth="35840" windowHeight="20420" firstSheet="1" activeTab="1" xr2:uid="{6DB7D3D2-849B-CB46-BDAC-C79B918AFAB0}"/>
  </bookViews>
  <sheets>
    <sheet name="Main" sheetId="3" r:id="rId1"/>
    <sheet name="Sheet1" sheetId="1" r:id="rId2"/>
  </sheets>
  <definedNames>
    <definedName name="_xlnm.Print_Area" localSheetId="0">Main!$C$4:$S$48</definedName>
    <definedName name="_xlnm.Print_Area" localSheetId="1">Sheet1!$C$4:$S$59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1" i="1" l="1"/>
  <c r="M40" i="1"/>
  <c r="O41" i="1"/>
  <c r="O40" i="1"/>
  <c r="F36" i="1"/>
  <c r="H36" i="1" s="1"/>
  <c r="E36" i="1"/>
  <c r="G36" i="1" s="1"/>
  <c r="D36" i="1"/>
  <c r="F35" i="1"/>
  <c r="H35" i="1" s="1"/>
  <c r="E35" i="1"/>
  <c r="G35" i="1" s="1"/>
  <c r="D35" i="1"/>
  <c r="F34" i="1"/>
  <c r="H34" i="1" s="1"/>
  <c r="E34" i="1"/>
  <c r="G34" i="1" s="1"/>
  <c r="D34" i="1"/>
  <c r="F37" i="1"/>
  <c r="H37" i="1" s="1"/>
  <c r="E37" i="1"/>
  <c r="G37" i="1" s="1"/>
  <c r="D25" i="1"/>
  <c r="D26" i="1"/>
  <c r="D27" i="1"/>
  <c r="D28" i="1"/>
  <c r="D29" i="1"/>
  <c r="D30" i="1"/>
  <c r="D31" i="1"/>
  <c r="D32" i="1"/>
  <c r="D33" i="1"/>
  <c r="D37" i="1"/>
  <c r="D24" i="1"/>
  <c r="P47" i="3"/>
  <c r="M47" i="3"/>
  <c r="J45" i="3"/>
  <c r="F33" i="3"/>
  <c r="H33" i="3" s="1"/>
  <c r="E33" i="3"/>
  <c r="G33" i="3" s="1"/>
  <c r="D33" i="3"/>
  <c r="F32" i="3"/>
  <c r="H32" i="3" s="1"/>
  <c r="E32" i="3"/>
  <c r="G32" i="3" s="1"/>
  <c r="D32" i="3"/>
  <c r="F31" i="3"/>
  <c r="H31" i="3" s="1"/>
  <c r="E31" i="3"/>
  <c r="G31" i="3" s="1"/>
  <c r="D31" i="3"/>
  <c r="F30" i="3"/>
  <c r="H30" i="3" s="1"/>
  <c r="E30" i="3"/>
  <c r="G30" i="3" s="1"/>
  <c r="D30" i="3"/>
  <c r="F29" i="3"/>
  <c r="H29" i="3" s="1"/>
  <c r="E29" i="3"/>
  <c r="G29" i="3" s="1"/>
  <c r="D29" i="3"/>
  <c r="F28" i="3"/>
  <c r="H28" i="3" s="1"/>
  <c r="E28" i="3"/>
  <c r="G28" i="3" s="1"/>
  <c r="D28" i="3"/>
  <c r="F27" i="3"/>
  <c r="H27" i="3" s="1"/>
  <c r="E27" i="3"/>
  <c r="G27" i="3" s="1"/>
  <c r="D27" i="3"/>
  <c r="F26" i="3"/>
  <c r="H26" i="3" s="1"/>
  <c r="E26" i="3"/>
  <c r="G26" i="3" s="1"/>
  <c r="D26" i="3"/>
  <c r="F25" i="3"/>
  <c r="H25" i="3" s="1"/>
  <c r="E25" i="3"/>
  <c r="G25" i="3" s="1"/>
  <c r="D25" i="3"/>
  <c r="F24" i="3"/>
  <c r="H24" i="3" s="1"/>
  <c r="E24" i="3"/>
  <c r="G24" i="3" s="1"/>
  <c r="D24" i="3"/>
  <c r="G20" i="3"/>
  <c r="I19" i="3"/>
  <c r="E18" i="3"/>
  <c r="E20" i="3" s="1"/>
  <c r="I20" i="3" s="1"/>
  <c r="D14" i="3"/>
  <c r="D13" i="3"/>
  <c r="D12" i="3"/>
  <c r="D11" i="3"/>
  <c r="D10" i="3"/>
  <c r="D9" i="3"/>
  <c r="D8" i="3"/>
  <c r="D7" i="3"/>
  <c r="D6" i="3"/>
  <c r="J51" i="1"/>
  <c r="E24" i="1"/>
  <c r="G24" i="1" s="1"/>
  <c r="F24" i="1"/>
  <c r="H24" i="1" s="1"/>
  <c r="F25" i="1"/>
  <c r="H25" i="1" s="1"/>
  <c r="F26" i="1"/>
  <c r="H26" i="1" s="1"/>
  <c r="E25" i="1"/>
  <c r="G25" i="1" s="1"/>
  <c r="E26" i="1"/>
  <c r="G26" i="1" s="1"/>
  <c r="M58" i="1"/>
  <c r="P58" i="1"/>
  <c r="E33" i="1"/>
  <c r="G33" i="1" s="1"/>
  <c r="F33" i="1"/>
  <c r="H33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I19" i="1"/>
  <c r="G20" i="1"/>
  <c r="D6" i="1"/>
  <c r="E18" i="1"/>
  <c r="E20" i="1"/>
  <c r="I20" i="1"/>
  <c r="D13" i="1"/>
  <c r="D14" i="1"/>
  <c r="D7" i="1"/>
  <c r="D8" i="1"/>
  <c r="D9" i="1"/>
  <c r="D10" i="1"/>
  <c r="D11" i="1"/>
  <c r="D12" i="1"/>
  <c r="I36" i="1" l="1"/>
  <c r="K36" i="1" s="1"/>
  <c r="M36" i="1" s="1"/>
  <c r="L36" i="1"/>
  <c r="N36" i="1" s="1"/>
  <c r="I35" i="1"/>
  <c r="K35" i="1"/>
  <c r="M35" i="1" s="1"/>
  <c r="L35" i="1"/>
  <c r="N35" i="1" s="1"/>
  <c r="O58" i="1"/>
  <c r="Q58" i="1" s="1"/>
  <c r="I32" i="1"/>
  <c r="K32" i="1" s="1"/>
  <c r="M32" i="1" s="1"/>
  <c r="Q32" i="1" s="1"/>
  <c r="R32" i="1" s="1"/>
  <c r="S32" i="1" s="1"/>
  <c r="I34" i="1"/>
  <c r="K34" i="1" s="1"/>
  <c r="M34" i="1" s="1"/>
  <c r="I37" i="1"/>
  <c r="L37" i="1" s="1"/>
  <c r="N37" i="1" s="1"/>
  <c r="I30" i="1"/>
  <c r="L30" i="1" s="1"/>
  <c r="N30" i="1" s="1"/>
  <c r="I26" i="1"/>
  <c r="K26" i="1" s="1"/>
  <c r="M26" i="1" s="1"/>
  <c r="I31" i="1"/>
  <c r="L31" i="1" s="1"/>
  <c r="N31" i="1" s="1"/>
  <c r="K31" i="1"/>
  <c r="M31" i="1" s="1"/>
  <c r="Q31" i="1" s="1"/>
  <c r="R31" i="1" s="1"/>
  <c r="S31" i="1" s="1"/>
  <c r="I33" i="1"/>
  <c r="L33" i="1" s="1"/>
  <c r="N33" i="1" s="1"/>
  <c r="I27" i="1"/>
  <c r="L27" i="1" s="1"/>
  <c r="N27" i="1" s="1"/>
  <c r="N47" i="1" s="1"/>
  <c r="P47" i="1" s="1"/>
  <c r="I29" i="1"/>
  <c r="L29" i="1" s="1"/>
  <c r="N29" i="1" s="1"/>
  <c r="N49" i="1" s="1"/>
  <c r="I28" i="1"/>
  <c r="L28" i="1" s="1"/>
  <c r="N28" i="1" s="1"/>
  <c r="I25" i="1"/>
  <c r="K25" i="1" s="1"/>
  <c r="M25" i="1" s="1"/>
  <c r="I24" i="1"/>
  <c r="I24" i="3"/>
  <c r="K24" i="3" s="1"/>
  <c r="M24" i="3" s="1"/>
  <c r="L24" i="3"/>
  <c r="N24" i="3" s="1"/>
  <c r="N38" i="3" s="1"/>
  <c r="I25" i="3"/>
  <c r="K25" i="3" s="1"/>
  <c r="M25" i="3" s="1"/>
  <c r="L25" i="3"/>
  <c r="N25" i="3" s="1"/>
  <c r="N39" i="3" s="1"/>
  <c r="I26" i="3"/>
  <c r="K26" i="3" s="1"/>
  <c r="M26" i="3" s="1"/>
  <c r="L26" i="3"/>
  <c r="N26" i="3" s="1"/>
  <c r="N40" i="3" s="1"/>
  <c r="I27" i="3"/>
  <c r="K27" i="3" s="1"/>
  <c r="M27" i="3" s="1"/>
  <c r="L27" i="3"/>
  <c r="N27" i="3" s="1"/>
  <c r="N41" i="3" s="1"/>
  <c r="P41" i="3" s="1"/>
  <c r="I28" i="3"/>
  <c r="K28" i="3" s="1"/>
  <c r="L28" i="3"/>
  <c r="I29" i="3"/>
  <c r="K29" i="3" s="1"/>
  <c r="M29" i="3" s="1"/>
  <c r="L29" i="3"/>
  <c r="N29" i="3" s="1"/>
  <c r="N43" i="3" s="1"/>
  <c r="I30" i="3"/>
  <c r="K30" i="3" s="1"/>
  <c r="M30" i="3" s="1"/>
  <c r="L30" i="3"/>
  <c r="N30" i="3" s="1"/>
  <c r="I31" i="3"/>
  <c r="K31" i="3" s="1"/>
  <c r="M31" i="3" s="1"/>
  <c r="L31" i="3"/>
  <c r="N31" i="3" s="1"/>
  <c r="I32" i="3"/>
  <c r="K32" i="3" s="1"/>
  <c r="M32" i="3" s="1"/>
  <c r="L32" i="3"/>
  <c r="N32" i="3" s="1"/>
  <c r="I33" i="3"/>
  <c r="K33" i="3" s="1"/>
  <c r="M33" i="3" s="1"/>
  <c r="L33" i="3"/>
  <c r="N33" i="3" s="1"/>
  <c r="O47" i="3"/>
  <c r="Q47" i="3" s="1"/>
  <c r="O36" i="1" l="1"/>
  <c r="P36" i="1" s="1"/>
  <c r="O35" i="1"/>
  <c r="P35" i="1" s="1"/>
  <c r="L32" i="1"/>
  <c r="N32" i="1" s="1"/>
  <c r="O32" i="1" s="1"/>
  <c r="P32" i="1" s="1"/>
  <c r="L25" i="1"/>
  <c r="N25" i="1" s="1"/>
  <c r="N45" i="1" s="1"/>
  <c r="L34" i="1"/>
  <c r="N34" i="1" s="1"/>
  <c r="O34" i="1" s="1"/>
  <c r="P34" i="1" s="1"/>
  <c r="L26" i="1"/>
  <c r="N26" i="1" s="1"/>
  <c r="N46" i="1" s="1"/>
  <c r="K30" i="1"/>
  <c r="M30" i="1" s="1"/>
  <c r="Q30" i="1" s="1"/>
  <c r="R30" i="1" s="1"/>
  <c r="S30" i="1" s="1"/>
  <c r="K37" i="1"/>
  <c r="M37" i="1" s="1"/>
  <c r="O37" i="1" s="1"/>
  <c r="O31" i="1"/>
  <c r="P31" i="1" s="1"/>
  <c r="K29" i="1"/>
  <c r="M29" i="1" s="1"/>
  <c r="L50" i="1"/>
  <c r="K27" i="1"/>
  <c r="M27" i="1" s="1"/>
  <c r="K33" i="1"/>
  <c r="M33" i="1" s="1"/>
  <c r="O33" i="1" s="1"/>
  <c r="P33" i="1" s="1"/>
  <c r="K28" i="1"/>
  <c r="M28" i="1" s="1"/>
  <c r="Q29" i="1"/>
  <c r="R29" i="1" s="1"/>
  <c r="S29" i="1" s="1"/>
  <c r="M49" i="1"/>
  <c r="O49" i="1" s="1"/>
  <c r="O29" i="1"/>
  <c r="P29" i="1" s="1"/>
  <c r="N50" i="1"/>
  <c r="P50" i="1" s="1"/>
  <c r="N48" i="1"/>
  <c r="K24" i="1"/>
  <c r="M24" i="1" s="1"/>
  <c r="L24" i="1"/>
  <c r="N24" i="1" s="1"/>
  <c r="N44" i="1" s="1"/>
  <c r="M45" i="1"/>
  <c r="O45" i="1" s="1"/>
  <c r="Q25" i="1"/>
  <c r="R25" i="1" s="1"/>
  <c r="S25" i="1" s="1"/>
  <c r="O25" i="1"/>
  <c r="P25" i="1" s="1"/>
  <c r="M46" i="1"/>
  <c r="Q26" i="1"/>
  <c r="R26" i="1" s="1"/>
  <c r="S26" i="1" s="1"/>
  <c r="O26" i="1"/>
  <c r="P26" i="1" s="1"/>
  <c r="O33" i="3"/>
  <c r="P33" i="3" s="1"/>
  <c r="Q32" i="3"/>
  <c r="R32" i="3" s="1"/>
  <c r="S32" i="3" s="1"/>
  <c r="O32" i="3"/>
  <c r="P32" i="3" s="1"/>
  <c r="Q31" i="3"/>
  <c r="R31" i="3" s="1"/>
  <c r="S31" i="3" s="1"/>
  <c r="O31" i="3"/>
  <c r="P31" i="3" s="1"/>
  <c r="Q30" i="3"/>
  <c r="R30" i="3" s="1"/>
  <c r="S30" i="3" s="1"/>
  <c r="O30" i="3"/>
  <c r="P30" i="3" s="1"/>
  <c r="M43" i="3"/>
  <c r="O43" i="3" s="1"/>
  <c r="Q29" i="3"/>
  <c r="R29" i="3" s="1"/>
  <c r="S29" i="3" s="1"/>
  <c r="O29" i="3"/>
  <c r="P29" i="3" s="1"/>
  <c r="L44" i="3"/>
  <c r="N28" i="3"/>
  <c r="K44" i="3"/>
  <c r="K45" i="3" s="1"/>
  <c r="M28" i="3"/>
  <c r="M41" i="3"/>
  <c r="O41" i="3" s="1"/>
  <c r="Q41" i="3" s="1"/>
  <c r="Q27" i="3"/>
  <c r="R27" i="3" s="1"/>
  <c r="S27" i="3" s="1"/>
  <c r="O27" i="3"/>
  <c r="P27" i="3" s="1"/>
  <c r="M40" i="3"/>
  <c r="Q26" i="3"/>
  <c r="R26" i="3" s="1"/>
  <c r="S26" i="3" s="1"/>
  <c r="O26" i="3"/>
  <c r="P26" i="3" s="1"/>
  <c r="M39" i="3"/>
  <c r="O39" i="3" s="1"/>
  <c r="Q25" i="3"/>
  <c r="R25" i="3" s="1"/>
  <c r="S25" i="3" s="1"/>
  <c r="O25" i="3"/>
  <c r="P25" i="3" s="1"/>
  <c r="M38" i="3"/>
  <c r="O38" i="3" s="1"/>
  <c r="Q24" i="3"/>
  <c r="R24" i="3" s="1"/>
  <c r="S24" i="3" s="1"/>
  <c r="O24" i="3"/>
  <c r="P24" i="3" s="1"/>
  <c r="O30" i="1" l="1"/>
  <c r="P30" i="1" s="1"/>
  <c r="O38" i="1"/>
  <c r="O39" i="1"/>
  <c r="K50" i="1"/>
  <c r="K51" i="1" s="1"/>
  <c r="P37" i="1"/>
  <c r="O27" i="1"/>
  <c r="P27" i="1" s="1"/>
  <c r="M47" i="1"/>
  <c r="O47" i="1" s="1"/>
  <c r="Q47" i="1" s="1"/>
  <c r="Q27" i="1"/>
  <c r="R27" i="1" s="1"/>
  <c r="S27" i="1" s="1"/>
  <c r="Q28" i="1"/>
  <c r="R28" i="1" s="1"/>
  <c r="S28" i="1" s="1"/>
  <c r="O28" i="1"/>
  <c r="P28" i="1" s="1"/>
  <c r="M48" i="1"/>
  <c r="O48" i="1" s="1"/>
  <c r="M50" i="1"/>
  <c r="O50" i="1" s="1"/>
  <c r="Q50" i="1" s="1"/>
  <c r="O46" i="1"/>
  <c r="M51" i="1"/>
  <c r="M44" i="1"/>
  <c r="O44" i="1" s="1"/>
  <c r="Q24" i="1"/>
  <c r="R24" i="1" s="1"/>
  <c r="S24" i="1" s="1"/>
  <c r="O24" i="1"/>
  <c r="P24" i="1" s="1"/>
  <c r="O40" i="3"/>
  <c r="M45" i="3"/>
  <c r="M44" i="3"/>
  <c r="O44" i="3" s="1"/>
  <c r="M42" i="3"/>
  <c r="Q28" i="3"/>
  <c r="R28" i="3" s="1"/>
  <c r="S28" i="3" s="1"/>
  <c r="O28" i="3"/>
  <c r="P28" i="3" s="1"/>
  <c r="N44" i="3"/>
  <c r="P44" i="3" s="1"/>
  <c r="N42" i="3"/>
  <c r="O42" i="3" l="1"/>
  <c r="Q44" i="3"/>
</calcChain>
</file>

<file path=xl/sharedStrings.xml><?xml version="1.0" encoding="utf-8"?>
<sst xmlns="http://schemas.openxmlformats.org/spreadsheetml/2006/main" count="78" uniqueCount="32">
  <si>
    <t>wt%</t>
  </si>
  <si>
    <t>ppm</t>
  </si>
  <si>
    <t>MW ExssolD60</t>
  </si>
  <si>
    <t>MW Crude</t>
  </si>
  <si>
    <t>oil</t>
  </si>
  <si>
    <t>Exxsol D60</t>
  </si>
  <si>
    <t>Solution</t>
  </si>
  <si>
    <t>Gama</t>
  </si>
  <si>
    <t>MW</t>
  </si>
  <si>
    <t>Weight</t>
  </si>
  <si>
    <t>Wt%</t>
  </si>
  <si>
    <t>Mol</t>
  </si>
  <si>
    <t>Weight Oil (gr)</t>
  </si>
  <si>
    <t>Weight Exx (gr)</t>
  </si>
  <si>
    <t>Volume Oil (mlit)</t>
  </si>
  <si>
    <t>Volume Exx (mlit)</t>
  </si>
  <si>
    <t>Total Vol (mlit)</t>
  </si>
  <si>
    <t>Desired Vol (mlit)</t>
  </si>
  <si>
    <t>Desired vol oil (milit)</t>
  </si>
  <si>
    <t>Desired vol Exx (mlit)</t>
  </si>
  <si>
    <t>weight oil (gr)</t>
  </si>
  <si>
    <t>weight Exx (gr)</t>
  </si>
  <si>
    <t>Total weight</t>
  </si>
  <si>
    <t>density (gr/mlit)</t>
  </si>
  <si>
    <t>Total weight from batch (gr)</t>
  </si>
  <si>
    <t>Total vol from batch (mlit)</t>
  </si>
  <si>
    <t>Added vol Exx (mlit)</t>
  </si>
  <si>
    <t>for 20 lits</t>
  </si>
  <si>
    <t>dillution to 185 ppm from 8 wt%</t>
  </si>
  <si>
    <t>dillution to 600 ppm from 8 wt%</t>
  </si>
  <si>
    <t>dillution to 700 ppm from 8 wt%</t>
  </si>
  <si>
    <t>dillution to 800 ppm from 8 wt%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</si>
</sst>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16" fontId="0" fillId="0" borderId="0" xfId="0" applyNumberFormat="1"/>
    <xf numFmtId="2" fontId="0" fillId="0" borderId="0" xfId="0" applyNumberFormat="1"/>
    <xf numFmtId="2" fontId="0" fillId="0" borderId="0" xfId="0" applyNumberFormat="1" applyFill="1" applyBorder="1"/>
    <xf numFmtId="2" fontId="1" fillId="0" borderId="0" xfId="0" applyNumberFormat="1" applyFont="1" applyFill="1" applyBorder="1"/>
    <xf numFmtId="2" fontId="0" fillId="0" borderId="2" xfId="0" applyNumberFormat="1" applyBorder="1"/>
    <xf numFmtId="0" fontId="0" fillId="0" borderId="2" xfId="0" applyBorder="1" applyAlignment="1"/>
    <xf numFmtId="0" fontId="0" fillId="0" borderId="3" xfId="0" applyBorder="1"/>
    <xf numFmtId="0" fontId="0" fillId="0" borderId="4" xfId="0" applyBorder="1"/>
    <xf numFmtId="2" fontId="0" fillId="0" borderId="0" xfId="0" applyNumberFormat="1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2" fontId="1" fillId="0" borderId="0" xfId="0" applyNumberFormat="1" applyFont="1" applyBorder="1"/>
    <xf numFmtId="0" fontId="0" fillId="0" borderId="6" xfId="0" applyBorder="1"/>
    <xf numFmtId="0" fontId="0" fillId="0" borderId="7" xfId="0" applyBorder="1"/>
    <xf numFmtId="2" fontId="0" fillId="0" borderId="7" xfId="0" applyNumberFormat="1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164" fontId="0" fillId="0" borderId="0" xfId="0" applyNumberFormat="1" applyBorder="1"/>
    <xf numFmtId="164" fontId="0" fillId="0" borderId="7" xfId="0" applyNumberFormat="1" applyBorder="1"/>
    <xf numFmtId="0" fontId="0" fillId="0" borderId="9" xfId="0" applyBorder="1"/>
    <xf numFmtId="2" fontId="0" fillId="0" borderId="10" xfId="0" applyNumberFormat="1" applyBorder="1"/>
    <xf numFmtId="0" fontId="0" fillId="0" borderId="10" xfId="0" applyBorder="1"/>
    <xf numFmtId="0" fontId="0" fillId="0" borderId="11" xfId="0" applyBorder="1"/>
    <xf numFmtId="0" fontId="0" fillId="2" borderId="10" xfId="0" applyFill="1" applyBorder="1"/>
    <xf numFmtId="0" fontId="0" fillId="0" borderId="9" xfId="0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8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15" xfId="0" applyNumberFormat="1" applyBorder="1"/>
    <xf numFmtId="0" fontId="0" fillId="0" borderId="15" xfId="0" applyBorder="1"/>
    <xf numFmtId="0" fontId="0" fillId="0" borderId="16" xfId="0" applyBorder="1"/>
    <xf numFmtId="0" fontId="0" fillId="0" borderId="1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2" fontId="0" fillId="0" borderId="18" xfId="0" applyNumberFormat="1" applyBorder="1"/>
    <xf numFmtId="0" fontId="0" fillId="0" borderId="18" xfId="0" applyBorder="1"/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" fillId="0" borderId="0" xfId="0" applyFont="1"/>
    <xf numFmtId="0" fontId="0" fillId="3" borderId="12" xfId="0" applyFill="1" applyBorder="1"/>
    <xf numFmtId="2" fontId="0" fillId="3" borderId="0" xfId="0" applyNumberFormat="1" applyFill="1" applyBorder="1"/>
    <xf numFmtId="0" fontId="0" fillId="3" borderId="0" xfId="0" applyFill="1" applyBorder="1"/>
    <xf numFmtId="0" fontId="0" fillId="3" borderId="13" xfId="0" applyFill="1" applyBorder="1"/>
    <xf numFmtId="0" fontId="1" fillId="3" borderId="0" xfId="0" applyFont="1" applyFill="1"/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9" xfId="0" applyFill="1" applyBorder="1"/>
    <xf numFmtId="164" fontId="0" fillId="4" borderId="2" xfId="0" applyNumberFormat="1" applyFill="1" applyBorder="1"/>
    <xf numFmtId="0" fontId="0" fillId="4" borderId="10" xfId="0" applyFill="1" applyBorder="1"/>
    <xf numFmtId="0" fontId="0" fillId="4" borderId="11" xfId="0" applyFill="1" applyBorder="1"/>
    <xf numFmtId="164" fontId="0" fillId="4" borderId="0" xfId="0" applyNumberFormat="1" applyFill="1" applyBorder="1"/>
    <xf numFmtId="11" fontId="0" fillId="4" borderId="9" xfId="0" applyNumberFormat="1" applyFill="1" applyBorder="1"/>
    <xf numFmtId="2" fontId="0" fillId="4" borderId="0" xfId="0" applyNumberFormat="1" applyFill="1" applyBorder="1"/>
    <xf numFmtId="0" fontId="0" fillId="4" borderId="0" xfId="0" applyFill="1" applyBorder="1"/>
    <xf numFmtId="0" fontId="0" fillId="4" borderId="5" xfId="0" applyFill="1" applyBorder="1"/>
    <xf numFmtId="2" fontId="0" fillId="4" borderId="7" xfId="0" applyNumberFormat="1" applyFill="1" applyBorder="1"/>
    <xf numFmtId="0" fontId="0" fillId="4" borderId="7" xfId="0" applyFill="1" applyBorder="1"/>
    <xf numFmtId="0" fontId="0" fillId="4" borderId="8" xfId="0" applyFill="1" applyBorder="1"/>
    <xf numFmtId="0" fontId="0" fillId="2" borderId="0" xfId="0" applyFill="1" applyBorder="1"/>
    <xf numFmtId="0" fontId="0" fillId="2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C05C2-8ABD-4DD1-8B32-72A979EAC81B}">
  <sheetPr>
    <pageSetUpPr fitToPage="1"/>
  </sheetPr>
  <dimension ref="C4:S47"/>
  <sheetViews>
    <sheetView view="pageBreakPreview" zoomScaleNormal="172" zoomScaleSheetLayoutView="100" workbookViewId="0"/>
  </sheetViews>
  <sheetFormatPr baseColWidth="10" defaultColWidth="11" defaultRowHeight="16" x14ac:dyDescent="0.2"/>
  <cols>
    <col min="3" max="3" width="6.6640625" customWidth="1"/>
    <col min="4" max="4" width="7.6640625" style="2" customWidth="1"/>
    <col min="5" max="5" width="13.33203125" bestFit="1" customWidth="1"/>
    <col min="6" max="6" width="10.83203125" customWidth="1"/>
    <col min="7" max="7" width="12.5" customWidth="1"/>
    <col min="8" max="8" width="12" customWidth="1"/>
    <col min="9" max="9" width="13.33203125" customWidth="1"/>
    <col min="10" max="10" width="7" customWidth="1"/>
    <col min="11" max="11" width="10.33203125" customWidth="1"/>
    <col min="12" max="12" width="10.83203125" customWidth="1"/>
    <col min="13" max="13" width="9" customWidth="1"/>
    <col min="14" max="14" width="9.1640625" customWidth="1"/>
    <col min="15" max="15" width="8.83203125" customWidth="1"/>
    <col min="16" max="16" width="12" bestFit="1" customWidth="1"/>
    <col min="17" max="17" width="12.5" customWidth="1"/>
    <col min="18" max="18" width="11.5" customWidth="1"/>
    <col min="19" max="19" width="7.1640625" customWidth="1"/>
  </cols>
  <sheetData>
    <row r="4" spans="3:9" x14ac:dyDescent="0.2">
      <c r="F4" s="1"/>
    </row>
    <row r="5" spans="3:9" x14ac:dyDescent="0.2">
      <c r="C5" s="18" t="s">
        <v>0</v>
      </c>
      <c r="D5" s="5" t="s">
        <v>1</v>
      </c>
      <c r="E5" s="19" t="s">
        <v>2</v>
      </c>
      <c r="F5" s="33" t="s">
        <v>3</v>
      </c>
    </row>
    <row r="6" spans="3:9" x14ac:dyDescent="0.2">
      <c r="C6" s="34">
        <v>0.05</v>
      </c>
      <c r="D6" s="9">
        <f>((C6/F6)/(((100-C6)/E6)+(C6/F6)))*1000000</f>
        <v>77.181073637583083</v>
      </c>
      <c r="E6" s="9">
        <v>158</v>
      </c>
      <c r="F6" s="35">
        <v>1024</v>
      </c>
      <c r="G6" s="3">
        <v>625.97</v>
      </c>
    </row>
    <row r="7" spans="3:9" x14ac:dyDescent="0.2">
      <c r="C7" s="8">
        <v>0.1</v>
      </c>
      <c r="D7" s="9">
        <f t="shared" ref="D7:D14" si="0">((C7/F7)/(((100-C7)/E7)+(C7/F7)))*1000000</f>
        <v>154.42747479802253</v>
      </c>
      <c r="E7" s="9">
        <v>158</v>
      </c>
      <c r="F7" s="35">
        <v>1024</v>
      </c>
      <c r="G7" s="3">
        <v>625.97</v>
      </c>
    </row>
    <row r="8" spans="3:9" x14ac:dyDescent="0.2">
      <c r="C8" s="34">
        <v>0.2</v>
      </c>
      <c r="D8" s="9">
        <f t="shared" si="0"/>
        <v>309.11659173523964</v>
      </c>
      <c r="E8" s="9">
        <v>158</v>
      </c>
      <c r="F8" s="35">
        <v>1024</v>
      </c>
      <c r="G8" s="3">
        <v>625.97</v>
      </c>
    </row>
    <row r="9" spans="3:9" x14ac:dyDescent="0.2">
      <c r="C9" s="34">
        <v>0.5</v>
      </c>
      <c r="D9" s="9">
        <f t="shared" si="0"/>
        <v>774.76046171800681</v>
      </c>
      <c r="E9" s="9">
        <v>158</v>
      </c>
      <c r="F9" s="35">
        <v>1024</v>
      </c>
      <c r="G9" s="3">
        <v>625.97</v>
      </c>
    </row>
    <row r="10" spans="3:9" x14ac:dyDescent="0.2">
      <c r="C10" s="34">
        <v>1</v>
      </c>
      <c r="D10" s="9">
        <f t="shared" si="0"/>
        <v>1556.1289814249415</v>
      </c>
      <c r="E10" s="9">
        <v>158</v>
      </c>
      <c r="F10" s="35">
        <v>1024</v>
      </c>
      <c r="G10" s="3">
        <v>625.97</v>
      </c>
    </row>
    <row r="11" spans="3:9" x14ac:dyDescent="0.2">
      <c r="C11" s="34">
        <v>2</v>
      </c>
      <c r="D11" s="9">
        <f t="shared" si="0"/>
        <v>3139.0312711089919</v>
      </c>
      <c r="E11" s="9">
        <v>158</v>
      </c>
      <c r="F11" s="35">
        <v>1024</v>
      </c>
      <c r="G11" s="3">
        <v>625.97</v>
      </c>
    </row>
    <row r="12" spans="3:9" x14ac:dyDescent="0.2">
      <c r="C12" s="34">
        <v>5</v>
      </c>
      <c r="D12" s="9">
        <f t="shared" si="0"/>
        <v>8055.470582237177</v>
      </c>
      <c r="E12" s="9">
        <v>158</v>
      </c>
      <c r="F12" s="35">
        <v>1024</v>
      </c>
      <c r="G12" s="3">
        <v>625.97</v>
      </c>
    </row>
    <row r="13" spans="3:9" x14ac:dyDescent="0.2">
      <c r="C13" s="34">
        <v>0.01</v>
      </c>
      <c r="D13" s="9">
        <f t="shared" si="0"/>
        <v>15.430992503858237</v>
      </c>
      <c r="E13" s="9">
        <v>158</v>
      </c>
      <c r="F13" s="35">
        <v>1024</v>
      </c>
      <c r="G13" s="3">
        <v>625.97</v>
      </c>
    </row>
    <row r="14" spans="3:9" x14ac:dyDescent="0.2">
      <c r="C14" s="36">
        <v>10</v>
      </c>
      <c r="D14" s="16">
        <f t="shared" si="0"/>
        <v>16855.131213996159</v>
      </c>
      <c r="E14" s="16">
        <v>158</v>
      </c>
      <c r="F14" s="37">
        <v>1024</v>
      </c>
      <c r="G14" s="3">
        <v>625.97</v>
      </c>
    </row>
    <row r="16" spans="3:9" x14ac:dyDescent="0.2">
      <c r="D16" s="58" t="s">
        <v>4</v>
      </c>
      <c r="E16" s="59"/>
      <c r="F16" s="5"/>
      <c r="G16" s="6" t="s">
        <v>5</v>
      </c>
      <c r="H16" s="6"/>
      <c r="I16" s="7" t="s">
        <v>6</v>
      </c>
    </row>
    <row r="17" spans="3:19" x14ac:dyDescent="0.2">
      <c r="D17" s="8" t="s">
        <v>7</v>
      </c>
      <c r="E17" s="9">
        <v>0.93</v>
      </c>
      <c r="F17" s="9"/>
      <c r="G17" s="3">
        <v>0.75</v>
      </c>
      <c r="H17" s="10"/>
      <c r="I17" s="11"/>
    </row>
    <row r="18" spans="3:19" x14ac:dyDescent="0.2">
      <c r="D18" s="8" t="s">
        <v>8</v>
      </c>
      <c r="E18" s="10">
        <f>((0.109/E17)-0.101)^(-1.562)</f>
        <v>625.97568708337246</v>
      </c>
      <c r="F18" s="9"/>
      <c r="G18" s="3">
        <v>158</v>
      </c>
      <c r="H18" s="10"/>
      <c r="I18" s="11"/>
    </row>
    <row r="19" spans="3:19" x14ac:dyDescent="0.2">
      <c r="D19" s="8" t="s">
        <v>9</v>
      </c>
      <c r="E19" s="12">
        <v>43.2</v>
      </c>
      <c r="F19" s="13"/>
      <c r="G19" s="4">
        <v>662.39</v>
      </c>
      <c r="H19" s="10" t="s">
        <v>10</v>
      </c>
      <c r="I19" s="11">
        <f>E19/(E19+G19)</f>
        <v>6.1225357502232174E-2</v>
      </c>
    </row>
    <row r="20" spans="3:19" x14ac:dyDescent="0.2">
      <c r="D20" s="14" t="s">
        <v>11</v>
      </c>
      <c r="E20" s="15">
        <f>E19/E18</f>
        <v>6.901226499911374E-2</v>
      </c>
      <c r="F20" s="16"/>
      <c r="G20" s="15">
        <f>G19/G18</f>
        <v>4.1923417721518987</v>
      </c>
      <c r="H20" s="15" t="s">
        <v>1</v>
      </c>
      <c r="I20" s="17">
        <f>(E20*(10^6))/(G20+E20)</f>
        <v>16194.914667370103</v>
      </c>
    </row>
    <row r="23" spans="3:19" ht="51" x14ac:dyDescent="0.2">
      <c r="C23" s="27" t="s">
        <v>1</v>
      </c>
      <c r="D23" s="28" t="s">
        <v>10</v>
      </c>
      <c r="E23" s="29" t="s">
        <v>12</v>
      </c>
      <c r="F23" s="29" t="s">
        <v>13</v>
      </c>
      <c r="G23" s="29" t="s">
        <v>14</v>
      </c>
      <c r="H23" s="29" t="s">
        <v>15</v>
      </c>
      <c r="I23" s="29" t="s">
        <v>16</v>
      </c>
      <c r="J23" s="29" t="s">
        <v>17</v>
      </c>
      <c r="K23" s="29" t="s">
        <v>18</v>
      </c>
      <c r="L23" s="29" t="s">
        <v>19</v>
      </c>
      <c r="M23" s="29" t="s">
        <v>20</v>
      </c>
      <c r="N23" s="29" t="s">
        <v>21</v>
      </c>
      <c r="O23" s="29" t="s">
        <v>22</v>
      </c>
      <c r="P23" s="30" t="s">
        <v>23</v>
      </c>
      <c r="Q23" s="31" t="s">
        <v>24</v>
      </c>
      <c r="R23" s="31" t="s">
        <v>25</v>
      </c>
      <c r="S23" s="32" t="s">
        <v>26</v>
      </c>
    </row>
    <row r="24" spans="3:19" x14ac:dyDescent="0.2">
      <c r="C24" s="45">
        <v>50</v>
      </c>
      <c r="D24" s="20">
        <f t="shared" ref="D24:D25" si="1">(C24*625.97)/((C24*625.97)+(158*((10^6)-C24)))</f>
        <v>1.9806244073405371E-4</v>
      </c>
      <c r="E24" s="10">
        <f>(C24*625.97)</f>
        <v>31298.5</v>
      </c>
      <c r="F24" s="10">
        <f t="shared" ref="F24:F25" si="2">(158*((10^6)-C24))</f>
        <v>157992100</v>
      </c>
      <c r="G24" s="10">
        <f>E24/0.93</f>
        <v>33654.301075268813</v>
      </c>
      <c r="H24" s="10">
        <f>F24/0.75</f>
        <v>210656133.33333334</v>
      </c>
      <c r="I24" s="10">
        <f t="shared" ref="I24" si="3">G24+H24</f>
        <v>210689787.63440862</v>
      </c>
      <c r="J24" s="10">
        <v>150</v>
      </c>
      <c r="K24" s="10">
        <f t="shared" ref="K24" si="4">J24*G24/I24</f>
        <v>2.3960084719672901E-2</v>
      </c>
      <c r="L24" s="10">
        <f t="shared" ref="L24:L25" si="5">J24*H24/I24</f>
        <v>149.97603991528032</v>
      </c>
      <c r="M24" s="10">
        <f t="shared" ref="M24:M25" si="6">K24*0.93</f>
        <v>2.2282878789295798E-2</v>
      </c>
      <c r="N24" s="10">
        <f t="shared" ref="N24:N25" si="7">L24*0.75</f>
        <v>112.48202993646024</v>
      </c>
      <c r="O24" s="10">
        <f t="shared" ref="O24:O25" si="8">M24+N24</f>
        <v>112.50431281524953</v>
      </c>
      <c r="P24" s="11">
        <f t="shared" ref="P24:P33" si="9">O24/J24</f>
        <v>0.75002875210166353</v>
      </c>
      <c r="Q24" s="8">
        <f t="shared" ref="Q24:Q25" si="10">M24*113.8491/6.9703</f>
        <v>0.36395645747965172</v>
      </c>
      <c r="R24" s="10">
        <f t="shared" ref="R24:R25" si="11">Q24/0.75899</f>
        <v>0.47952734223066401</v>
      </c>
      <c r="S24" s="11">
        <f t="shared" ref="S24:S25" si="12">150-R24</f>
        <v>149.52047265776935</v>
      </c>
    </row>
    <row r="25" spans="3:19" x14ac:dyDescent="0.2">
      <c r="C25" s="45">
        <v>100</v>
      </c>
      <c r="D25" s="20">
        <f t="shared" si="1"/>
        <v>3.9606623600223928E-4</v>
      </c>
      <c r="E25" s="10">
        <f t="shared" ref="E25" si="13">(C25*625.97)</f>
        <v>62597</v>
      </c>
      <c r="F25" s="10">
        <f t="shared" si="2"/>
        <v>157984200</v>
      </c>
      <c r="G25" s="10">
        <f t="shared" ref="G25" si="14">E25/0.93</f>
        <v>67308.602150537627</v>
      </c>
      <c r="H25" s="10">
        <f t="shared" ref="H25" si="15">F25/0.75</f>
        <v>210645600</v>
      </c>
      <c r="I25" s="10">
        <f>G25+H25</f>
        <v>210712908.60215053</v>
      </c>
      <c r="J25" s="10">
        <v>150</v>
      </c>
      <c r="K25" s="10">
        <f>J25*G25/I25</f>
        <v>4.7914911286444095E-2</v>
      </c>
      <c r="L25" s="10">
        <f t="shared" si="5"/>
        <v>149.95208508871357</v>
      </c>
      <c r="M25" s="10">
        <f t="shared" si="6"/>
        <v>4.4560867496393014E-2</v>
      </c>
      <c r="N25" s="10">
        <f t="shared" si="7"/>
        <v>112.46406381653517</v>
      </c>
      <c r="O25" s="10">
        <f t="shared" si="8"/>
        <v>112.50862468403156</v>
      </c>
      <c r="P25" s="11">
        <f t="shared" si="9"/>
        <v>0.7500574978935437</v>
      </c>
      <c r="Q25" s="8">
        <f t="shared" si="10"/>
        <v>0.72783304300870821</v>
      </c>
      <c r="R25" s="10">
        <f t="shared" si="11"/>
        <v>0.95894944993834985</v>
      </c>
      <c r="S25" s="11">
        <f t="shared" si="12"/>
        <v>149.04105055006164</v>
      </c>
    </row>
    <row r="26" spans="3:19" x14ac:dyDescent="0.2">
      <c r="C26" s="8">
        <v>200</v>
      </c>
      <c r="D26" s="20">
        <f>(C26*625.97)/((C26*625.97)+(158*((10^6)-C26)))</f>
        <v>7.9189799429823832E-4</v>
      </c>
      <c r="E26" s="10">
        <f>(C26*625.97)</f>
        <v>125194</v>
      </c>
      <c r="F26" s="10">
        <f>(158*((10^6)-C26))</f>
        <v>157968400</v>
      </c>
      <c r="G26" s="10">
        <f>E26/0.93</f>
        <v>134617.20430107525</v>
      </c>
      <c r="H26" s="10">
        <f>F26/0.75</f>
        <v>210624533.33333334</v>
      </c>
      <c r="I26" s="10">
        <f>G26+H26</f>
        <v>210759150.53763443</v>
      </c>
      <c r="J26" s="10">
        <v>150</v>
      </c>
      <c r="K26" s="10">
        <f>J26*G26/I26</f>
        <v>9.5808796883320044E-2</v>
      </c>
      <c r="L26" s="10">
        <f>J26*H26/I26</f>
        <v>149.90419120311665</v>
      </c>
      <c r="M26" s="10">
        <f>K26*0.93</f>
        <v>8.910218110148764E-2</v>
      </c>
      <c r="N26" s="10">
        <f>L26*0.75</f>
        <v>112.4281434023375</v>
      </c>
      <c r="O26" s="10">
        <f>M26+N26</f>
        <v>112.51724558343898</v>
      </c>
      <c r="P26" s="11">
        <f t="shared" si="9"/>
        <v>0.75011497055625986</v>
      </c>
      <c r="Q26" s="8">
        <f>M26*113.8491/6.9703</f>
        <v>1.4553467033616025</v>
      </c>
      <c r="R26" s="10">
        <f>Q26/0.75899</f>
        <v>1.9174781003196386</v>
      </c>
      <c r="S26" s="11">
        <f>150-R26</f>
        <v>148.08252189968036</v>
      </c>
    </row>
    <row r="27" spans="3:19" x14ac:dyDescent="0.2">
      <c r="C27" s="8">
        <v>300</v>
      </c>
      <c r="D27" s="20">
        <f t="shared" ref="D27:D33" si="16">(C27*625.97)/((C27*625.97)+(158*((10^6)-C27)))</f>
        <v>1.1874954830483505E-3</v>
      </c>
      <c r="E27" s="10">
        <f t="shared" ref="E27:E33" si="17">(C27*625.97)</f>
        <v>187791</v>
      </c>
      <c r="F27" s="10">
        <f t="shared" ref="F27:F33" si="18">(158*((10^6)-C27))</f>
        <v>157952600</v>
      </c>
      <c r="G27" s="10">
        <f t="shared" ref="G27:G33" si="19">E27/0.93</f>
        <v>201925.80645161288</v>
      </c>
      <c r="H27" s="10">
        <f t="shared" ref="H27:H33" si="20">F27/0.75</f>
        <v>210603466.66666666</v>
      </c>
      <c r="I27" s="10">
        <f t="shared" ref="I27:I33" si="21">G27+H27</f>
        <v>210805392.47311828</v>
      </c>
      <c r="J27" s="10">
        <v>150</v>
      </c>
      <c r="K27" s="10">
        <f t="shared" ref="K27:K33" si="22">J27*G27/I27</f>
        <v>0.14368167062711332</v>
      </c>
      <c r="L27" s="10">
        <f t="shared" ref="L27:L33" si="23">J27*H27/I27</f>
        <v>149.8563183293729</v>
      </c>
      <c r="M27" s="10">
        <f t="shared" ref="M27:M33" si="24">K27*0.93</f>
        <v>0.13362395368321539</v>
      </c>
      <c r="N27" s="10">
        <f t="shared" ref="N27:N33" si="25">L27*0.75</f>
        <v>112.39223874702967</v>
      </c>
      <c r="O27" s="10">
        <f t="shared" ref="O27:O33" si="26">M27+N27</f>
        <v>112.52586270071288</v>
      </c>
      <c r="P27" s="11">
        <f t="shared" si="9"/>
        <v>0.75017241800475254</v>
      </c>
      <c r="Q27" s="8">
        <f t="shared" ref="Q27:Q32" si="27">M27*113.8491/6.9703</f>
        <v>2.1825411912364974</v>
      </c>
      <c r="R27" s="10">
        <f t="shared" ref="R27:R32" si="28">Q27/0.75899</f>
        <v>2.8755862280616307</v>
      </c>
      <c r="S27" s="11">
        <f t="shared" ref="S27:S32" si="29">150-R27</f>
        <v>147.12441377193838</v>
      </c>
    </row>
    <row r="28" spans="3:19" x14ac:dyDescent="0.2">
      <c r="C28" s="8">
        <v>400</v>
      </c>
      <c r="D28" s="20">
        <f t="shared" si="16"/>
        <v>1.5828589101666058E-3</v>
      </c>
      <c r="E28" s="10">
        <f t="shared" si="17"/>
        <v>250388</v>
      </c>
      <c r="F28" s="10">
        <f t="shared" si="18"/>
        <v>157936800</v>
      </c>
      <c r="G28" s="10">
        <f t="shared" si="19"/>
        <v>269234.40860215051</v>
      </c>
      <c r="H28" s="10">
        <f t="shared" si="20"/>
        <v>210582400</v>
      </c>
      <c r="I28" s="10">
        <f t="shared" si="21"/>
        <v>210851634.40860215</v>
      </c>
      <c r="J28" s="10">
        <v>150</v>
      </c>
      <c r="K28" s="10">
        <f t="shared" si="22"/>
        <v>0.1915335463421714</v>
      </c>
      <c r="L28" s="10">
        <f t="shared" si="23"/>
        <v>149.80846645365784</v>
      </c>
      <c r="M28" s="10">
        <f t="shared" si="24"/>
        <v>0.17812619809821942</v>
      </c>
      <c r="N28" s="10">
        <f t="shared" si="25"/>
        <v>112.35634984024338</v>
      </c>
      <c r="O28" s="10">
        <f t="shared" si="26"/>
        <v>112.53447603834161</v>
      </c>
      <c r="P28" s="11">
        <f t="shared" si="9"/>
        <v>0.75022984025561068</v>
      </c>
      <c r="Q28" s="8">
        <f t="shared" si="27"/>
        <v>2.9094167166268301</v>
      </c>
      <c r="R28" s="10">
        <f t="shared" si="28"/>
        <v>3.8332741098391678</v>
      </c>
      <c r="S28" s="11">
        <f t="shared" si="29"/>
        <v>146.16672589016082</v>
      </c>
    </row>
    <row r="29" spans="3:19" x14ac:dyDescent="0.2">
      <c r="C29" s="8">
        <v>500</v>
      </c>
      <c r="D29" s="20">
        <f t="shared" si="16"/>
        <v>1.9779884833210767E-3</v>
      </c>
      <c r="E29" s="10">
        <f t="shared" si="17"/>
        <v>312985</v>
      </c>
      <c r="F29" s="10">
        <f t="shared" si="18"/>
        <v>157921000</v>
      </c>
      <c r="G29" s="10">
        <f t="shared" si="19"/>
        <v>336543.01075268816</v>
      </c>
      <c r="H29" s="10">
        <f t="shared" si="20"/>
        <v>210561333.33333334</v>
      </c>
      <c r="I29" s="10">
        <f t="shared" si="21"/>
        <v>210897876.34408602</v>
      </c>
      <c r="J29" s="10">
        <v>150</v>
      </c>
      <c r="K29" s="10">
        <f t="shared" si="22"/>
        <v>0.23936443784071712</v>
      </c>
      <c r="L29" s="10">
        <f t="shared" si="23"/>
        <v>149.76063556215928</v>
      </c>
      <c r="M29" s="10">
        <f t="shared" si="24"/>
        <v>0.22260892719186692</v>
      </c>
      <c r="N29" s="10">
        <f t="shared" si="25"/>
        <v>112.32047667161946</v>
      </c>
      <c r="O29" s="10">
        <f t="shared" si="26"/>
        <v>112.54308559881133</v>
      </c>
      <c r="P29" s="11">
        <f t="shared" si="9"/>
        <v>0.75028723732540892</v>
      </c>
      <c r="Q29" s="8">
        <f t="shared" si="27"/>
        <v>3.6359734893418616</v>
      </c>
      <c r="R29" s="10">
        <f t="shared" si="28"/>
        <v>4.7905420220844297</v>
      </c>
      <c r="S29" s="11">
        <f t="shared" si="29"/>
        <v>145.20945797791558</v>
      </c>
    </row>
    <row r="30" spans="3:19" x14ac:dyDescent="0.2">
      <c r="C30" s="8">
        <v>600</v>
      </c>
      <c r="D30" s="20">
        <f t="shared" si="16"/>
        <v>2.3728844099342393E-3</v>
      </c>
      <c r="E30" s="10">
        <f t="shared" si="17"/>
        <v>375582</v>
      </c>
      <c r="F30" s="10">
        <f t="shared" si="18"/>
        <v>157905200</v>
      </c>
      <c r="G30" s="10">
        <f t="shared" si="19"/>
        <v>403851.61290322576</v>
      </c>
      <c r="H30" s="10">
        <f t="shared" si="20"/>
        <v>210540266.66666666</v>
      </c>
      <c r="I30" s="10">
        <f t="shared" si="21"/>
        <v>210944118.27956989</v>
      </c>
      <c r="J30" s="10">
        <v>150</v>
      </c>
      <c r="K30" s="10">
        <f t="shared" si="22"/>
        <v>0.28717435892286203</v>
      </c>
      <c r="L30" s="10">
        <f t="shared" si="23"/>
        <v>149.71282564107713</v>
      </c>
      <c r="M30" s="10">
        <f t="shared" si="24"/>
        <v>0.26707215379826171</v>
      </c>
      <c r="N30" s="10">
        <f t="shared" si="25"/>
        <v>112.28461923080785</v>
      </c>
      <c r="O30" s="10">
        <f t="shared" si="26"/>
        <v>112.55169138460612</v>
      </c>
      <c r="P30" s="11">
        <f t="shared" si="9"/>
        <v>0.75034460923070745</v>
      </c>
      <c r="Q30" s="8">
        <f t="shared" si="27"/>
        <v>4.3622117190068836</v>
      </c>
      <c r="R30" s="10">
        <f t="shared" si="28"/>
        <v>5.7473902409872109</v>
      </c>
      <c r="S30" s="11">
        <f t="shared" si="29"/>
        <v>144.25260975901278</v>
      </c>
    </row>
    <row r="31" spans="3:19" x14ac:dyDescent="0.2">
      <c r="C31" s="8">
        <v>700</v>
      </c>
      <c r="D31" s="20">
        <f t="shared" si="16"/>
        <v>2.767546897183339E-3</v>
      </c>
      <c r="E31" s="10">
        <f t="shared" si="17"/>
        <v>438179</v>
      </c>
      <c r="F31" s="10">
        <f t="shared" si="18"/>
        <v>157889400</v>
      </c>
      <c r="G31" s="10">
        <f t="shared" si="19"/>
        <v>471160.21505376342</v>
      </c>
      <c r="H31" s="10">
        <f t="shared" si="20"/>
        <v>210519200</v>
      </c>
      <c r="I31" s="10">
        <f t="shared" si="21"/>
        <v>210990360.21505377</v>
      </c>
      <c r="J31" s="10">
        <v>150</v>
      </c>
      <c r="K31" s="10">
        <f t="shared" si="22"/>
        <v>0.3349633233766196</v>
      </c>
      <c r="L31" s="10">
        <f t="shared" si="23"/>
        <v>149.66503667662337</v>
      </c>
      <c r="M31" s="10">
        <f t="shared" si="24"/>
        <v>0.31151589074025626</v>
      </c>
      <c r="N31" s="10">
        <f t="shared" si="25"/>
        <v>112.24877750746754</v>
      </c>
      <c r="O31" s="10">
        <f t="shared" si="26"/>
        <v>112.56029339820779</v>
      </c>
      <c r="P31" s="11">
        <f t="shared" si="9"/>
        <v>0.75040195598805193</v>
      </c>
      <c r="Q31" s="8">
        <f t="shared" si="27"/>
        <v>5.0881316150634142</v>
      </c>
      <c r="R31" s="10">
        <f t="shared" si="28"/>
        <v>6.7038190424951765</v>
      </c>
      <c r="S31" s="11">
        <f t="shared" si="29"/>
        <v>143.29618095750482</v>
      </c>
    </row>
    <row r="32" spans="3:19" x14ac:dyDescent="0.2">
      <c r="C32" s="14">
        <v>800</v>
      </c>
      <c r="D32" s="21">
        <f t="shared" si="16"/>
        <v>3.1619761520007505E-3</v>
      </c>
      <c r="E32" s="15">
        <f t="shared" si="17"/>
        <v>500776</v>
      </c>
      <c r="F32" s="15">
        <f t="shared" si="18"/>
        <v>157873600</v>
      </c>
      <c r="G32" s="15">
        <f t="shared" si="19"/>
        <v>538468.81720430101</v>
      </c>
      <c r="H32" s="15">
        <f t="shared" si="20"/>
        <v>210498133.33333334</v>
      </c>
      <c r="I32" s="15">
        <f t="shared" si="21"/>
        <v>211036602.15053764</v>
      </c>
      <c r="J32" s="15">
        <v>150</v>
      </c>
      <c r="K32" s="15">
        <f t="shared" si="22"/>
        <v>0.3827313449779185</v>
      </c>
      <c r="L32" s="15">
        <f t="shared" si="23"/>
        <v>149.61726865502209</v>
      </c>
      <c r="M32" s="15">
        <f t="shared" si="24"/>
        <v>0.35594015082946423</v>
      </c>
      <c r="N32" s="15">
        <f t="shared" si="25"/>
        <v>112.21295149126657</v>
      </c>
      <c r="O32" s="15">
        <f t="shared" si="26"/>
        <v>112.56889164209603</v>
      </c>
      <c r="P32" s="17">
        <f t="shared" si="9"/>
        <v>0.75045927761397357</v>
      </c>
      <c r="Q32" s="14">
        <f t="shared" si="27"/>
        <v>5.8137333867694014</v>
      </c>
      <c r="R32" s="15">
        <f t="shared" si="28"/>
        <v>7.6598287023141296</v>
      </c>
      <c r="S32" s="17">
        <f t="shared" si="29"/>
        <v>142.34017129768586</v>
      </c>
    </row>
    <row r="33" spans="3:17" x14ac:dyDescent="0.2">
      <c r="C33" s="22">
        <v>16194.91</v>
      </c>
      <c r="D33" s="23">
        <f t="shared" si="16"/>
        <v>6.1224818479090344E-2</v>
      </c>
      <c r="E33" s="24">
        <f t="shared" si="17"/>
        <v>10137527.8127</v>
      </c>
      <c r="F33" s="24">
        <f t="shared" si="18"/>
        <v>155441204.22</v>
      </c>
      <c r="G33" s="24">
        <f t="shared" si="19"/>
        <v>10900567.540537633</v>
      </c>
      <c r="H33" s="24">
        <f t="shared" si="20"/>
        <v>207254938.96000001</v>
      </c>
      <c r="I33" s="24">
        <f t="shared" si="21"/>
        <v>218155506.50053763</v>
      </c>
      <c r="J33" s="24">
        <v>150</v>
      </c>
      <c r="K33" s="24">
        <f t="shared" si="22"/>
        <v>7.4950440504998905</v>
      </c>
      <c r="L33" s="24">
        <f t="shared" si="23"/>
        <v>142.5049559495001</v>
      </c>
      <c r="M33" s="26">
        <f t="shared" si="24"/>
        <v>6.9703909669648985</v>
      </c>
      <c r="N33" s="26">
        <f t="shared" si="25"/>
        <v>106.87871696212508</v>
      </c>
      <c r="O33" s="24">
        <f t="shared" si="26"/>
        <v>113.84910792908998</v>
      </c>
      <c r="P33" s="25">
        <f t="shared" si="9"/>
        <v>0.75899405286059984</v>
      </c>
    </row>
    <row r="37" spans="3:17" ht="51" x14ac:dyDescent="0.2">
      <c r="C37" s="46" t="s">
        <v>1</v>
      </c>
      <c r="D37" s="47"/>
      <c r="E37" s="48"/>
      <c r="F37" s="48"/>
      <c r="G37" s="48"/>
      <c r="H37" s="48"/>
      <c r="I37" s="48"/>
      <c r="J37" s="49" t="s">
        <v>17</v>
      </c>
      <c r="K37" s="29" t="s">
        <v>18</v>
      </c>
      <c r="L37" s="29" t="s">
        <v>19</v>
      </c>
      <c r="M37" s="49" t="s">
        <v>20</v>
      </c>
      <c r="N37" s="50" t="s">
        <v>21</v>
      </c>
    </row>
    <row r="38" spans="3:17" x14ac:dyDescent="0.2">
      <c r="C38" s="44">
        <v>50</v>
      </c>
      <c r="D38" s="9"/>
      <c r="E38" s="10"/>
      <c r="F38" s="10"/>
      <c r="G38" s="10"/>
      <c r="H38" s="10"/>
      <c r="I38" s="10"/>
      <c r="J38" s="10">
        <v>500</v>
      </c>
      <c r="K38" s="10"/>
      <c r="L38" s="10"/>
      <c r="M38" s="10">
        <f t="shared" ref="M38:M39" si="30">M24*J38/J24</f>
        <v>7.4276262630985995E-2</v>
      </c>
      <c r="N38" s="39">
        <f t="shared" ref="N38:N39" si="31">J38*N24/J24</f>
        <v>374.94009978820083</v>
      </c>
      <c r="O38" s="51">
        <f>M38+N38</f>
        <v>375.0143760508318</v>
      </c>
    </row>
    <row r="39" spans="3:17" x14ac:dyDescent="0.2">
      <c r="C39" s="44">
        <v>100</v>
      </c>
      <c r="D39" s="9"/>
      <c r="E39" s="10"/>
      <c r="F39" s="10"/>
      <c r="G39" s="10"/>
      <c r="H39" s="10"/>
      <c r="I39" s="10"/>
      <c r="J39" s="10">
        <v>500</v>
      </c>
      <c r="K39" s="10"/>
      <c r="L39" s="10"/>
      <c r="M39" s="10">
        <f t="shared" si="30"/>
        <v>0.14853622498797672</v>
      </c>
      <c r="N39" s="39">
        <f t="shared" si="31"/>
        <v>374.88021272178389</v>
      </c>
      <c r="O39" s="51">
        <f t="shared" ref="O39:O43" si="32">M39+N39</f>
        <v>375.02874894677188</v>
      </c>
    </row>
    <row r="40" spans="3:17" s="57" customFormat="1" x14ac:dyDescent="0.2">
      <c r="C40" s="52">
        <v>200</v>
      </c>
      <c r="D40" s="53"/>
      <c r="E40" s="54"/>
      <c r="F40" s="54"/>
      <c r="G40" s="54"/>
      <c r="H40" s="54"/>
      <c r="I40" s="54"/>
      <c r="J40" s="54">
        <v>500</v>
      </c>
      <c r="K40" s="54"/>
      <c r="L40" s="54"/>
      <c r="M40" s="54">
        <f>M26*J40/J26</f>
        <v>0.29700727033829216</v>
      </c>
      <c r="N40" s="55">
        <f>J40*N26/J26</f>
        <v>374.76047800779168</v>
      </c>
      <c r="O40" s="56">
        <f t="shared" si="32"/>
        <v>375.05748527812995</v>
      </c>
    </row>
    <row r="41" spans="3:17" x14ac:dyDescent="0.2">
      <c r="C41" s="38">
        <v>300</v>
      </c>
      <c r="D41" s="9"/>
      <c r="E41" s="10"/>
      <c r="F41" s="10"/>
      <c r="G41" s="10"/>
      <c r="H41" s="10"/>
      <c r="I41" s="10"/>
      <c r="J41" s="10">
        <v>500</v>
      </c>
      <c r="K41" s="10"/>
      <c r="L41" s="10"/>
      <c r="M41" s="10">
        <f>M27*J41/J27</f>
        <v>0.44541317894405136</v>
      </c>
      <c r="N41" s="39">
        <f>J41*N27/J27</f>
        <v>374.6407958234322</v>
      </c>
      <c r="O41" s="51">
        <f t="shared" si="32"/>
        <v>375.08620900237628</v>
      </c>
      <c r="P41">
        <f>N41/$G$18</f>
        <v>2.371144277363495</v>
      </c>
      <c r="Q41">
        <f>(O41/(P41))*1000000</f>
        <v>158187847.35420626</v>
      </c>
    </row>
    <row r="42" spans="3:17" x14ac:dyDescent="0.2">
      <c r="C42" s="38">
        <v>400</v>
      </c>
      <c r="D42" s="9"/>
      <c r="E42" s="10"/>
      <c r="F42" s="10"/>
      <c r="G42" s="10"/>
      <c r="H42" s="10"/>
      <c r="I42" s="10"/>
      <c r="J42" s="10">
        <v>500</v>
      </c>
      <c r="K42" s="10"/>
      <c r="L42" s="10"/>
      <c r="M42" s="10">
        <f t="shared" ref="M42:M43" si="33">M28*J42/J28</f>
        <v>0.59375399366073145</v>
      </c>
      <c r="N42" s="39">
        <f t="shared" ref="N42:N43" si="34">J42*N28/J28</f>
        <v>374.52116613414461</v>
      </c>
      <c r="O42" s="51">
        <f t="shared" si="32"/>
        <v>375.11492012780536</v>
      </c>
    </row>
    <row r="43" spans="3:17" x14ac:dyDescent="0.2">
      <c r="C43" s="40">
        <v>500</v>
      </c>
      <c r="D43" s="41"/>
      <c r="E43" s="42"/>
      <c r="F43" s="42"/>
      <c r="G43" s="42"/>
      <c r="H43" s="42"/>
      <c r="I43" s="42"/>
      <c r="J43" s="10">
        <v>500</v>
      </c>
      <c r="K43" s="42"/>
      <c r="L43" s="42"/>
      <c r="M43" s="42">
        <f t="shared" si="33"/>
        <v>0.742029757306223</v>
      </c>
      <c r="N43" s="43">
        <f t="shared" si="34"/>
        <v>374.40158890539817</v>
      </c>
      <c r="O43" s="51">
        <f t="shared" si="32"/>
        <v>375.1436186627044</v>
      </c>
    </row>
    <row r="44" spans="3:17" x14ac:dyDescent="0.2">
      <c r="C44">
        <v>400</v>
      </c>
      <c r="J44">
        <v>3000000</v>
      </c>
      <c r="K44" s="42">
        <f>K28*J44/J28</f>
        <v>3830.6709268434283</v>
      </c>
      <c r="L44" s="42">
        <f>L28*J44/J28</f>
        <v>2996169.3290731567</v>
      </c>
      <c r="M44" s="42">
        <f>M28*J44/J28</f>
        <v>3562.5239619643885</v>
      </c>
      <c r="N44" s="43">
        <f>J44*N28/J28</f>
        <v>2247126.9968048674</v>
      </c>
      <c r="O44">
        <f>M44/$E$18</f>
        <v>5.6911538826106245</v>
      </c>
      <c r="P44">
        <f>N44/$G$18</f>
        <v>14222.322764587769</v>
      </c>
      <c r="Q44">
        <f>(O44/(P44))*1000000</f>
        <v>400.15642851117514</v>
      </c>
    </row>
    <row r="45" spans="3:17" x14ac:dyDescent="0.2">
      <c r="C45">
        <v>200</v>
      </c>
      <c r="J45">
        <f>2500000</f>
        <v>2500000</v>
      </c>
      <c r="K45">
        <f>(K44*J45)/(J44*2)</f>
        <v>1596.1128861847617</v>
      </c>
      <c r="M45">
        <f>(J45*M40)/J40</f>
        <v>1485.0363516914606</v>
      </c>
    </row>
    <row r="47" spans="3:17" x14ac:dyDescent="0.2">
      <c r="L47" t="s">
        <v>27</v>
      </c>
      <c r="M47">
        <f>20*0.93*1000</f>
        <v>18600</v>
      </c>
      <c r="N47" s="43">
        <v>2247126.9968048674</v>
      </c>
      <c r="O47">
        <f>M47/E18</f>
        <v>29.713614096840637</v>
      </c>
      <c r="P47">
        <f t="shared" ref="P47" si="35">N47/$G$18</f>
        <v>14222.322764587769</v>
      </c>
      <c r="Q47">
        <f t="shared" ref="Q47" si="36">(O47/(P47))*1000000</f>
        <v>2089.2237216571057</v>
      </c>
    </row>
  </sheetData>
  <mergeCells count="1">
    <mergeCell ref="D16:E16"/>
  </mergeCells>
  <pageMargins left="0.7" right="0.7" top="0.75" bottom="0.75" header="0.3" footer="0.3"/>
  <pageSetup paperSize="9" scale="47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26DD8-B7FB-784A-BE08-540C362F2CDE}">
  <sheetPr>
    <pageSetUpPr fitToPage="1"/>
  </sheetPr>
  <dimension ref="C4:S58"/>
  <sheetViews>
    <sheetView tabSelected="1" view="pageBreakPreview" topLeftCell="A16" zoomScale="141" zoomScaleNormal="172" zoomScaleSheetLayoutView="141" workbookViewId="0">
      <selection activeCell="H40" sqref="H40"/>
    </sheetView>
  </sheetViews>
  <sheetFormatPr baseColWidth="10" defaultColWidth="11" defaultRowHeight="16" x14ac:dyDescent="0.2"/>
  <cols>
    <col min="3" max="3" width="9.6640625" customWidth="1"/>
    <col min="4" max="4" width="10.5" style="2" customWidth="1"/>
    <col min="5" max="5" width="13.33203125" bestFit="1" customWidth="1"/>
    <col min="6" max="6" width="10.83203125" customWidth="1"/>
    <col min="7" max="7" width="12.5" customWidth="1"/>
    <col min="8" max="8" width="12" customWidth="1"/>
    <col min="9" max="9" width="13.33203125" customWidth="1"/>
    <col min="10" max="10" width="7" customWidth="1"/>
    <col min="11" max="11" width="10.33203125" customWidth="1"/>
    <col min="12" max="12" width="10.83203125" customWidth="1"/>
    <col min="13" max="13" width="9" customWidth="1"/>
    <col min="14" max="14" width="9.1640625" customWidth="1"/>
    <col min="15" max="15" width="8.83203125" customWidth="1"/>
    <col min="16" max="16" width="12" bestFit="1" customWidth="1"/>
    <col min="17" max="17" width="12.5" customWidth="1"/>
    <col min="18" max="18" width="11.5" customWidth="1"/>
    <col min="19" max="19" width="7.1640625" customWidth="1"/>
  </cols>
  <sheetData>
    <row r="4" spans="3:9" x14ac:dyDescent="0.2">
      <c r="F4" s="1"/>
    </row>
    <row r="5" spans="3:9" x14ac:dyDescent="0.2">
      <c r="C5" s="18" t="s">
        <v>0</v>
      </c>
      <c r="D5" s="5" t="s">
        <v>1</v>
      </c>
      <c r="E5" s="19" t="s">
        <v>2</v>
      </c>
      <c r="F5" s="33" t="s">
        <v>3</v>
      </c>
    </row>
    <row r="6" spans="3:9" x14ac:dyDescent="0.2">
      <c r="C6" s="34">
        <v>0.05</v>
      </c>
      <c r="D6" s="9">
        <f>((C6/F6)/(((100-C6)/E6)+(C6/F6)))*1000000</f>
        <v>77.181073637583083</v>
      </c>
      <c r="E6" s="9">
        <v>158</v>
      </c>
      <c r="F6" s="35">
        <v>1024</v>
      </c>
      <c r="G6" s="3">
        <v>625.97</v>
      </c>
    </row>
    <row r="7" spans="3:9" x14ac:dyDescent="0.2">
      <c r="C7" s="8">
        <v>0.1</v>
      </c>
      <c r="D7" s="9">
        <f t="shared" ref="D7:D14" si="0">((C7/F7)/(((100-C7)/E7)+(C7/F7)))*1000000</f>
        <v>154.42747479802253</v>
      </c>
      <c r="E7" s="9">
        <v>158</v>
      </c>
      <c r="F7" s="35">
        <v>1024</v>
      </c>
      <c r="G7" s="3">
        <v>625.97</v>
      </c>
    </row>
    <row r="8" spans="3:9" x14ac:dyDescent="0.2">
      <c r="C8" s="34">
        <v>0.2</v>
      </c>
      <c r="D8" s="9">
        <f t="shared" si="0"/>
        <v>309.11659173523964</v>
      </c>
      <c r="E8" s="9">
        <v>158</v>
      </c>
      <c r="F8" s="35">
        <v>1024</v>
      </c>
      <c r="G8" s="3">
        <v>625.97</v>
      </c>
    </row>
    <row r="9" spans="3:9" x14ac:dyDescent="0.2">
      <c r="C9" s="34">
        <v>0.5</v>
      </c>
      <c r="D9" s="9">
        <f t="shared" si="0"/>
        <v>774.76046171800681</v>
      </c>
      <c r="E9" s="9">
        <v>158</v>
      </c>
      <c r="F9" s="35">
        <v>1024</v>
      </c>
      <c r="G9" s="3">
        <v>625.97</v>
      </c>
    </row>
    <row r="10" spans="3:9" x14ac:dyDescent="0.2">
      <c r="C10" s="34">
        <v>1</v>
      </c>
      <c r="D10" s="9">
        <f t="shared" si="0"/>
        <v>1556.1289814249415</v>
      </c>
      <c r="E10" s="9">
        <v>158</v>
      </c>
      <c r="F10" s="35">
        <v>1024</v>
      </c>
      <c r="G10" s="3">
        <v>625.97</v>
      </c>
    </row>
    <row r="11" spans="3:9" x14ac:dyDescent="0.2">
      <c r="C11" s="34">
        <v>2</v>
      </c>
      <c r="D11" s="9">
        <f t="shared" si="0"/>
        <v>3139.0312711089919</v>
      </c>
      <c r="E11" s="9">
        <v>158</v>
      </c>
      <c r="F11" s="35">
        <v>1024</v>
      </c>
      <c r="G11" s="3">
        <v>625.97</v>
      </c>
    </row>
    <row r="12" spans="3:9" x14ac:dyDescent="0.2">
      <c r="C12" s="34">
        <v>5</v>
      </c>
      <c r="D12" s="9">
        <f t="shared" si="0"/>
        <v>8055.470582237177</v>
      </c>
      <c r="E12" s="9">
        <v>158</v>
      </c>
      <c r="F12" s="35">
        <v>1024</v>
      </c>
      <c r="G12" s="3">
        <v>625.97</v>
      </c>
    </row>
    <row r="13" spans="3:9" x14ac:dyDescent="0.2">
      <c r="C13" s="34">
        <v>0.01</v>
      </c>
      <c r="D13" s="9">
        <f t="shared" si="0"/>
        <v>15.430992503858237</v>
      </c>
      <c r="E13" s="9">
        <v>158</v>
      </c>
      <c r="F13" s="35">
        <v>1024</v>
      </c>
      <c r="G13" s="3">
        <v>625.97</v>
      </c>
    </row>
    <row r="14" spans="3:9" x14ac:dyDescent="0.2">
      <c r="C14" s="36">
        <v>10</v>
      </c>
      <c r="D14" s="16">
        <f t="shared" si="0"/>
        <v>16855.131213996159</v>
      </c>
      <c r="E14" s="16">
        <v>158</v>
      </c>
      <c r="F14" s="37">
        <v>1024</v>
      </c>
      <c r="G14" s="3">
        <v>625.97</v>
      </c>
    </row>
    <row r="16" spans="3:9" x14ac:dyDescent="0.2">
      <c r="D16" s="58" t="s">
        <v>4</v>
      </c>
      <c r="E16" s="59"/>
      <c r="F16" s="5"/>
      <c r="G16" s="6" t="s">
        <v>5</v>
      </c>
      <c r="H16" s="6"/>
      <c r="I16" s="7" t="s">
        <v>6</v>
      </c>
    </row>
    <row r="17" spans="3:19" x14ac:dyDescent="0.2">
      <c r="D17" s="8" t="s">
        <v>7</v>
      </c>
      <c r="E17" s="9">
        <v>0.93</v>
      </c>
      <c r="F17" s="9"/>
      <c r="G17" s="3">
        <v>0.75</v>
      </c>
      <c r="H17" s="10"/>
      <c r="I17" s="11"/>
    </row>
    <row r="18" spans="3:19" x14ac:dyDescent="0.2">
      <c r="D18" s="8" t="s">
        <v>8</v>
      </c>
      <c r="E18" s="10">
        <f>((0.109/E17)-0.101)^(-1.562)</f>
        <v>625.97568708337246</v>
      </c>
      <c r="F18" s="9"/>
      <c r="G18" s="3">
        <v>158</v>
      </c>
      <c r="H18" s="10"/>
      <c r="I18" s="11"/>
    </row>
    <row r="19" spans="3:19" x14ac:dyDescent="0.2">
      <c r="D19" s="8" t="s">
        <v>9</v>
      </c>
      <c r="E19" s="12">
        <v>43.2</v>
      </c>
      <c r="F19" s="13"/>
      <c r="G19" s="4">
        <v>662.39</v>
      </c>
      <c r="H19" s="10" t="s">
        <v>10</v>
      </c>
      <c r="I19" s="11">
        <f>E19/(E19+G19)</f>
        <v>6.1225357502232174E-2</v>
      </c>
    </row>
    <row r="20" spans="3:19" x14ac:dyDescent="0.2">
      <c r="D20" s="14" t="s">
        <v>11</v>
      </c>
      <c r="E20" s="15">
        <f>E19/E18</f>
        <v>6.901226499911374E-2</v>
      </c>
      <c r="F20" s="16"/>
      <c r="G20" s="15">
        <f>G19/G18</f>
        <v>4.1923417721518987</v>
      </c>
      <c r="H20" s="15" t="s">
        <v>1</v>
      </c>
      <c r="I20" s="17">
        <f>(E20*(10^6))/(G20+E20)</f>
        <v>16194.914667370103</v>
      </c>
    </row>
    <row r="23" spans="3:19" ht="51" x14ac:dyDescent="0.2">
      <c r="C23" s="27" t="s">
        <v>1</v>
      </c>
      <c r="D23" s="28" t="s">
        <v>10</v>
      </c>
      <c r="E23" s="29" t="s">
        <v>12</v>
      </c>
      <c r="F23" s="29" t="s">
        <v>13</v>
      </c>
      <c r="G23" s="29" t="s">
        <v>14</v>
      </c>
      <c r="H23" s="29" t="s">
        <v>15</v>
      </c>
      <c r="I23" s="29" t="s">
        <v>16</v>
      </c>
      <c r="J23" s="29" t="s">
        <v>17</v>
      </c>
      <c r="K23" s="29" t="s">
        <v>18</v>
      </c>
      <c r="L23" s="29" t="s">
        <v>19</v>
      </c>
      <c r="M23" s="29" t="s">
        <v>20</v>
      </c>
      <c r="N23" s="29" t="s">
        <v>21</v>
      </c>
      <c r="O23" s="29" t="s">
        <v>22</v>
      </c>
      <c r="P23" s="30" t="s">
        <v>23</v>
      </c>
      <c r="Q23" s="31" t="s">
        <v>24</v>
      </c>
      <c r="R23" s="31" t="s">
        <v>25</v>
      </c>
      <c r="S23" s="32" t="s">
        <v>26</v>
      </c>
    </row>
    <row r="24" spans="3:19" x14ac:dyDescent="0.2">
      <c r="C24" s="45">
        <v>50</v>
      </c>
      <c r="D24" s="20">
        <f>(C24*100*625.97)/((C24*625.97)+(158*((10^6)-C24)))</f>
        <v>1.9806244073405369E-2</v>
      </c>
      <c r="E24" s="10">
        <f>(C24*625.97)</f>
        <v>31298.5</v>
      </c>
      <c r="F24" s="10">
        <f t="shared" ref="F24:F25" si="1">(158*((10^6)-C24))</f>
        <v>157992100</v>
      </c>
      <c r="G24" s="10">
        <f>E24/0.93</f>
        <v>33654.301075268813</v>
      </c>
      <c r="H24" s="10">
        <f>F24/0.75</f>
        <v>210656133.33333334</v>
      </c>
      <c r="I24" s="10">
        <f t="shared" ref="I24" si="2">G24+H24</f>
        <v>210689787.63440862</v>
      </c>
      <c r="J24" s="10">
        <v>200000</v>
      </c>
      <c r="K24" s="10">
        <f t="shared" ref="K24" si="3">J24*G24/I24</f>
        <v>31.94677962623053</v>
      </c>
      <c r="L24" s="10">
        <f t="shared" ref="L24:L25" si="4">J24*H24/I24</f>
        <v>199968.05322037378</v>
      </c>
      <c r="M24" s="10">
        <f t="shared" ref="M24:M25" si="5">K24*0.93</f>
        <v>29.710505052394396</v>
      </c>
      <c r="N24" s="10">
        <f t="shared" ref="N24:N25" si="6">L24*0.75</f>
        <v>149976.03991528033</v>
      </c>
      <c r="O24" s="10">
        <f t="shared" ref="O24:O25" si="7">M24+N24</f>
        <v>150005.75042033271</v>
      </c>
      <c r="P24" s="11">
        <f t="shared" ref="P24:P25" si="8">O24/J24</f>
        <v>0.75002875210166353</v>
      </c>
      <c r="Q24" s="8">
        <f t="shared" ref="Q24:Q25" si="9">M24*113.8491/6.9703</f>
        <v>485.2752766395356</v>
      </c>
      <c r="R24" s="10">
        <f t="shared" ref="R24:R25" si="10">Q24/0.75899</f>
        <v>639.3697896408853</v>
      </c>
      <c r="S24" s="11">
        <f t="shared" ref="S24:S25" si="11">150-R24</f>
        <v>-489.3697896408853</v>
      </c>
    </row>
    <row r="25" spans="3:19" x14ac:dyDescent="0.2">
      <c r="C25" s="45">
        <v>100</v>
      </c>
      <c r="D25" s="20">
        <f t="shared" ref="D25:D37" si="12">(C25*100*625.97)/((C25*625.97)+(158*((10^6)-C25)))</f>
        <v>3.9606623600223927E-2</v>
      </c>
      <c r="E25" s="10">
        <f t="shared" ref="E25" si="13">(C25*625.97)</f>
        <v>62597</v>
      </c>
      <c r="F25" s="10">
        <f t="shared" si="1"/>
        <v>157984200</v>
      </c>
      <c r="G25" s="10">
        <f t="shared" ref="G25" si="14">E25/0.93</f>
        <v>67308.602150537627</v>
      </c>
      <c r="H25" s="10">
        <f t="shared" ref="H25" si="15">F25/0.75</f>
        <v>210645600</v>
      </c>
      <c r="I25" s="10">
        <f>G25+H25</f>
        <v>210712908.60215053</v>
      </c>
      <c r="J25" s="10">
        <v>200000</v>
      </c>
      <c r="K25" s="10">
        <f>J25*G25/I25</f>
        <v>63.886548381925451</v>
      </c>
      <c r="L25" s="10">
        <f t="shared" si="4"/>
        <v>199936.11345161809</v>
      </c>
      <c r="M25" s="10">
        <f t="shared" si="5"/>
        <v>59.414489995190671</v>
      </c>
      <c r="N25" s="10">
        <f t="shared" si="6"/>
        <v>149952.08508871356</v>
      </c>
      <c r="O25" s="10">
        <f t="shared" si="7"/>
        <v>150011.49957870875</v>
      </c>
      <c r="P25" s="11">
        <f t="shared" si="8"/>
        <v>0.75005749789354381</v>
      </c>
      <c r="Q25" s="8">
        <f t="shared" si="9"/>
        <v>970.44405734494399</v>
      </c>
      <c r="R25" s="10">
        <f t="shared" si="10"/>
        <v>1278.599266584466</v>
      </c>
      <c r="S25" s="11">
        <f t="shared" si="11"/>
        <v>-1128.599266584466</v>
      </c>
    </row>
    <row r="26" spans="3:19" x14ac:dyDescent="0.2">
      <c r="C26" s="8">
        <v>200</v>
      </c>
      <c r="D26" s="20">
        <f t="shared" si="12"/>
        <v>7.9189799429823834E-2</v>
      </c>
      <c r="E26" s="10">
        <f>(C26*625.97)</f>
        <v>125194</v>
      </c>
      <c r="F26" s="10">
        <f>(158*((10^6)-C26))</f>
        <v>157968400</v>
      </c>
      <c r="G26" s="10">
        <f>E26/0.93</f>
        <v>134617.20430107525</v>
      </c>
      <c r="H26" s="10">
        <f>F26/0.75</f>
        <v>210624533.33333334</v>
      </c>
      <c r="I26" s="10">
        <f>G26+H26</f>
        <v>210759150.53763443</v>
      </c>
      <c r="J26" s="10">
        <v>200000</v>
      </c>
      <c r="K26" s="10">
        <f>J26*G26/I26</f>
        <v>127.74506251109338</v>
      </c>
      <c r="L26" s="10">
        <f>J26*H26/I26</f>
        <v>199872.25493748891</v>
      </c>
      <c r="M26" s="10">
        <f>K26*0.93</f>
        <v>118.80290813531686</v>
      </c>
      <c r="N26" s="10">
        <f>L26*0.75</f>
        <v>149904.19120311667</v>
      </c>
      <c r="O26" s="10">
        <f>M26+N26</f>
        <v>150022.99411125199</v>
      </c>
      <c r="P26" s="11">
        <f t="shared" ref="P26:P37" si="16">O26/J26</f>
        <v>0.75011497055625997</v>
      </c>
      <c r="Q26" s="8">
        <f>M26*113.8491/6.9703</f>
        <v>1940.4622711488032</v>
      </c>
      <c r="R26" s="10">
        <f>Q26/0.75899</f>
        <v>2556.6374670928512</v>
      </c>
      <c r="S26" s="11">
        <f>150-R26</f>
        <v>-2406.6374670928512</v>
      </c>
    </row>
    <row r="27" spans="3:19" x14ac:dyDescent="0.2">
      <c r="C27" s="8">
        <v>300</v>
      </c>
      <c r="D27" s="20">
        <f t="shared" si="12"/>
        <v>0.11874954830483504</v>
      </c>
      <c r="E27" s="10">
        <f t="shared" ref="E27:E32" si="17">(C27*625.97)</f>
        <v>187791</v>
      </c>
      <c r="F27" s="10">
        <f t="shared" ref="F27:F37" si="18">(158*((10^6)-C27))</f>
        <v>157952600</v>
      </c>
      <c r="G27" s="10">
        <f t="shared" ref="G27:G32" si="19">E27/0.93</f>
        <v>201925.80645161288</v>
      </c>
      <c r="H27" s="10">
        <f t="shared" ref="H27:H37" si="20">F27/0.75</f>
        <v>210603466.66666666</v>
      </c>
      <c r="I27" s="10">
        <f t="shared" ref="I27:I37" si="21">G27+H27</f>
        <v>210805392.47311828</v>
      </c>
      <c r="J27" s="10">
        <v>200000</v>
      </c>
      <c r="K27" s="10">
        <f t="shared" ref="K27:K37" si="22">J27*G27/I27</f>
        <v>191.57556083615108</v>
      </c>
      <c r="L27" s="10">
        <f t="shared" ref="L27:L37" si="23">J27*H27/I27</f>
        <v>199808.42443916382</v>
      </c>
      <c r="M27" s="10">
        <f t="shared" ref="M27:M37" si="24">K27*0.93</f>
        <v>178.16527157762053</v>
      </c>
      <c r="N27" s="10">
        <f t="shared" ref="N27:N37" si="25">L27*0.75</f>
        <v>149856.31832937285</v>
      </c>
      <c r="O27" s="10">
        <f t="shared" ref="O27:O37" si="26">M27+N27</f>
        <v>150034.48360095048</v>
      </c>
      <c r="P27" s="11">
        <f t="shared" si="16"/>
        <v>0.75017241800475243</v>
      </c>
      <c r="Q27" s="8">
        <f t="shared" ref="Q27:Q32" si="27">M27*113.8491/6.9703</f>
        <v>2910.0549216486634</v>
      </c>
      <c r="R27" s="10">
        <f t="shared" ref="R27:R32" si="28">Q27/0.75899</f>
        <v>3834.1149707488416</v>
      </c>
      <c r="S27" s="11">
        <f t="shared" ref="S27:S32" si="29">150-R27</f>
        <v>-3684.1149707488416</v>
      </c>
    </row>
    <row r="28" spans="3:19" x14ac:dyDescent="0.2">
      <c r="C28" s="8">
        <v>400</v>
      </c>
      <c r="D28" s="20">
        <f t="shared" si="12"/>
        <v>0.1582858910166606</v>
      </c>
      <c r="E28" s="10">
        <f t="shared" si="17"/>
        <v>250388</v>
      </c>
      <c r="F28" s="10">
        <f t="shared" si="18"/>
        <v>157936800</v>
      </c>
      <c r="G28" s="10">
        <f t="shared" si="19"/>
        <v>269234.40860215051</v>
      </c>
      <c r="H28" s="10">
        <f t="shared" si="20"/>
        <v>210582400</v>
      </c>
      <c r="I28" s="10">
        <f t="shared" si="21"/>
        <v>210851634.40860215</v>
      </c>
      <c r="J28" s="10">
        <v>200000</v>
      </c>
      <c r="K28" s="10">
        <f t="shared" si="22"/>
        <v>255.37806178956183</v>
      </c>
      <c r="L28" s="10">
        <f t="shared" si="23"/>
        <v>199744.62193821045</v>
      </c>
      <c r="M28" s="10">
        <f t="shared" si="24"/>
        <v>237.5015974642925</v>
      </c>
      <c r="N28" s="10">
        <f t="shared" si="25"/>
        <v>149808.46645365783</v>
      </c>
      <c r="O28" s="10">
        <f t="shared" si="26"/>
        <v>150045.96805112212</v>
      </c>
      <c r="P28" s="11">
        <f t="shared" si="16"/>
        <v>0.75022984025561057</v>
      </c>
      <c r="Q28" s="8">
        <f t="shared" si="27"/>
        <v>3879.2222888357724</v>
      </c>
      <c r="R28" s="10">
        <f t="shared" si="28"/>
        <v>5111.0321464522222</v>
      </c>
      <c r="S28" s="11">
        <f t="shared" si="29"/>
        <v>-4961.0321464522222</v>
      </c>
    </row>
    <row r="29" spans="3:19" x14ac:dyDescent="0.2">
      <c r="C29" s="8">
        <v>500</v>
      </c>
      <c r="D29" s="20">
        <f t="shared" si="12"/>
        <v>0.19779884833210767</v>
      </c>
      <c r="E29" s="10">
        <f t="shared" si="17"/>
        <v>312985</v>
      </c>
      <c r="F29" s="10">
        <f t="shared" si="18"/>
        <v>157921000</v>
      </c>
      <c r="G29" s="10">
        <f t="shared" si="19"/>
        <v>336543.01075268816</v>
      </c>
      <c r="H29" s="10">
        <f t="shared" si="20"/>
        <v>210561333.33333334</v>
      </c>
      <c r="I29" s="10">
        <f t="shared" si="21"/>
        <v>210897876.34408602</v>
      </c>
      <c r="J29" s="10">
        <v>200000</v>
      </c>
      <c r="K29" s="10">
        <f t="shared" si="22"/>
        <v>319.15258378762286</v>
      </c>
      <c r="L29" s="10">
        <f t="shared" si="23"/>
        <v>199680.8474162124</v>
      </c>
      <c r="M29" s="10">
        <f t="shared" si="24"/>
        <v>296.81190292248925</v>
      </c>
      <c r="N29" s="10">
        <f t="shared" si="25"/>
        <v>149760.6355621593</v>
      </c>
      <c r="O29" s="10">
        <f t="shared" si="26"/>
        <v>150057.44746508179</v>
      </c>
      <c r="P29" s="11">
        <f t="shared" si="16"/>
        <v>0.75028723732540892</v>
      </c>
      <c r="Q29" s="8">
        <f t="shared" si="27"/>
        <v>4847.9646524558157</v>
      </c>
      <c r="R29" s="10">
        <f t="shared" si="28"/>
        <v>6387.3893627792395</v>
      </c>
      <c r="S29" s="11">
        <f t="shared" si="29"/>
        <v>-6237.3893627792395</v>
      </c>
    </row>
    <row r="30" spans="3:19" x14ac:dyDescent="0.2">
      <c r="C30" s="8">
        <v>600</v>
      </c>
      <c r="D30" s="20">
        <f t="shared" si="12"/>
        <v>0.23728844099342394</v>
      </c>
      <c r="E30" s="10">
        <f t="shared" si="17"/>
        <v>375582</v>
      </c>
      <c r="F30" s="10">
        <f t="shared" si="18"/>
        <v>157905200</v>
      </c>
      <c r="G30" s="10">
        <f t="shared" si="19"/>
        <v>403851.61290322576</v>
      </c>
      <c r="H30" s="10">
        <f t="shared" si="20"/>
        <v>210540266.66666666</v>
      </c>
      <c r="I30" s="10">
        <f t="shared" si="21"/>
        <v>210944118.27956989</v>
      </c>
      <c r="J30" s="10">
        <v>200000</v>
      </c>
      <c r="K30" s="10">
        <f t="shared" si="22"/>
        <v>382.8991452304827</v>
      </c>
      <c r="L30" s="10">
        <f t="shared" si="23"/>
        <v>199617.10085476949</v>
      </c>
      <c r="M30" s="10">
        <f t="shared" si="24"/>
        <v>356.09620506434891</v>
      </c>
      <c r="N30" s="10">
        <f t="shared" si="25"/>
        <v>149712.82564107713</v>
      </c>
      <c r="O30" s="10">
        <f t="shared" si="26"/>
        <v>150068.92184614149</v>
      </c>
      <c r="P30" s="11">
        <f t="shared" si="16"/>
        <v>0.75034460923070745</v>
      </c>
      <c r="Q30" s="8">
        <f t="shared" si="27"/>
        <v>5816.2822920091767</v>
      </c>
      <c r="R30" s="10">
        <f t="shared" si="28"/>
        <v>7663.1869879829464</v>
      </c>
      <c r="S30" s="11">
        <f t="shared" si="29"/>
        <v>-7513.1869879829464</v>
      </c>
    </row>
    <row r="31" spans="3:19" x14ac:dyDescent="0.2">
      <c r="C31" s="8">
        <v>700</v>
      </c>
      <c r="D31" s="20">
        <f t="shared" si="12"/>
        <v>0.27675468971833389</v>
      </c>
      <c r="E31" s="10">
        <f t="shared" si="17"/>
        <v>438179</v>
      </c>
      <c r="F31" s="10">
        <f t="shared" si="18"/>
        <v>157889400</v>
      </c>
      <c r="G31" s="10">
        <f t="shared" si="19"/>
        <v>471160.21505376342</v>
      </c>
      <c r="H31" s="10">
        <f t="shared" si="20"/>
        <v>210519200</v>
      </c>
      <c r="I31" s="10">
        <f t="shared" si="21"/>
        <v>210990360.21505377</v>
      </c>
      <c r="J31" s="10">
        <v>200000</v>
      </c>
      <c r="K31" s="10">
        <f t="shared" si="22"/>
        <v>446.6177645021595</v>
      </c>
      <c r="L31" s="10">
        <f t="shared" si="23"/>
        <v>199553.38223549785</v>
      </c>
      <c r="M31" s="10">
        <f t="shared" si="24"/>
        <v>415.35452098700836</v>
      </c>
      <c r="N31" s="10">
        <f t="shared" si="25"/>
        <v>149665.03667662339</v>
      </c>
      <c r="O31" s="10">
        <f t="shared" si="26"/>
        <v>150080.39119761041</v>
      </c>
      <c r="P31" s="11">
        <f t="shared" si="16"/>
        <v>0.75040195598805204</v>
      </c>
      <c r="Q31" s="8">
        <f t="shared" si="27"/>
        <v>6784.1754867512182</v>
      </c>
      <c r="R31" s="10">
        <f t="shared" si="28"/>
        <v>8938.4253899935666</v>
      </c>
      <c r="S31" s="11">
        <f t="shared" si="29"/>
        <v>-8788.4253899935666</v>
      </c>
    </row>
    <row r="32" spans="3:19" ht="17" thickBot="1" x14ac:dyDescent="0.25">
      <c r="C32" s="8">
        <v>800</v>
      </c>
      <c r="D32" s="20">
        <f t="shared" si="12"/>
        <v>0.31619761520007506</v>
      </c>
      <c r="E32" s="10">
        <f t="shared" si="17"/>
        <v>500776</v>
      </c>
      <c r="F32" s="10">
        <f t="shared" si="18"/>
        <v>157873600</v>
      </c>
      <c r="G32" s="10">
        <f t="shared" si="19"/>
        <v>538468.81720430101</v>
      </c>
      <c r="H32" s="10">
        <f t="shared" si="20"/>
        <v>210498133.33333334</v>
      </c>
      <c r="I32" s="10">
        <f t="shared" si="21"/>
        <v>211036602.15053764</v>
      </c>
      <c r="J32" s="10">
        <v>200000</v>
      </c>
      <c r="K32" s="10">
        <f t="shared" si="22"/>
        <v>510.30845997055792</v>
      </c>
      <c r="L32" s="10">
        <f t="shared" si="23"/>
        <v>199489.69154002945</v>
      </c>
      <c r="M32" s="10">
        <f t="shared" si="24"/>
        <v>474.58686777261892</v>
      </c>
      <c r="N32" s="10">
        <f t="shared" si="25"/>
        <v>149617.26865502208</v>
      </c>
      <c r="O32" s="10">
        <f t="shared" si="26"/>
        <v>150091.85552279471</v>
      </c>
      <c r="P32" s="11">
        <f t="shared" si="16"/>
        <v>0.75045927761397357</v>
      </c>
      <c r="Q32" s="14">
        <f t="shared" si="27"/>
        <v>7751.6445156925347</v>
      </c>
      <c r="R32" s="15">
        <f t="shared" si="28"/>
        <v>10213.104936418838</v>
      </c>
      <c r="S32" s="17">
        <f t="shared" si="29"/>
        <v>-10063.104936418838</v>
      </c>
    </row>
    <row r="33" spans="3:17" ht="17" thickBot="1" x14ac:dyDescent="0.25">
      <c r="C33" s="60">
        <v>185</v>
      </c>
      <c r="D33" s="61">
        <f t="shared" si="12"/>
        <v>7.3253817032152169E-2</v>
      </c>
      <c r="E33" s="62">
        <f>(C33*625.97)</f>
        <v>115804.45000000001</v>
      </c>
      <c r="F33" s="62">
        <f t="shared" si="18"/>
        <v>157970770</v>
      </c>
      <c r="G33" s="62">
        <f>E33/0.93</f>
        <v>124520.91397849463</v>
      </c>
      <c r="H33" s="62">
        <f t="shared" si="20"/>
        <v>210627693.33333334</v>
      </c>
      <c r="I33" s="62">
        <f t="shared" si="21"/>
        <v>210752214.24731183</v>
      </c>
      <c r="J33" s="62">
        <v>150</v>
      </c>
      <c r="K33" s="62">
        <f t="shared" si="22"/>
        <v>8.8626053887414555E-2</v>
      </c>
      <c r="L33" s="62">
        <f t="shared" si="23"/>
        <v>149.91137394611258</v>
      </c>
      <c r="M33" s="26">
        <f t="shared" si="24"/>
        <v>8.2422230115295536E-2</v>
      </c>
      <c r="N33" s="26">
        <f t="shared" si="25"/>
        <v>112.43353045958443</v>
      </c>
      <c r="O33" s="26">
        <f t="shared" si="26"/>
        <v>112.51595268969973</v>
      </c>
      <c r="P33" s="63">
        <f t="shared" si="16"/>
        <v>0.75010635126466485</v>
      </c>
    </row>
    <row r="34" spans="3:17" ht="17" thickBot="1" x14ac:dyDescent="0.25">
      <c r="C34" s="60">
        <v>600</v>
      </c>
      <c r="D34" s="64">
        <f t="shared" si="12"/>
        <v>0.23728844099342394</v>
      </c>
      <c r="E34" s="62">
        <f>(C34*625.97)</f>
        <v>375582</v>
      </c>
      <c r="F34" s="62">
        <f t="shared" ref="F34" si="30">(158*((10^6)-C34))</f>
        <v>157905200</v>
      </c>
      <c r="G34" s="62">
        <f>E34/0.93</f>
        <v>403851.61290322576</v>
      </c>
      <c r="H34" s="62">
        <f t="shared" ref="H34" si="31">F34/0.75</f>
        <v>210540266.66666666</v>
      </c>
      <c r="I34" s="62">
        <f t="shared" ref="I34" si="32">G34+H34</f>
        <v>210944118.27956989</v>
      </c>
      <c r="J34" s="62">
        <v>150</v>
      </c>
      <c r="K34" s="62">
        <f t="shared" ref="K34" si="33">J34*G34/I34</f>
        <v>0.28717435892286203</v>
      </c>
      <c r="L34" s="62">
        <f t="shared" ref="L34" si="34">J34*H34/I34</f>
        <v>149.71282564107713</v>
      </c>
      <c r="M34" s="26">
        <f t="shared" ref="M34" si="35">K34*0.93</f>
        <v>0.26707215379826171</v>
      </c>
      <c r="N34" s="26">
        <f t="shared" ref="N34" si="36">L34*0.75</f>
        <v>112.28461923080785</v>
      </c>
      <c r="O34" s="26">
        <f t="shared" ref="O34" si="37">M34+N34</f>
        <v>112.55169138460612</v>
      </c>
      <c r="P34" s="63">
        <f t="shared" ref="P34" si="38">O34/J34</f>
        <v>0.75034460923070745</v>
      </c>
    </row>
    <row r="35" spans="3:17" ht="17" thickBot="1" x14ac:dyDescent="0.25">
      <c r="C35" s="60">
        <v>700</v>
      </c>
      <c r="D35" s="64">
        <f t="shared" si="12"/>
        <v>0.27675468971833389</v>
      </c>
      <c r="E35" s="62">
        <f>(C35*625.97)</f>
        <v>438179</v>
      </c>
      <c r="F35" s="62">
        <f t="shared" ref="F35" si="39">(158*((10^6)-C35))</f>
        <v>157889400</v>
      </c>
      <c r="G35" s="62">
        <f>E35/0.93</f>
        <v>471160.21505376342</v>
      </c>
      <c r="H35" s="62">
        <f t="shared" ref="H35" si="40">F35/0.75</f>
        <v>210519200</v>
      </c>
      <c r="I35" s="62">
        <f t="shared" ref="I35" si="41">G35+H35</f>
        <v>210990360.21505377</v>
      </c>
      <c r="J35" s="62">
        <v>150</v>
      </c>
      <c r="K35" s="62">
        <f t="shared" ref="K35" si="42">J35*G35/I35</f>
        <v>0.3349633233766196</v>
      </c>
      <c r="L35" s="62">
        <f t="shared" ref="L35" si="43">J35*H35/I35</f>
        <v>149.66503667662337</v>
      </c>
      <c r="M35" s="26">
        <f t="shared" ref="M35" si="44">K35*0.93</f>
        <v>0.31151589074025626</v>
      </c>
      <c r="N35" s="26">
        <f t="shared" ref="N35" si="45">L35*0.75</f>
        <v>112.24877750746754</v>
      </c>
      <c r="O35" s="26">
        <f t="shared" ref="O35" si="46">M35+N35</f>
        <v>112.56029339820779</v>
      </c>
      <c r="P35" s="63">
        <f t="shared" ref="P35" si="47">O35/J35</f>
        <v>0.75040195598805193</v>
      </c>
    </row>
    <row r="36" spans="3:17" ht="17" thickBot="1" x14ac:dyDescent="0.25">
      <c r="C36" s="60">
        <v>800</v>
      </c>
      <c r="D36" s="64">
        <f t="shared" si="12"/>
        <v>0.31619761520007506</v>
      </c>
      <c r="E36" s="62">
        <f>(C36*625.97)</f>
        <v>500776</v>
      </c>
      <c r="F36" s="62">
        <f t="shared" ref="F36" si="48">(158*((10^6)-C36))</f>
        <v>157873600</v>
      </c>
      <c r="G36" s="62">
        <f>E36/0.93</f>
        <v>538468.81720430101</v>
      </c>
      <c r="H36" s="62">
        <f t="shared" ref="H36" si="49">F36/0.75</f>
        <v>210498133.33333334</v>
      </c>
      <c r="I36" s="62">
        <f t="shared" ref="I36" si="50">G36+H36</f>
        <v>211036602.15053764</v>
      </c>
      <c r="J36" s="62">
        <v>150</v>
      </c>
      <c r="K36" s="62">
        <f t="shared" ref="K36" si="51">J36*G36/I36</f>
        <v>0.3827313449779185</v>
      </c>
      <c r="L36" s="62">
        <f t="shared" ref="L36" si="52">J36*H36/I36</f>
        <v>149.61726865502209</v>
      </c>
      <c r="M36" s="26">
        <f t="shared" ref="M36" si="53">K36*0.93</f>
        <v>0.35594015082946423</v>
      </c>
      <c r="N36" s="26">
        <f t="shared" ref="N36" si="54">L36*0.75</f>
        <v>112.21295149126657</v>
      </c>
      <c r="O36" s="26">
        <f t="shared" ref="O36" si="55">M36+N36</f>
        <v>112.56889164209603</v>
      </c>
      <c r="P36" s="63">
        <f t="shared" ref="P36" si="56">O36/J36</f>
        <v>0.75045927761397357</v>
      </c>
    </row>
    <row r="37" spans="3:17" ht="17" thickBot="1" x14ac:dyDescent="0.25">
      <c r="C37" s="65">
        <v>21475.907704142759</v>
      </c>
      <c r="D37" s="64">
        <f t="shared" si="12"/>
        <v>7.9995641199932379</v>
      </c>
      <c r="E37" s="62">
        <f>(C37*625.97)</f>
        <v>13443273.945562243</v>
      </c>
      <c r="F37" s="62">
        <f t="shared" si="18"/>
        <v>154606806.58274543</v>
      </c>
      <c r="G37" s="62">
        <f>E37/0.93</f>
        <v>14455133.27479811</v>
      </c>
      <c r="H37" s="62">
        <f t="shared" si="20"/>
        <v>206142408.7769939</v>
      </c>
      <c r="I37" s="62">
        <f t="shared" si="21"/>
        <v>220597542.05179203</v>
      </c>
      <c r="J37" s="62">
        <v>150</v>
      </c>
      <c r="K37" s="62">
        <f t="shared" si="22"/>
        <v>9.8290759319097436</v>
      </c>
      <c r="L37" s="62">
        <f t="shared" si="23"/>
        <v>140.17092406809024</v>
      </c>
      <c r="M37" s="26">
        <f t="shared" si="24"/>
        <v>9.1410406166760616</v>
      </c>
      <c r="N37" s="26">
        <f t="shared" si="25"/>
        <v>105.12819305106768</v>
      </c>
      <c r="O37" s="26">
        <f t="shared" si="26"/>
        <v>114.26923366774375</v>
      </c>
      <c r="P37" s="63">
        <f t="shared" si="16"/>
        <v>0.76179489111829168</v>
      </c>
    </row>
    <row r="38" spans="3:17" ht="17" thickBot="1" x14ac:dyDescent="0.25">
      <c r="C38" s="60">
        <v>185</v>
      </c>
      <c r="D38" s="66"/>
      <c r="E38" s="67"/>
      <c r="F38" s="67"/>
      <c r="G38" s="67"/>
      <c r="H38" s="67"/>
      <c r="I38" s="67"/>
      <c r="J38" s="67"/>
      <c r="K38" s="67"/>
      <c r="L38" s="67"/>
      <c r="M38" s="72">
        <v>8.2419999999999993E-2</v>
      </c>
      <c r="N38" s="72"/>
      <c r="O38" s="72">
        <f>M38*O37/M37</f>
        <v>1.0303061362307033</v>
      </c>
      <c r="P38" s="68" t="s">
        <v>28</v>
      </c>
    </row>
    <row r="39" spans="3:17" ht="17" thickBot="1" x14ac:dyDescent="0.25">
      <c r="C39" s="60">
        <v>600</v>
      </c>
      <c r="D39" s="66"/>
      <c r="E39" s="67"/>
      <c r="F39" s="67"/>
      <c r="G39" s="67"/>
      <c r="H39" s="67"/>
      <c r="I39" s="67"/>
      <c r="J39" s="67"/>
      <c r="K39" s="67"/>
      <c r="L39" s="67"/>
      <c r="M39" s="72">
        <v>0.22670699999999999</v>
      </c>
      <c r="N39" s="72"/>
      <c r="O39" s="72">
        <f>M39*O37/M37</f>
        <v>2.8339919100516147</v>
      </c>
      <c r="P39" s="68" t="s">
        <v>29</v>
      </c>
    </row>
    <row r="40" spans="3:17" ht="17" thickBot="1" x14ac:dyDescent="0.25">
      <c r="C40" s="60">
        <v>700</v>
      </c>
      <c r="D40" s="66"/>
      <c r="E40" s="67"/>
      <c r="F40" s="67"/>
      <c r="G40" s="67"/>
      <c r="H40" s="67"/>
      <c r="I40" s="67"/>
      <c r="J40" s="67"/>
      <c r="K40" s="67"/>
      <c r="L40" s="67"/>
      <c r="M40" s="72">
        <f>M35</f>
        <v>0.31151589074025626</v>
      </c>
      <c r="N40" s="72"/>
      <c r="O40" s="72">
        <f>M40*O37/M37</f>
        <v>3.8941608076080971</v>
      </c>
      <c r="P40" s="68" t="s">
        <v>30</v>
      </c>
    </row>
    <row r="41" spans="3:17" ht="17" thickBot="1" x14ac:dyDescent="0.25">
      <c r="C41" s="60">
        <v>800</v>
      </c>
      <c r="D41" s="69"/>
      <c r="E41" s="70"/>
      <c r="F41" s="70"/>
      <c r="G41" s="70"/>
      <c r="H41" s="70"/>
      <c r="I41" s="70"/>
      <c r="J41" s="70"/>
      <c r="K41" s="70"/>
      <c r="L41" s="70"/>
      <c r="M41" s="73">
        <f>M36</f>
        <v>0.35594015082946423</v>
      </c>
      <c r="N41" s="73"/>
      <c r="O41" s="73">
        <f>M41*O37/M37</f>
        <v>4.4494943160698748</v>
      </c>
      <c r="P41" s="71" t="s">
        <v>31</v>
      </c>
    </row>
    <row r="42" spans="3:17" ht="17" thickBot="1" x14ac:dyDescent="0.25"/>
    <row r="43" spans="3:17" ht="51" x14ac:dyDescent="0.2">
      <c r="C43" s="46" t="s">
        <v>1</v>
      </c>
      <c r="D43" s="47"/>
      <c r="E43" s="48"/>
      <c r="F43" s="48"/>
      <c r="G43" s="48"/>
      <c r="H43" s="48"/>
      <c r="I43" s="48"/>
      <c r="J43" s="49" t="s">
        <v>17</v>
      </c>
      <c r="K43" s="29" t="s">
        <v>18</v>
      </c>
      <c r="L43" s="29" t="s">
        <v>19</v>
      </c>
      <c r="M43" s="49" t="s">
        <v>20</v>
      </c>
      <c r="N43" s="50" t="s">
        <v>21</v>
      </c>
    </row>
    <row r="44" spans="3:17" x14ac:dyDescent="0.2">
      <c r="C44" s="44">
        <v>50</v>
      </c>
      <c r="D44" s="9"/>
      <c r="E44" s="10"/>
      <c r="F44" s="10"/>
      <c r="G44" s="10"/>
      <c r="H44" s="10"/>
      <c r="I44" s="10"/>
      <c r="J44" s="10">
        <v>500</v>
      </c>
      <c r="K44" s="10"/>
      <c r="L44" s="10"/>
      <c r="M44" s="10">
        <f>M24*J44/J24</f>
        <v>7.4276262630985995E-2</v>
      </c>
      <c r="N44" s="39">
        <f>J44*N24/J24</f>
        <v>374.94009978820088</v>
      </c>
      <c r="O44" s="51">
        <f>M44+N44</f>
        <v>375.01437605083186</v>
      </c>
    </row>
    <row r="45" spans="3:17" x14ac:dyDescent="0.2">
      <c r="C45" s="44">
        <v>100</v>
      </c>
      <c r="D45" s="9"/>
      <c r="E45" s="10"/>
      <c r="F45" s="10"/>
      <c r="G45" s="10"/>
      <c r="H45" s="10"/>
      <c r="I45" s="10"/>
      <c r="J45" s="10">
        <v>500</v>
      </c>
      <c r="K45" s="10"/>
      <c r="L45" s="10"/>
      <c r="M45" s="10">
        <f>M25*J45/J25</f>
        <v>0.14853622498797667</v>
      </c>
      <c r="N45" s="39">
        <f>J45*N25/J25</f>
        <v>374.88021272178389</v>
      </c>
      <c r="O45" s="51">
        <f t="shared" ref="O45:O49" si="57">M45+N45</f>
        <v>375.02874894677188</v>
      </c>
    </row>
    <row r="46" spans="3:17" s="57" customFormat="1" x14ac:dyDescent="0.2">
      <c r="C46" s="52">
        <v>200</v>
      </c>
      <c r="D46" s="53"/>
      <c r="E46" s="54"/>
      <c r="F46" s="54"/>
      <c r="G46" s="54"/>
      <c r="H46" s="54"/>
      <c r="I46" s="54"/>
      <c r="J46" s="54">
        <v>500</v>
      </c>
      <c r="K46" s="54"/>
      <c r="L46" s="54"/>
      <c r="M46" s="54">
        <f>M26*J46/J26</f>
        <v>0.29700727033829216</v>
      </c>
      <c r="N46" s="55">
        <f>J46*N26/J26</f>
        <v>374.76047800779173</v>
      </c>
      <c r="O46" s="56">
        <f t="shared" si="57"/>
        <v>375.05748527813</v>
      </c>
    </row>
    <row r="47" spans="3:17" x14ac:dyDescent="0.2">
      <c r="C47" s="38">
        <v>300</v>
      </c>
      <c r="D47" s="9"/>
      <c r="E47" s="10"/>
      <c r="F47" s="10"/>
      <c r="G47" s="10"/>
      <c r="H47" s="10"/>
      <c r="I47" s="10"/>
      <c r="J47" s="10">
        <v>500</v>
      </c>
      <c r="K47" s="10"/>
      <c r="L47" s="10"/>
      <c r="M47" s="10">
        <f>M27*J47/J27</f>
        <v>0.4454131789440513</v>
      </c>
      <c r="N47" s="39">
        <f>J47*N27/J27</f>
        <v>374.64079582343214</v>
      </c>
      <c r="O47" s="51">
        <f t="shared" si="57"/>
        <v>375.08620900237622</v>
      </c>
      <c r="P47">
        <f>N47/$G$18</f>
        <v>2.3711442773634945</v>
      </c>
      <c r="Q47">
        <f>(O47/(P47))*1000000</f>
        <v>158187847.35420626</v>
      </c>
    </row>
    <row r="48" spans="3:17" x14ac:dyDescent="0.2">
      <c r="C48" s="38">
        <v>400</v>
      </c>
      <c r="D48" s="9"/>
      <c r="E48" s="10"/>
      <c r="F48" s="10"/>
      <c r="G48" s="10"/>
      <c r="H48" s="10"/>
      <c r="I48" s="10"/>
      <c r="J48" s="10">
        <v>500</v>
      </c>
      <c r="K48" s="10"/>
      <c r="L48" s="10"/>
      <c r="M48" s="10">
        <f>M28*J48/J28</f>
        <v>0.59375399366073134</v>
      </c>
      <c r="N48" s="39">
        <f>J48*N28/J28</f>
        <v>374.52116613414461</v>
      </c>
      <c r="O48" s="51">
        <f t="shared" si="57"/>
        <v>375.11492012780536</v>
      </c>
    </row>
    <row r="49" spans="3:17" x14ac:dyDescent="0.2">
      <c r="C49" s="40">
        <v>500</v>
      </c>
      <c r="D49" s="41"/>
      <c r="E49" s="42"/>
      <c r="F49" s="42"/>
      <c r="G49" s="42"/>
      <c r="H49" s="42"/>
      <c r="I49" s="42"/>
      <c r="J49" s="10">
        <v>500</v>
      </c>
      <c r="K49" s="42"/>
      <c r="L49" s="42"/>
      <c r="M49" s="42">
        <f>M29*J49/J29</f>
        <v>0.74202975730622323</v>
      </c>
      <c r="N49" s="43">
        <f>J49*N29/J29</f>
        <v>374.40158890539823</v>
      </c>
      <c r="O49" s="51">
        <f t="shared" si="57"/>
        <v>375.14361866270445</v>
      </c>
    </row>
    <row r="50" spans="3:17" x14ac:dyDescent="0.2">
      <c r="C50">
        <v>400</v>
      </c>
      <c r="J50">
        <v>3000000</v>
      </c>
      <c r="K50" s="42">
        <f>K28*J50/J28</f>
        <v>3830.6709268434274</v>
      </c>
      <c r="L50" s="42">
        <f>L28*J50/J28</f>
        <v>2996169.3290731567</v>
      </c>
      <c r="M50" s="42">
        <f>M28*J50/J28</f>
        <v>3562.5239619643871</v>
      </c>
      <c r="N50" s="43">
        <f>J50*N28/J28</f>
        <v>2247126.9968048674</v>
      </c>
      <c r="O50">
        <f>M50/$E$18</f>
        <v>5.6911538826106218</v>
      </c>
      <c r="P50">
        <f>N50/$G$18</f>
        <v>14222.322764587769</v>
      </c>
      <c r="Q50">
        <f>(O50/(P50))*1000000</f>
        <v>400.15642851117497</v>
      </c>
    </row>
    <row r="51" spans="3:17" x14ac:dyDescent="0.2">
      <c r="C51">
        <v>200</v>
      </c>
      <c r="J51">
        <f>2500000</f>
        <v>2500000</v>
      </c>
      <c r="K51">
        <f>(K50*J51)/(J50*2)</f>
        <v>1596.1128861847615</v>
      </c>
      <c r="M51">
        <f>(J51*M46)/J46</f>
        <v>1485.0363516914606</v>
      </c>
    </row>
    <row r="58" spans="3:17" x14ac:dyDescent="0.2">
      <c r="L58" t="s">
        <v>27</v>
      </c>
      <c r="M58">
        <f>20*0.93*1000</f>
        <v>18600</v>
      </c>
      <c r="N58" s="43">
        <v>2247126.9968048674</v>
      </c>
      <c r="O58">
        <f>M58/E18</f>
        <v>29.713614096840637</v>
      </c>
      <c r="P58">
        <f t="shared" ref="P58" si="58">N58/$G$18</f>
        <v>14222.322764587769</v>
      </c>
      <c r="Q58">
        <f t="shared" ref="Q58" si="59">(O58/(P58))*1000000</f>
        <v>2089.2237216571057</v>
      </c>
    </row>
  </sheetData>
  <mergeCells count="1">
    <mergeCell ref="D16:E16"/>
  </mergeCells>
  <pageMargins left="0.7" right="0.7" top="0.75" bottom="0.75" header="0.3" footer="0.3"/>
  <pageSetup paperSize="9" scale="45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Main</vt:lpstr>
      <vt:lpstr>Sheet1</vt:lpstr>
      <vt:lpstr>Main!Print_Area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Hamidreza Asaadian</cp:lastModifiedBy>
  <cp:revision/>
  <dcterms:created xsi:type="dcterms:W3CDTF">2020-09-03T12:11:40Z</dcterms:created>
  <dcterms:modified xsi:type="dcterms:W3CDTF">2021-10-14T13:56:43Z</dcterms:modified>
  <cp:category/>
  <cp:contentStatus/>
</cp:coreProperties>
</file>