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28380" yWindow="-10800" windowWidth="50000" windowHeight="28340" activeTab="1"/>
  </bookViews>
  <sheets>
    <sheet name="Sheet1" sheetId="1" r:id="rId1"/>
    <sheet name="Web Calculator" sheetId="2" r:id="rId2"/>
    <sheet name="Sheet3" sheetId="3" r:id="rId3"/>
  </sheets>
  <calcPr calcId="140001" iterate="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8" i="2" l="1"/>
  <c r="L57" i="2"/>
  <c r="L55" i="2"/>
  <c r="I55" i="2"/>
  <c r="D55" i="2"/>
  <c r="L54" i="2"/>
  <c r="I54" i="2"/>
  <c r="D54" i="2"/>
  <c r="L52" i="2"/>
  <c r="I52" i="2"/>
  <c r="D52" i="2"/>
  <c r="L51" i="2"/>
  <c r="I51" i="2"/>
  <c r="D51" i="2"/>
  <c r="L49" i="2"/>
  <c r="I49" i="2"/>
  <c r="D49" i="2"/>
  <c r="L48" i="2"/>
  <c r="I48" i="2"/>
  <c r="D48" i="2"/>
  <c r="L46" i="2"/>
  <c r="I46" i="2"/>
  <c r="D46" i="2"/>
  <c r="L45" i="2"/>
  <c r="I45" i="2"/>
  <c r="D45" i="2"/>
  <c r="L43" i="2"/>
  <c r="I43" i="2"/>
  <c r="L42" i="2"/>
  <c r="I42" i="2"/>
  <c r="D43" i="2"/>
  <c r="D42" i="2"/>
  <c r="L37" i="2"/>
  <c r="I37" i="2"/>
  <c r="L36" i="2"/>
  <c r="I36" i="2"/>
  <c r="L34" i="2"/>
  <c r="I34" i="2"/>
  <c r="L33" i="2"/>
  <c r="I33" i="2"/>
  <c r="D36" i="2"/>
  <c r="D33" i="2"/>
  <c r="L29" i="2"/>
  <c r="I29" i="2"/>
  <c r="L28" i="2"/>
  <c r="I28" i="2"/>
  <c r="D28" i="2"/>
  <c r="L25" i="2"/>
  <c r="L26" i="2"/>
  <c r="I26" i="2"/>
  <c r="L19" i="2"/>
  <c r="I25" i="2"/>
  <c r="D25" i="2"/>
  <c r="D20" i="2"/>
  <c r="D19" i="2"/>
  <c r="L13" i="2"/>
  <c r="I13" i="2"/>
  <c r="L14" i="2"/>
  <c r="I14" i="2"/>
  <c r="L20" i="2"/>
  <c r="I20" i="2"/>
  <c r="I19" i="2"/>
  <c r="L7" i="2"/>
  <c r="L8" i="2"/>
  <c r="I7" i="2"/>
  <c r="I8" i="2"/>
  <c r="C19" i="1"/>
  <c r="E17" i="1"/>
  <c r="E19" i="1"/>
  <c r="D16" i="1"/>
  <c r="D17" i="1"/>
  <c r="D19" i="1"/>
  <c r="B19" i="1"/>
  <c r="G17" i="1"/>
  <c r="G16" i="1"/>
  <c r="C10" i="1"/>
  <c r="E8" i="1"/>
  <c r="E10" i="1"/>
  <c r="D7" i="1"/>
  <c r="D8" i="1"/>
  <c r="D10" i="1"/>
  <c r="B10" i="1"/>
  <c r="G8" i="1"/>
  <c r="G7" i="1"/>
  <c r="F16" i="1"/>
  <c r="F8" i="1"/>
  <c r="F7" i="1"/>
  <c r="F17" i="1"/>
  <c r="F19" i="1"/>
  <c r="F10" i="1"/>
</calcChain>
</file>

<file path=xl/comments1.xml><?xml version="1.0" encoding="utf-8"?>
<comments xmlns="http://schemas.openxmlformats.org/spreadsheetml/2006/main">
  <authors>
    <author>Nigel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Insert total volume of sealer required for sample or for mixing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Calculated weights for each component.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Insert total volume of adhesive required for sample or for mixing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Calculated weights for each component.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<sst xmlns="http://schemas.openxmlformats.org/spreadsheetml/2006/main" count="276" uniqueCount="156">
  <si>
    <t>Stage 1 Sealer and Adhesive 2 Pack Sample Calculator</t>
  </si>
  <si>
    <t>CTS 101 Sealer</t>
  </si>
  <si>
    <t>Required Total Quantity of Sealer (litres)</t>
  </si>
  <si>
    <t>SG</t>
  </si>
  <si>
    <t>Parts by weight</t>
  </si>
  <si>
    <t>CTS 101 Stage 1 Sealer Part A</t>
  </si>
  <si>
    <t>CTH 905 Hardener Part B</t>
  </si>
  <si>
    <t>CTH 901 Hardener Part B</t>
  </si>
  <si>
    <t>Total</t>
  </si>
  <si>
    <t>CTA 505 Adhesive</t>
  </si>
  <si>
    <t>Required Total Quantity of Adhesive (litres)</t>
  </si>
  <si>
    <t>CTA 505 Adhesive Part A</t>
  </si>
  <si>
    <t xml:space="preserve">Parts by weight </t>
  </si>
  <si>
    <t>Vol per 1 litre</t>
  </si>
  <si>
    <t>Vol per litre</t>
  </si>
  <si>
    <t>Weight per litre</t>
  </si>
  <si>
    <t>Volume Check</t>
  </si>
  <si>
    <t>Weight Required (grams)</t>
  </si>
  <si>
    <t>Sq Ft</t>
  </si>
  <si>
    <t>Sq. M</t>
  </si>
  <si>
    <t>=2 liters per Sq. Meter</t>
  </si>
  <si>
    <t>Formula (spelled out)</t>
  </si>
  <si>
    <t>Formula (excel)</t>
  </si>
  <si>
    <t>Results</t>
  </si>
  <si>
    <t>=D8*2</t>
  </si>
  <si>
    <t>Formula (written)</t>
  </si>
  <si>
    <t>=surface area X 2</t>
  </si>
  <si>
    <t>Order Quantity Formula (written)</t>
  </si>
  <si>
    <t>=round up of results to next even whole number</t>
  </si>
  <si>
    <t>Order Quantity Formula (excel)</t>
  </si>
  <si>
    <t>= 0.2 liters per Sq. foot</t>
  </si>
  <si>
    <t>=surface area x 0.2</t>
  </si>
  <si>
    <t>=D7*.2</t>
  </si>
  <si>
    <t>=ROUNDUP(D7*.2,0)</t>
  </si>
  <si>
    <t>=ROUNDUP(D8*2,0)</t>
  </si>
  <si>
    <t>Input Bond Area</t>
  </si>
  <si>
    <t>Imperial</t>
  </si>
  <si>
    <t>Metric</t>
  </si>
  <si>
    <t>Adhesive</t>
  </si>
  <si>
    <t>Input Surface Area</t>
  </si>
  <si>
    <t>Sealer Stage 1</t>
  </si>
  <si>
    <t>Sealer Stage 2</t>
  </si>
  <si>
    <t>=0.33 liters per Sq. Meter</t>
  </si>
  <si>
    <t>=surface area X 0.33</t>
  </si>
  <si>
    <t>= 0.03125 liters per Sq. foot</t>
  </si>
  <si>
    <t>=surface area x 0.03125</t>
  </si>
  <si>
    <t>Block-Up Weight</t>
  </si>
  <si>
    <t>Input Cubic Volume</t>
  </si>
  <si>
    <t>Imperial CT300</t>
  </si>
  <si>
    <t>Metric CT300</t>
  </si>
  <si>
    <t>= 18.728388173 Pounds per Cubic foot</t>
  </si>
  <si>
    <t>=volume x18.728388173</t>
  </si>
  <si>
    <t>=D25*18.728388173</t>
  </si>
  <si>
    <t>=D13*0.03125</t>
  </si>
  <si>
    <t>=D14*.33</t>
  </si>
  <si>
    <t>=D20*2</t>
  </si>
  <si>
    <t>=D19*.2</t>
  </si>
  <si>
    <t>=ROUNDUP(D13*.0.03125,0)</t>
  </si>
  <si>
    <t>=ROUNDUP(D14*.33,0)</t>
  </si>
  <si>
    <t>=ROUNDUP(D19*.2,0)</t>
  </si>
  <si>
    <t>=ROUNDUP(D20*2,0)</t>
  </si>
  <si>
    <t>=round up of results to two decimal places</t>
  </si>
  <si>
    <t>Cubic Meter</t>
  </si>
  <si>
    <t>Cubic Foot</t>
  </si>
  <si>
    <t>=300 Kg per Cubic Meter</t>
  </si>
  <si>
    <t>=D26*300</t>
  </si>
  <si>
    <t>=ROUNDUP(D26*300,2)</t>
  </si>
  <si>
    <t>=ROUNDUP(D25*18.728388173,2)</t>
  </si>
  <si>
    <t>Imperial CT850</t>
  </si>
  <si>
    <t>Metric CT850</t>
  </si>
  <si>
    <t>= 53.06376649 Pounds per Cubic foot</t>
  </si>
  <si>
    <t>=volume x 53.06376649</t>
  </si>
  <si>
    <t>=D28*53.06376649</t>
  </si>
  <si>
    <t>=ROUNDUP(D28*53.06376649,2)</t>
  </si>
  <si>
    <t>=850 Kg per Cubic Meter</t>
  </si>
  <si>
    <t>=D29*850</t>
  </si>
  <si>
    <t>=ROUNDUP(D29*850,2)</t>
  </si>
  <si>
    <t>Number of Boards Required</t>
  </si>
  <si>
    <t>= 1.76575 cubic feet per board</t>
  </si>
  <si>
    <t>=volume /  1.76575</t>
  </si>
  <si>
    <t>=D33/ 1.76575</t>
  </si>
  <si>
    <t>=ROUNDUP(D33/ 1.76575,0)</t>
  </si>
  <si>
    <t>=0.05 cubic meters per board</t>
  </si>
  <si>
    <t>=volume / .05</t>
  </si>
  <si>
    <t>=D34/.05</t>
  </si>
  <si>
    <t>=ROUNDUP(D34/.05,0)</t>
  </si>
  <si>
    <t>Input Cubic Volume
(note: this should default to the input value of Block-Up Weight if user does not enter a value)</t>
  </si>
  <si>
    <t>Input Surface Area 
(note: this should default to the input value of Stage One Sealer if user does not enter a value)</t>
  </si>
  <si>
    <t>= 2.07586 cubic feet per board</t>
  </si>
  <si>
    <t>=volume / 2.07587</t>
  </si>
  <si>
    <t>=D36/2.07587</t>
  </si>
  <si>
    <t>=ROUNDUP(D36/2.07587,0)</t>
  </si>
  <si>
    <t>=0.0580872 Cubic Meter per board</t>
  </si>
  <si>
    <t>=volume / 0.0580872</t>
  </si>
  <si>
    <t>=D37/0.0580872</t>
  </si>
  <si>
    <t>=volume x 850</t>
  </si>
  <si>
    <t>=volume x 300</t>
  </si>
  <si>
    <t>=ROUNDUP(D37/0.0580872,0)</t>
  </si>
  <si>
    <t>Shipping Weight</t>
  </si>
  <si>
    <t>Imperial Adhesive</t>
  </si>
  <si>
    <t>Metric Adhesive</t>
  </si>
  <si>
    <t>Imperial Stage 1 Sealer</t>
  </si>
  <si>
    <t>Metric Stage 1 Sealer</t>
  </si>
  <si>
    <t>Imperial Stage 2 Sealer</t>
  </si>
  <si>
    <t>Metric Stage 2 Sealer</t>
  </si>
  <si>
    <t>Input Cubic Volume
(note: this should default to the output value of each of the previous values if user does not enter a value)</t>
  </si>
  <si>
    <t>Qty</t>
  </si>
  <si>
    <t>=33 pounds per board</t>
  </si>
  <si>
    <t>=qty X 33</t>
  </si>
  <si>
    <t>=D42*33</t>
  </si>
  <si>
    <t>=ROUNDUP(D42*33,0)</t>
  </si>
  <si>
    <t>=15 Kg per board</t>
  </si>
  <si>
    <t>=qty x 15</t>
  </si>
  <si>
    <t>=D43*15</t>
  </si>
  <si>
    <t>=ROUNDUP(D43*15,0)</t>
  </si>
  <si>
    <t>= 110.16 pounds per board</t>
  </si>
  <si>
    <t>=qty x 110.16</t>
  </si>
  <si>
    <t>=D45*110.16</t>
  </si>
  <si>
    <t>=ROUNDUP(D45*110.16,0)</t>
  </si>
  <si>
    <t>=49.38 Kg per board</t>
  </si>
  <si>
    <t>=qty x 49.38</t>
  </si>
  <si>
    <t>=D46*29.38</t>
  </si>
  <si>
    <t>=ROUNDUP(D46*49.38,0)</t>
  </si>
  <si>
    <t>Liter</t>
  </si>
  <si>
    <t xml:space="preserve">=(qty of liters / 9) rounded up to even number X 44 </t>
  </si>
  <si>
    <t>=(ROUNDUP(QTY/9,0))*44</t>
  </si>
  <si>
    <t>=(ROUNDUP(D48/9,0))*44</t>
  </si>
  <si>
    <t>Units</t>
  </si>
  <si>
    <t>Liters</t>
  </si>
  <si>
    <t>Pounds</t>
  </si>
  <si>
    <t>Kg</t>
  </si>
  <si>
    <t>Each</t>
  </si>
  <si>
    <t>=(qty of liters / 9) rounded up to even number X 20</t>
  </si>
  <si>
    <t>=(ROUNDUP(QTY/9,0))*20</t>
  </si>
  <si>
    <t>=(ROUNDUP(D49/9,0))*20</t>
  </si>
  <si>
    <t xml:space="preserve">=(qty of liters / 5) rounded up to even number X 17 </t>
  </si>
  <si>
    <t>=(ROUNDUP(QTY/5,0))*17</t>
  </si>
  <si>
    <t>=(ROUNDUP(D51/5,0))*17</t>
  </si>
  <si>
    <t>=(qty of liters / 5) rounded up to even number X 7.72</t>
  </si>
  <si>
    <t>=(ROUNDUP(QTY/5,0))*7.72</t>
  </si>
  <si>
    <t>=(ROUNDUP(D52/5,0))*7.72</t>
  </si>
  <si>
    <t>= qty x 2.1</t>
  </si>
  <si>
    <t>=qty x 2.1</t>
  </si>
  <si>
    <t>=D54*2.1</t>
  </si>
  <si>
    <t>=ROUNDUP(D54*2.1,0)</t>
  </si>
  <si>
    <t>= qty x 0.954</t>
  </si>
  <si>
    <t>=qty x .954</t>
  </si>
  <si>
    <t>=D55*.954</t>
  </si>
  <si>
    <t>=ROUNDUP(D54*.954,0)</t>
  </si>
  <si>
    <t>Estimated Total (Pounds):</t>
  </si>
  <si>
    <t>Estimated Total (Kgs):</t>
  </si>
  <si>
    <t>Actual packed weight will vary due to packing and protection materials</t>
  </si>
  <si>
    <t>Adhesive is sold in 9 liter packs, minimum order quaintly is 9 liters. Each 9 liter pack weight 44 pounds</t>
  </si>
  <si>
    <t>Adhesive is sold in 9 liter packs, minimum order quaintly is 9 liters. Each 9 liter pack weight 20 Kg</t>
  </si>
  <si>
    <t>Stage 1 sealer is sold in 5 liter packs, minimum order quaintly is 5 liters. Each 9 liter pack weight 17 pounds</t>
  </si>
  <si>
    <t>Stage 1 sealer is sold in 5 liter packs, minimum order quaintly is 5 liters. Each 9 liter pack weight 7.72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</si>
</sst>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scheme val="minor"/>
    </font>
    <font>
      <b/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4" borderId="1" xfId="0" applyNumberFormat="1" applyFill="1" applyBorder="1"/>
    <xf numFmtId="0" fontId="1" fillId="2" borderId="5" xfId="0" applyFont="1" applyFill="1" applyBorder="1" applyAlignment="1">
      <alignment horizontal="left" vertical="top"/>
    </xf>
    <xf numFmtId="0" fontId="0" fillId="2" borderId="6" xfId="0" applyFill="1" applyBorder="1"/>
    <xf numFmtId="0" fontId="0" fillId="3" borderId="6" xfId="0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164" fontId="0" fillId="2" borderId="0" xfId="0" applyNumberFormat="1" applyFill="1" applyBorder="1"/>
    <xf numFmtId="0" fontId="0" fillId="2" borderId="0" xfId="0" applyFill="1" applyBorder="1"/>
    <xf numFmtId="0" fontId="0" fillId="2" borderId="9" xfId="0" applyFill="1" applyBorder="1"/>
    <xf numFmtId="0" fontId="0" fillId="3" borderId="0" xfId="0" applyFill="1" applyBorder="1"/>
    <xf numFmtId="164" fontId="0" fillId="2" borderId="0" xfId="0" applyNumberFormat="1" applyFill="1" applyBorder="1" applyAlignment="1">
      <alignment horizontal="left" vertical="top" wrapText="1"/>
    </xf>
    <xf numFmtId="1" fontId="0" fillId="2" borderId="0" xfId="0" applyNumberFormat="1" applyFill="1" applyBorder="1"/>
    <xf numFmtId="164" fontId="0" fillId="3" borderId="0" xfId="0" applyNumberFormat="1" applyFill="1" applyBorder="1"/>
    <xf numFmtId="0" fontId="0" fillId="2" borderId="10" xfId="0" applyFill="1" applyBorder="1"/>
    <xf numFmtId="164" fontId="0" fillId="2" borderId="2" xfId="0" applyNumberFormat="1" applyFill="1" applyBorder="1"/>
    <xf numFmtId="1" fontId="0" fillId="2" borderId="2" xfId="0" applyNumberFormat="1" applyFill="1" applyBorder="1"/>
    <xf numFmtId="164" fontId="0" fillId="3" borderId="2" xfId="0" applyNumberFormat="1" applyFill="1" applyBorder="1"/>
    <xf numFmtId="0" fontId="0" fillId="2" borderId="2" xfId="0" applyFill="1" applyBorder="1"/>
    <xf numFmtId="0" fontId="0" fillId="2" borderId="11" xfId="0" applyFill="1" applyBorder="1"/>
    <xf numFmtId="1" fontId="0" fillId="2" borderId="6" xfId="0" applyNumberFormat="1" applyFill="1" applyBorder="1"/>
    <xf numFmtId="1" fontId="0" fillId="2" borderId="0" xfId="0" applyNumberForma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165" fontId="0" fillId="5" borderId="3" xfId="0" applyNumberFormat="1" applyFill="1" applyBorder="1"/>
    <xf numFmtId="165" fontId="0" fillId="5" borderId="4" xfId="0" applyNumberFormat="1" applyFill="1" applyBorder="1"/>
    <xf numFmtId="0" fontId="0" fillId="0" borderId="0" xfId="0" applyAlignment="1">
      <alignment horizontal="left" vertical="top" wrapText="1"/>
    </xf>
    <xf numFmtId="0" fontId="4" fillId="3" borderId="12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top" wrapText="1"/>
    </xf>
    <xf numFmtId="0" fontId="0" fillId="6" borderId="12" xfId="0" quotePrefix="1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2" xfId="0" quotePrefix="1" applyFill="1" applyBorder="1" applyAlignment="1">
      <alignment horizontal="left" vertical="top" wrapText="1"/>
    </xf>
    <xf numFmtId="0" fontId="5" fillId="8" borderId="12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left" vertical="top" wrapText="1"/>
    </xf>
    <xf numFmtId="2" fontId="0" fillId="7" borderId="12" xfId="0" applyNumberFormat="1" applyFill="1" applyBorder="1" applyAlignment="1">
      <alignment horizontal="left" vertical="top" wrapText="1"/>
    </xf>
    <xf numFmtId="1" fontId="0" fillId="7" borderId="12" xfId="0" applyNumberFormat="1" applyFill="1" applyBorder="1" applyAlignment="1">
      <alignment horizontal="left" vertical="top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G38" sqref="G38"/>
    </sheetView>
  </sheetViews>
  <sheetFormatPr baseColWidth="10" defaultColWidth="8.83203125" defaultRowHeight="14" x14ac:dyDescent="0"/>
  <cols>
    <col min="1" max="1" width="28.6640625" customWidth="1"/>
    <col min="3" max="5" width="9.33203125" customWidth="1"/>
    <col min="7" max="7" width="20.33203125" bestFit="1" customWidth="1"/>
  </cols>
  <sheetData>
    <row r="1" spans="1:10">
      <c r="A1" s="1" t="s">
        <v>0</v>
      </c>
    </row>
    <row r="2" spans="1:10" ht="15" thickBot="1"/>
    <row r="3" spans="1:10" ht="48" customHeight="1" thickBot="1">
      <c r="A3" s="4" t="s">
        <v>1</v>
      </c>
      <c r="B3" s="5"/>
      <c r="C3" s="5"/>
      <c r="D3" s="5"/>
      <c r="E3" s="5"/>
      <c r="F3" s="5"/>
      <c r="G3" s="6" t="s">
        <v>2</v>
      </c>
      <c r="H3" s="5"/>
      <c r="I3" s="5"/>
      <c r="J3" s="7"/>
    </row>
    <row r="4" spans="1:10" ht="15" thickBot="1">
      <c r="A4" s="8"/>
      <c r="B4" s="9"/>
      <c r="C4" s="9"/>
      <c r="D4" s="10"/>
      <c r="E4" s="10"/>
      <c r="F4" s="10"/>
      <c r="G4" s="3">
        <v>1</v>
      </c>
      <c r="H4" s="10"/>
      <c r="I4" s="10"/>
      <c r="J4" s="11"/>
    </row>
    <row r="5" spans="1:10">
      <c r="A5" s="8"/>
      <c r="B5" s="9"/>
      <c r="C5" s="9"/>
      <c r="D5" s="9"/>
      <c r="E5" s="9"/>
      <c r="F5" s="10"/>
      <c r="G5" s="12"/>
      <c r="H5" s="10"/>
      <c r="I5" s="10"/>
      <c r="J5" s="11"/>
    </row>
    <row r="6" spans="1:10" ht="30" customHeight="1" thickBot="1">
      <c r="A6" s="8"/>
      <c r="B6" s="13" t="s">
        <v>3</v>
      </c>
      <c r="C6" s="13" t="s">
        <v>4</v>
      </c>
      <c r="D6" s="13" t="s">
        <v>14</v>
      </c>
      <c r="E6" s="13" t="s">
        <v>15</v>
      </c>
      <c r="F6" s="13" t="s">
        <v>16</v>
      </c>
      <c r="G6" s="24" t="s">
        <v>17</v>
      </c>
      <c r="H6" s="10"/>
      <c r="I6" s="10"/>
      <c r="J6" s="11"/>
    </row>
    <row r="7" spans="1:10">
      <c r="A7" s="8" t="s">
        <v>5</v>
      </c>
      <c r="B7" s="9">
        <v>1.351</v>
      </c>
      <c r="C7" s="14">
        <v>5</v>
      </c>
      <c r="D7" s="9">
        <f>E7/B7</f>
        <v>0.80606957809030344</v>
      </c>
      <c r="E7" s="9">
        <v>1.089</v>
      </c>
      <c r="F7" s="9">
        <f>G7/B7</f>
        <v>805.63947633434043</v>
      </c>
      <c r="G7" s="25">
        <f>((($G$4/$C$10)*C7)*$B$10)*1000</f>
        <v>1088.4189325276939</v>
      </c>
      <c r="H7" s="10"/>
      <c r="I7" s="10"/>
      <c r="J7" s="11"/>
    </row>
    <row r="8" spans="1:10" ht="15" thickBot="1">
      <c r="A8" s="8" t="s">
        <v>7</v>
      </c>
      <c r="B8" s="9">
        <v>1.1200000000000001</v>
      </c>
      <c r="C8" s="14">
        <v>1</v>
      </c>
      <c r="D8" s="9">
        <f>E8/B8</f>
        <v>0.1944642857142857</v>
      </c>
      <c r="E8" s="9">
        <f>E7/5</f>
        <v>0.21779999999999999</v>
      </c>
      <c r="F8" s="9">
        <f>G8/B8</f>
        <v>194.36052366565963</v>
      </c>
      <c r="G8" s="26">
        <f>((($G$4/$C$10)*C8)*$B$10)*1000</f>
        <v>217.68378650553879</v>
      </c>
      <c r="H8" s="10"/>
      <c r="I8" s="10"/>
      <c r="J8" s="11"/>
    </row>
    <row r="9" spans="1:10">
      <c r="A9" s="8"/>
      <c r="B9" s="9"/>
      <c r="C9" s="14"/>
      <c r="D9" s="9"/>
      <c r="E9" s="9"/>
      <c r="F9" s="10"/>
      <c r="G9" s="15"/>
      <c r="H9" s="10"/>
      <c r="I9" s="10"/>
      <c r="J9" s="11"/>
    </row>
    <row r="10" spans="1:10" ht="15" thickBot="1">
      <c r="A10" s="16" t="s">
        <v>8</v>
      </c>
      <c r="B10" s="17">
        <f>E10/D10</f>
        <v>1.3061027190332328</v>
      </c>
      <c r="C10" s="18">
        <f>SUM(C7:C8)</f>
        <v>6</v>
      </c>
      <c r="D10" s="17">
        <f t="shared" ref="D10:E10" si="0">SUM(D7:D8)</f>
        <v>1.0005338638045891</v>
      </c>
      <c r="E10" s="17">
        <f t="shared" si="0"/>
        <v>1.3068</v>
      </c>
      <c r="F10" s="17">
        <f>SUM(F7:F9)</f>
        <v>1000</v>
      </c>
      <c r="G10" s="19"/>
      <c r="H10" s="20"/>
      <c r="I10" s="20"/>
      <c r="J10" s="21"/>
    </row>
    <row r="11" spans="1:10" ht="15" thickBot="1">
      <c r="C11" s="2"/>
    </row>
    <row r="12" spans="1:10" ht="48" customHeight="1" thickBot="1">
      <c r="A12" s="4" t="s">
        <v>9</v>
      </c>
      <c r="B12" s="5"/>
      <c r="C12" s="22"/>
      <c r="D12" s="5"/>
      <c r="E12" s="5"/>
      <c r="F12" s="5"/>
      <c r="G12" s="6" t="s">
        <v>10</v>
      </c>
      <c r="H12" s="5"/>
      <c r="I12" s="5"/>
      <c r="J12" s="7"/>
    </row>
    <row r="13" spans="1:10" ht="15" thickBot="1">
      <c r="A13" s="8"/>
      <c r="B13" s="9"/>
      <c r="C13" s="14"/>
      <c r="D13" s="9"/>
      <c r="E13" s="10"/>
      <c r="F13" s="10"/>
      <c r="G13" s="3">
        <v>1</v>
      </c>
      <c r="H13" s="10"/>
      <c r="I13" s="10"/>
      <c r="J13" s="11"/>
    </row>
    <row r="14" spans="1:10">
      <c r="A14" s="8"/>
      <c r="B14" s="9"/>
      <c r="C14" s="14"/>
      <c r="D14" s="9"/>
      <c r="E14" s="9"/>
      <c r="F14" s="10"/>
      <c r="G14" s="12"/>
      <c r="H14" s="10"/>
      <c r="I14" s="10"/>
      <c r="J14" s="11"/>
    </row>
    <row r="15" spans="1:10" ht="30" customHeight="1" thickBot="1">
      <c r="A15" s="8"/>
      <c r="B15" s="13" t="s">
        <v>3</v>
      </c>
      <c r="C15" s="23" t="s">
        <v>12</v>
      </c>
      <c r="D15" s="13" t="s">
        <v>13</v>
      </c>
      <c r="E15" s="13" t="s">
        <v>15</v>
      </c>
      <c r="F15" s="13" t="s">
        <v>16</v>
      </c>
      <c r="G15" s="24" t="s">
        <v>17</v>
      </c>
      <c r="H15" s="10"/>
      <c r="I15" s="10"/>
      <c r="J15" s="11"/>
    </row>
    <row r="16" spans="1:10">
      <c r="A16" s="8" t="s">
        <v>11</v>
      </c>
      <c r="B16" s="9">
        <v>1.86</v>
      </c>
      <c r="C16" s="14">
        <v>1</v>
      </c>
      <c r="D16" s="9">
        <f>E16/B16</f>
        <v>0.55698924731182797</v>
      </c>
      <c r="E16" s="9">
        <v>1.036</v>
      </c>
      <c r="F16" s="9">
        <f>G16/B16</f>
        <v>557.14285714285711</v>
      </c>
      <c r="G16" s="25">
        <f>((($G$13/$C$19)*C16)*$B$19)*1000</f>
        <v>1036.2857142857142</v>
      </c>
      <c r="H16" s="10"/>
      <c r="I16" s="10"/>
      <c r="J16" s="11"/>
    </row>
    <row r="17" spans="1:10" ht="15" thickBot="1">
      <c r="A17" s="8" t="s">
        <v>6</v>
      </c>
      <c r="B17" s="9">
        <v>2.34</v>
      </c>
      <c r="C17" s="14">
        <v>1</v>
      </c>
      <c r="D17" s="9">
        <f>E17/B17</f>
        <v>0.44273504273504277</v>
      </c>
      <c r="E17" s="9">
        <f>E16</f>
        <v>1.036</v>
      </c>
      <c r="F17" s="9">
        <f>G17/B17</f>
        <v>442.85714285714283</v>
      </c>
      <c r="G17" s="26">
        <f>((($G$13/$C$19)*C17)*$B$19)*1000</f>
        <v>1036.2857142857142</v>
      </c>
      <c r="H17" s="10"/>
      <c r="I17" s="10"/>
      <c r="J17" s="11"/>
    </row>
    <row r="18" spans="1:10">
      <c r="A18" s="8"/>
      <c r="B18" s="9"/>
      <c r="C18" s="14"/>
      <c r="D18" s="9"/>
      <c r="E18" s="9"/>
      <c r="F18" s="10"/>
      <c r="G18" s="15"/>
      <c r="H18" s="10"/>
      <c r="I18" s="10"/>
      <c r="J18" s="11"/>
    </row>
    <row r="19" spans="1:10">
      <c r="A19" s="8" t="s">
        <v>8</v>
      </c>
      <c r="B19" s="9">
        <f>E19/D19</f>
        <v>2.0725714285714285</v>
      </c>
      <c r="C19" s="14">
        <f>SUM(C16:C17)</f>
        <v>2</v>
      </c>
      <c r="D19" s="9">
        <f t="shared" ref="D19:E19" si="1">SUM(D16:D17)</f>
        <v>0.9997242900468708</v>
      </c>
      <c r="E19" s="9">
        <f t="shared" si="1"/>
        <v>2.0720000000000001</v>
      </c>
      <c r="F19" s="9">
        <f>SUM(F16:F18)</f>
        <v>1000</v>
      </c>
      <c r="G19" s="15"/>
      <c r="H19" s="10"/>
      <c r="I19" s="10"/>
      <c r="J19" s="11"/>
    </row>
    <row r="20" spans="1:10" ht="15" thickBot="1">
      <c r="A20" s="16"/>
      <c r="B20" s="20"/>
      <c r="C20" s="18"/>
      <c r="D20" s="20"/>
      <c r="E20" s="20"/>
      <c r="F20" s="20"/>
      <c r="G20" s="20"/>
      <c r="H20" s="20"/>
      <c r="I20" s="20"/>
      <c r="J20" s="21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60"/>
  <sheetViews>
    <sheetView tabSelected="1" zoomScale="125" zoomScaleNormal="125" zoomScalePageLayoutView="125" workbookViewId="0">
      <selection activeCell="J60" sqref="J60"/>
    </sheetView>
  </sheetViews>
  <sheetFormatPr baseColWidth="10" defaultColWidth="8.83203125" defaultRowHeight="14" x14ac:dyDescent="0"/>
  <cols>
    <col min="1" max="1" width="8.83203125" style="27"/>
    <col min="2" max="2" width="45.33203125" style="27" customWidth="1"/>
    <col min="3" max="3" width="22.1640625" style="27" customWidth="1"/>
    <col min="4" max="4" width="22.83203125" style="27" customWidth="1"/>
    <col min="5" max="5" width="8.83203125" style="27"/>
    <col min="6" max="8" width="29.1640625" style="27" customWidth="1"/>
    <col min="9" max="9" width="14.5" style="27" customWidth="1"/>
    <col min="10" max="11" width="29.1640625" style="27" customWidth="1"/>
    <col min="12" max="16384" width="8.83203125" style="27"/>
  </cols>
  <sheetData>
    <row r="6" spans="3:13" ht="72" customHeight="1">
      <c r="C6" s="33" t="s">
        <v>38</v>
      </c>
      <c r="D6" s="28" t="s">
        <v>35</v>
      </c>
      <c r="E6" s="28"/>
      <c r="F6" s="28" t="s">
        <v>21</v>
      </c>
      <c r="G6" s="28" t="s">
        <v>25</v>
      </c>
      <c r="H6" s="28" t="s">
        <v>22</v>
      </c>
      <c r="I6" s="28" t="s">
        <v>23</v>
      </c>
      <c r="J6" s="28" t="s">
        <v>27</v>
      </c>
      <c r="K6" s="28" t="s">
        <v>29</v>
      </c>
      <c r="L6" s="28" t="s">
        <v>23</v>
      </c>
      <c r="M6" s="28" t="s">
        <v>127</v>
      </c>
    </row>
    <row r="7" spans="3:13" ht="28">
      <c r="C7" s="29" t="s">
        <v>36</v>
      </c>
      <c r="D7" s="29">
        <v>6.2640000000000002</v>
      </c>
      <c r="E7" s="29" t="s">
        <v>18</v>
      </c>
      <c r="F7" s="30" t="s">
        <v>30</v>
      </c>
      <c r="G7" s="30" t="s">
        <v>31</v>
      </c>
      <c r="H7" s="30" t="s">
        <v>32</v>
      </c>
      <c r="I7" s="29">
        <f>D7*0.2</f>
        <v>1.2528000000000001</v>
      </c>
      <c r="J7" s="30" t="s">
        <v>28</v>
      </c>
      <c r="K7" s="30" t="s">
        <v>33</v>
      </c>
      <c r="L7" s="29">
        <f>ROUNDUP(D7*0.2,0)</f>
        <v>2</v>
      </c>
      <c r="M7" s="29" t="s">
        <v>128</v>
      </c>
    </row>
    <row r="8" spans="3:13" ht="28">
      <c r="C8" s="31" t="s">
        <v>37</v>
      </c>
      <c r="D8" s="31">
        <v>0.58199999999999996</v>
      </c>
      <c r="E8" s="31" t="s">
        <v>19</v>
      </c>
      <c r="F8" s="32" t="s">
        <v>20</v>
      </c>
      <c r="G8" s="32" t="s">
        <v>26</v>
      </c>
      <c r="H8" s="32" t="s">
        <v>24</v>
      </c>
      <c r="I8" s="32">
        <f>D8*2</f>
        <v>1.1639999999999999</v>
      </c>
      <c r="J8" s="32" t="s">
        <v>28</v>
      </c>
      <c r="K8" s="32" t="s">
        <v>34</v>
      </c>
      <c r="L8" s="31">
        <f>ROUNDUP(D8*2,0)</f>
        <v>2</v>
      </c>
      <c r="M8" s="31" t="s">
        <v>128</v>
      </c>
    </row>
    <row r="10" spans="3:13">
      <c r="F10" s="34"/>
    </row>
    <row r="12" spans="3:13" ht="72" customHeight="1">
      <c r="C12" s="33" t="s">
        <v>40</v>
      </c>
      <c r="D12" s="28" t="s">
        <v>39</v>
      </c>
      <c r="E12" s="28"/>
      <c r="F12" s="28" t="s">
        <v>21</v>
      </c>
      <c r="G12" s="28" t="s">
        <v>25</v>
      </c>
      <c r="H12" s="28" t="s">
        <v>22</v>
      </c>
      <c r="I12" s="28" t="s">
        <v>23</v>
      </c>
      <c r="J12" s="28" t="s">
        <v>27</v>
      </c>
      <c r="K12" s="28" t="s">
        <v>29</v>
      </c>
      <c r="L12" s="28" t="s">
        <v>23</v>
      </c>
      <c r="M12" s="28" t="s">
        <v>127</v>
      </c>
    </row>
    <row r="13" spans="3:13" ht="28">
      <c r="C13" s="29" t="s">
        <v>36</v>
      </c>
      <c r="D13" s="29">
        <v>6.2640000000000002</v>
      </c>
      <c r="E13" s="29" t="s">
        <v>18</v>
      </c>
      <c r="F13" s="30" t="s">
        <v>44</v>
      </c>
      <c r="G13" s="30" t="s">
        <v>45</v>
      </c>
      <c r="H13" s="30" t="s">
        <v>53</v>
      </c>
      <c r="I13" s="29">
        <f>D13*0.03125</f>
        <v>0.19575000000000001</v>
      </c>
      <c r="J13" s="30" t="s">
        <v>28</v>
      </c>
      <c r="K13" s="30" t="s">
        <v>57</v>
      </c>
      <c r="L13" s="29">
        <f>ROUNDUP(D13*0.03125,0)</f>
        <v>1</v>
      </c>
      <c r="M13" s="29" t="s">
        <v>128</v>
      </c>
    </row>
    <row r="14" spans="3:13" ht="28">
      <c r="C14" s="31" t="s">
        <v>37</v>
      </c>
      <c r="D14" s="31">
        <v>0.58199999999999996</v>
      </c>
      <c r="E14" s="31" t="s">
        <v>19</v>
      </c>
      <c r="F14" s="32" t="s">
        <v>42</v>
      </c>
      <c r="G14" s="32" t="s">
        <v>43</v>
      </c>
      <c r="H14" s="32" t="s">
        <v>54</v>
      </c>
      <c r="I14" s="32">
        <f>D14*0.33</f>
        <v>0.19206000000000001</v>
      </c>
      <c r="J14" s="32" t="s">
        <v>28</v>
      </c>
      <c r="K14" s="32" t="s">
        <v>58</v>
      </c>
      <c r="L14" s="31">
        <f>ROUNDUP(D14*0.333,0)</f>
        <v>1</v>
      </c>
      <c r="M14" s="31" t="s">
        <v>128</v>
      </c>
    </row>
    <row r="18" spans="3:13" ht="72" customHeight="1">
      <c r="C18" s="33" t="s">
        <v>41</v>
      </c>
      <c r="D18" s="28" t="s">
        <v>87</v>
      </c>
      <c r="E18" s="28"/>
      <c r="F18" s="28" t="s">
        <v>21</v>
      </c>
      <c r="G18" s="28" t="s">
        <v>25</v>
      </c>
      <c r="H18" s="28" t="s">
        <v>22</v>
      </c>
      <c r="I18" s="28" t="s">
        <v>23</v>
      </c>
      <c r="J18" s="28" t="s">
        <v>27</v>
      </c>
      <c r="K18" s="28" t="s">
        <v>29</v>
      </c>
      <c r="L18" s="28" t="s">
        <v>23</v>
      </c>
      <c r="M18" s="28" t="s">
        <v>127</v>
      </c>
    </row>
    <row r="19" spans="3:13" ht="28">
      <c r="C19" s="29" t="s">
        <v>36</v>
      </c>
      <c r="D19" s="29">
        <f>D13</f>
        <v>6.2640000000000002</v>
      </c>
      <c r="E19" s="29" t="s">
        <v>18</v>
      </c>
      <c r="F19" s="30" t="s">
        <v>30</v>
      </c>
      <c r="G19" s="30" t="s">
        <v>31</v>
      </c>
      <c r="H19" s="30" t="s">
        <v>56</v>
      </c>
      <c r="I19" s="29">
        <f>D19*0.2</f>
        <v>1.2528000000000001</v>
      </c>
      <c r="J19" s="30" t="s">
        <v>28</v>
      </c>
      <c r="K19" s="30" t="s">
        <v>59</v>
      </c>
      <c r="L19" s="29">
        <f>ROUNDUP(D19*0.2,0)</f>
        <v>2</v>
      </c>
      <c r="M19" s="29" t="s">
        <v>128</v>
      </c>
    </row>
    <row r="20" spans="3:13" ht="28">
      <c r="C20" s="31" t="s">
        <v>37</v>
      </c>
      <c r="D20" s="31">
        <f>D14</f>
        <v>0.58199999999999996</v>
      </c>
      <c r="E20" s="31" t="s">
        <v>19</v>
      </c>
      <c r="F20" s="32" t="s">
        <v>20</v>
      </c>
      <c r="G20" s="32" t="s">
        <v>26</v>
      </c>
      <c r="H20" s="32" t="s">
        <v>55</v>
      </c>
      <c r="I20" s="32">
        <f>D20*2</f>
        <v>1.1639999999999999</v>
      </c>
      <c r="J20" s="32" t="s">
        <v>28</v>
      </c>
      <c r="K20" s="32" t="s">
        <v>60</v>
      </c>
      <c r="L20" s="31">
        <f>ROUNDUP(D20*2,0)</f>
        <v>2</v>
      </c>
      <c r="M20" s="31" t="s">
        <v>128</v>
      </c>
    </row>
    <row r="24" spans="3:13" ht="20">
      <c r="C24" s="33" t="s">
        <v>46</v>
      </c>
      <c r="D24" s="28" t="s">
        <v>47</v>
      </c>
      <c r="E24" s="28"/>
      <c r="F24" s="28" t="s">
        <v>21</v>
      </c>
      <c r="G24" s="28" t="s">
        <v>25</v>
      </c>
      <c r="H24" s="28" t="s">
        <v>22</v>
      </c>
      <c r="I24" s="28" t="s">
        <v>23</v>
      </c>
      <c r="J24" s="28" t="s">
        <v>27</v>
      </c>
      <c r="K24" s="28" t="s">
        <v>29</v>
      </c>
      <c r="L24" s="28" t="s">
        <v>23</v>
      </c>
      <c r="M24" s="28" t="s">
        <v>127</v>
      </c>
    </row>
    <row r="25" spans="3:13" ht="28">
      <c r="C25" s="29" t="s">
        <v>48</v>
      </c>
      <c r="D25" s="29">
        <f>(((500/25.4)*(1000/25.4)*(100/25.4)/1728))</f>
        <v>1.7657333360744298</v>
      </c>
      <c r="E25" s="29" t="s">
        <v>63</v>
      </c>
      <c r="F25" s="30" t="s">
        <v>50</v>
      </c>
      <c r="G25" s="30" t="s">
        <v>51</v>
      </c>
      <c r="H25" s="30" t="s">
        <v>52</v>
      </c>
      <c r="I25" s="29">
        <f>D25*18.728388173</f>
        <v>33.069339328008184</v>
      </c>
      <c r="J25" s="30" t="s">
        <v>61</v>
      </c>
      <c r="K25" s="30" t="s">
        <v>67</v>
      </c>
      <c r="L25" s="29">
        <f>ROUNDUP(D25*18.728388173,2)</f>
        <v>33.07</v>
      </c>
      <c r="M25" s="29" t="s">
        <v>129</v>
      </c>
    </row>
    <row r="26" spans="3:13" ht="28">
      <c r="C26" s="31" t="s">
        <v>49</v>
      </c>
      <c r="D26" s="31">
        <v>0.05</v>
      </c>
      <c r="E26" s="31" t="s">
        <v>62</v>
      </c>
      <c r="F26" s="32" t="s">
        <v>64</v>
      </c>
      <c r="G26" s="32" t="s">
        <v>96</v>
      </c>
      <c r="H26" s="32" t="s">
        <v>65</v>
      </c>
      <c r="I26" s="32">
        <f>D26*300</f>
        <v>15</v>
      </c>
      <c r="J26" s="32" t="s">
        <v>61</v>
      </c>
      <c r="K26" s="32" t="s">
        <v>66</v>
      </c>
      <c r="L26" s="35">
        <f>ROUNDUP(D26*300,2)</f>
        <v>15</v>
      </c>
      <c r="M26" s="35" t="s">
        <v>130</v>
      </c>
    </row>
    <row r="28" spans="3:13" ht="28">
      <c r="C28" s="29" t="s">
        <v>68</v>
      </c>
      <c r="D28" s="29">
        <f>(((485/25.4)*(1200/25.4)*(101/25.4)/1728))</f>
        <v>2.0758667392225427</v>
      </c>
      <c r="E28" s="29" t="s">
        <v>63</v>
      </c>
      <c r="F28" s="30" t="s">
        <v>70</v>
      </c>
      <c r="G28" s="30" t="s">
        <v>71</v>
      </c>
      <c r="H28" s="30" t="s">
        <v>72</v>
      </c>
      <c r="I28" s="29">
        <f>D28*53.06376649</f>
        <v>110.15330791446273</v>
      </c>
      <c r="J28" s="30" t="s">
        <v>61</v>
      </c>
      <c r="K28" s="30" t="s">
        <v>73</v>
      </c>
      <c r="L28" s="29">
        <f>ROUNDUP(D28*53.06376649,2)</f>
        <v>110.16000000000001</v>
      </c>
      <c r="M28" s="29" t="s">
        <v>129</v>
      </c>
    </row>
    <row r="29" spans="3:13" ht="28">
      <c r="C29" s="31" t="s">
        <v>69</v>
      </c>
      <c r="D29" s="31">
        <v>5.8087199999999999E-2</v>
      </c>
      <c r="E29" s="31" t="s">
        <v>62</v>
      </c>
      <c r="F29" s="32" t="s">
        <v>74</v>
      </c>
      <c r="G29" s="32" t="s">
        <v>95</v>
      </c>
      <c r="H29" s="32" t="s">
        <v>75</v>
      </c>
      <c r="I29" s="32">
        <f>D29*850</f>
        <v>49.374119999999998</v>
      </c>
      <c r="J29" s="32" t="s">
        <v>61</v>
      </c>
      <c r="K29" s="32" t="s">
        <v>76</v>
      </c>
      <c r="L29" s="35">
        <f>ROUNDUP(D29*850,2)</f>
        <v>49.379999999999995</v>
      </c>
      <c r="M29" s="35" t="s">
        <v>130</v>
      </c>
    </row>
    <row r="32" spans="3:13" ht="70">
      <c r="C32" s="33" t="s">
        <v>77</v>
      </c>
      <c r="D32" s="28" t="s">
        <v>86</v>
      </c>
      <c r="E32" s="28"/>
      <c r="F32" s="28" t="s">
        <v>21</v>
      </c>
      <c r="G32" s="28" t="s">
        <v>25</v>
      </c>
      <c r="H32" s="28" t="s">
        <v>22</v>
      </c>
      <c r="I32" s="28" t="s">
        <v>23</v>
      </c>
      <c r="J32" s="28" t="s">
        <v>27</v>
      </c>
      <c r="K32" s="28" t="s">
        <v>29</v>
      </c>
      <c r="L32" s="28" t="s">
        <v>23</v>
      </c>
      <c r="M32" s="28" t="s">
        <v>127</v>
      </c>
    </row>
    <row r="33" spans="2:13" ht="28">
      <c r="C33" s="29" t="s">
        <v>48</v>
      </c>
      <c r="D33" s="29">
        <f>(((500/25.4)*(1000/25.4)*(100/25.4)/1728))</f>
        <v>1.7657333360744298</v>
      </c>
      <c r="E33" s="29" t="s">
        <v>63</v>
      </c>
      <c r="F33" s="30" t="s">
        <v>78</v>
      </c>
      <c r="G33" s="30" t="s">
        <v>79</v>
      </c>
      <c r="H33" s="30" t="s">
        <v>80</v>
      </c>
      <c r="I33" s="29">
        <f>D33/ 1.76575</f>
        <v>0.9999905626925838</v>
      </c>
      <c r="J33" s="30" t="s">
        <v>28</v>
      </c>
      <c r="K33" s="30" t="s">
        <v>81</v>
      </c>
      <c r="L33" s="29">
        <f>ROUNDUP(D33/ 1.76575,0)</f>
        <v>1</v>
      </c>
      <c r="M33" s="29" t="s">
        <v>131</v>
      </c>
    </row>
    <row r="34" spans="2:13" ht="28">
      <c r="C34" s="31" t="s">
        <v>49</v>
      </c>
      <c r="D34" s="31">
        <v>0.05</v>
      </c>
      <c r="E34" s="31" t="s">
        <v>62</v>
      </c>
      <c r="F34" s="32" t="s">
        <v>82</v>
      </c>
      <c r="G34" s="32" t="s">
        <v>83</v>
      </c>
      <c r="H34" s="32" t="s">
        <v>84</v>
      </c>
      <c r="I34" s="32">
        <f>D34/0.05</f>
        <v>1</v>
      </c>
      <c r="J34" s="32" t="s">
        <v>28</v>
      </c>
      <c r="K34" s="32" t="s">
        <v>85</v>
      </c>
      <c r="L34" s="36">
        <f>ROUNDUP(D34/0.05,0)</f>
        <v>1</v>
      </c>
      <c r="M34" s="35" t="s">
        <v>131</v>
      </c>
    </row>
    <row r="36" spans="2:13" ht="28">
      <c r="C36" s="29" t="s">
        <v>68</v>
      </c>
      <c r="D36" s="29">
        <f>(((485/25.4)*(1200/25.4)*(101/25.4)/1728))</f>
        <v>2.0758667392225427</v>
      </c>
      <c r="E36" s="29" t="s">
        <v>63</v>
      </c>
      <c r="F36" s="30" t="s">
        <v>88</v>
      </c>
      <c r="G36" s="30" t="s">
        <v>89</v>
      </c>
      <c r="H36" s="30" t="s">
        <v>90</v>
      </c>
      <c r="I36" s="29">
        <f>D36/2.07587</f>
        <v>0.99999842919958504</v>
      </c>
      <c r="J36" s="30" t="s">
        <v>28</v>
      </c>
      <c r="K36" s="30" t="s">
        <v>91</v>
      </c>
      <c r="L36" s="29">
        <f>ROUNDUP(D36/2.07587,0)</f>
        <v>1</v>
      </c>
      <c r="M36" s="29" t="s">
        <v>131</v>
      </c>
    </row>
    <row r="37" spans="2:13" ht="28">
      <c r="C37" s="31" t="s">
        <v>69</v>
      </c>
      <c r="D37" s="31">
        <v>5.8087199999999999E-2</v>
      </c>
      <c r="E37" s="31" t="s">
        <v>62</v>
      </c>
      <c r="F37" s="32" t="s">
        <v>92</v>
      </c>
      <c r="G37" s="32" t="s">
        <v>93</v>
      </c>
      <c r="H37" s="32" t="s">
        <v>94</v>
      </c>
      <c r="I37" s="32">
        <f>D37/0.0580872</f>
        <v>1</v>
      </c>
      <c r="J37" s="32" t="s">
        <v>28</v>
      </c>
      <c r="K37" s="32" t="s">
        <v>97</v>
      </c>
      <c r="L37" s="36">
        <f>ROUNDUP(D37/0.0580872,0)</f>
        <v>1</v>
      </c>
      <c r="M37" s="35" t="s">
        <v>131</v>
      </c>
    </row>
    <row r="41" spans="2:13" ht="70">
      <c r="C41" s="33" t="s">
        <v>98</v>
      </c>
      <c r="D41" s="28" t="s">
        <v>105</v>
      </c>
      <c r="E41" s="28"/>
      <c r="F41" s="28" t="s">
        <v>21</v>
      </c>
      <c r="G41" s="28" t="s">
        <v>25</v>
      </c>
      <c r="H41" s="28" t="s">
        <v>22</v>
      </c>
      <c r="I41" s="28" t="s">
        <v>23</v>
      </c>
      <c r="J41" s="28" t="s">
        <v>27</v>
      </c>
      <c r="K41" s="28" t="s">
        <v>29</v>
      </c>
      <c r="L41" s="28" t="s">
        <v>23</v>
      </c>
      <c r="M41" s="28" t="s">
        <v>127</v>
      </c>
    </row>
    <row r="42" spans="2:13" ht="28">
      <c r="C42" s="29" t="s">
        <v>48</v>
      </c>
      <c r="D42" s="29">
        <f>L33</f>
        <v>1</v>
      </c>
      <c r="E42" s="29" t="s">
        <v>106</v>
      </c>
      <c r="F42" s="30" t="s">
        <v>107</v>
      </c>
      <c r="G42" s="30" t="s">
        <v>108</v>
      </c>
      <c r="H42" s="30" t="s">
        <v>109</v>
      </c>
      <c r="I42" s="29">
        <f>D42*33</f>
        <v>33</v>
      </c>
      <c r="J42" s="30" t="s">
        <v>28</v>
      </c>
      <c r="K42" s="30" t="s">
        <v>110</v>
      </c>
      <c r="L42" s="29">
        <f>ROUNDUP(D42*33,0)</f>
        <v>33</v>
      </c>
      <c r="M42" s="29" t="s">
        <v>129</v>
      </c>
    </row>
    <row r="43" spans="2:13" ht="28">
      <c r="C43" s="31" t="s">
        <v>49</v>
      </c>
      <c r="D43" s="36">
        <f>L34</f>
        <v>1</v>
      </c>
      <c r="E43" s="31" t="s">
        <v>106</v>
      </c>
      <c r="F43" s="32" t="s">
        <v>111</v>
      </c>
      <c r="G43" s="32" t="s">
        <v>112</v>
      </c>
      <c r="H43" s="32" t="s">
        <v>113</v>
      </c>
      <c r="I43" s="32">
        <f>D43*15</f>
        <v>15</v>
      </c>
      <c r="J43" s="32" t="s">
        <v>28</v>
      </c>
      <c r="K43" s="32" t="s">
        <v>114</v>
      </c>
      <c r="L43" s="36">
        <f>ROUNDUP(D43*15,0)</f>
        <v>15</v>
      </c>
      <c r="M43" s="35" t="s">
        <v>130</v>
      </c>
    </row>
    <row r="45" spans="2:13" ht="28">
      <c r="C45" s="29" t="s">
        <v>68</v>
      </c>
      <c r="D45" s="29">
        <f>L36</f>
        <v>1</v>
      </c>
      <c r="E45" s="29" t="s">
        <v>106</v>
      </c>
      <c r="F45" s="30" t="s">
        <v>115</v>
      </c>
      <c r="G45" s="30" t="s">
        <v>116</v>
      </c>
      <c r="H45" s="30" t="s">
        <v>117</v>
      </c>
      <c r="I45" s="29">
        <f>D45*110.16</f>
        <v>110.16</v>
      </c>
      <c r="J45" s="30" t="s">
        <v>28</v>
      </c>
      <c r="K45" s="30" t="s">
        <v>118</v>
      </c>
      <c r="L45" s="29">
        <f>ROUNDUP(D45*110.16,0)</f>
        <v>111</v>
      </c>
      <c r="M45" s="29" t="s">
        <v>129</v>
      </c>
    </row>
    <row r="46" spans="2:13" ht="28">
      <c r="C46" s="31" t="s">
        <v>69</v>
      </c>
      <c r="D46" s="36">
        <f>L37</f>
        <v>1</v>
      </c>
      <c r="E46" s="31" t="s">
        <v>106</v>
      </c>
      <c r="F46" s="32" t="s">
        <v>119</v>
      </c>
      <c r="G46" s="32" t="s">
        <v>120</v>
      </c>
      <c r="H46" s="32" t="s">
        <v>121</v>
      </c>
      <c r="I46" s="32">
        <f>D46*49.38</f>
        <v>49.38</v>
      </c>
      <c r="J46" s="32" t="s">
        <v>28</v>
      </c>
      <c r="K46" s="32" t="s">
        <v>122</v>
      </c>
      <c r="L46" s="36">
        <f>ROUNDUP(D46*49.382,0)</f>
        <v>50</v>
      </c>
      <c r="M46" s="35" t="s">
        <v>130</v>
      </c>
    </row>
    <row r="48" spans="2:13" ht="28">
      <c r="B48" s="27" t="s">
        <v>152</v>
      </c>
      <c r="C48" s="29" t="s">
        <v>99</v>
      </c>
      <c r="D48" s="29">
        <f>L7</f>
        <v>2</v>
      </c>
      <c r="E48" s="29" t="s">
        <v>123</v>
      </c>
      <c r="F48" s="30" t="s">
        <v>124</v>
      </c>
      <c r="G48" s="30" t="s">
        <v>125</v>
      </c>
      <c r="H48" s="30" t="s">
        <v>126</v>
      </c>
      <c r="I48" s="29">
        <f>(ROUNDUP(D48/9,0))*44</f>
        <v>44</v>
      </c>
      <c r="J48" s="30"/>
      <c r="K48" s="30"/>
      <c r="L48" s="29">
        <f>I48</f>
        <v>44</v>
      </c>
      <c r="M48" s="29" t="s">
        <v>129</v>
      </c>
    </row>
    <row r="49" spans="2:13" ht="28">
      <c r="B49" s="27" t="s">
        <v>153</v>
      </c>
      <c r="C49" s="31" t="s">
        <v>100</v>
      </c>
      <c r="D49" s="31">
        <f>L8</f>
        <v>2</v>
      </c>
      <c r="E49" s="31" t="s">
        <v>123</v>
      </c>
      <c r="F49" s="32" t="s">
        <v>132</v>
      </c>
      <c r="G49" s="32" t="s">
        <v>133</v>
      </c>
      <c r="H49" s="32" t="s">
        <v>134</v>
      </c>
      <c r="I49" s="32">
        <f>(ROUNDUP(D48/9,0))*20</f>
        <v>20</v>
      </c>
      <c r="J49" s="32"/>
      <c r="K49" s="32"/>
      <c r="L49" s="36">
        <f>I49</f>
        <v>20</v>
      </c>
      <c r="M49" s="35" t="s">
        <v>130</v>
      </c>
    </row>
    <row r="51" spans="2:13" ht="28">
      <c r="B51" s="27" t="s">
        <v>154</v>
      </c>
      <c r="C51" s="29" t="s">
        <v>101</v>
      </c>
      <c r="D51" s="29">
        <f>L13</f>
        <v>1</v>
      </c>
      <c r="E51" s="29" t="s">
        <v>123</v>
      </c>
      <c r="F51" s="30" t="s">
        <v>135</v>
      </c>
      <c r="G51" s="30" t="s">
        <v>136</v>
      </c>
      <c r="H51" s="30" t="s">
        <v>137</v>
      </c>
      <c r="I51" s="29">
        <f>(ROUNDUP(D51/5,0))*17</f>
        <v>17</v>
      </c>
      <c r="J51" s="30"/>
      <c r="K51" s="30"/>
      <c r="L51" s="29">
        <f>I51</f>
        <v>17</v>
      </c>
      <c r="M51" s="29" t="s">
        <v>129</v>
      </c>
    </row>
    <row r="52" spans="2:13" ht="28">
      <c r="B52" s="27" t="s">
        <v>155</v>
      </c>
      <c r="C52" s="31" t="s">
        <v>102</v>
      </c>
      <c r="D52" s="31">
        <f>L14</f>
        <v>1</v>
      </c>
      <c r="E52" s="31" t="s">
        <v>123</v>
      </c>
      <c r="F52" s="32" t="s">
        <v>138</v>
      </c>
      <c r="G52" s="32" t="s">
        <v>139</v>
      </c>
      <c r="H52" s="32" t="s">
        <v>140</v>
      </c>
      <c r="I52" s="32">
        <f>(ROUNDUP(D52/5,0))*7.72</f>
        <v>7.72</v>
      </c>
      <c r="J52" s="32"/>
      <c r="K52" s="32"/>
      <c r="L52" s="36">
        <f>I52</f>
        <v>7.72</v>
      </c>
      <c r="M52" s="35" t="s">
        <v>130</v>
      </c>
    </row>
    <row r="54" spans="2:13" ht="28">
      <c r="C54" s="29" t="s">
        <v>103</v>
      </c>
      <c r="D54" s="29">
        <f>L19</f>
        <v>2</v>
      </c>
      <c r="E54" s="29" t="s">
        <v>123</v>
      </c>
      <c r="F54" s="30" t="s">
        <v>141</v>
      </c>
      <c r="G54" s="30" t="s">
        <v>142</v>
      </c>
      <c r="H54" s="30" t="s">
        <v>143</v>
      </c>
      <c r="I54" s="29">
        <f>D54*2.4</f>
        <v>4.8</v>
      </c>
      <c r="J54" s="30" t="s">
        <v>28</v>
      </c>
      <c r="K54" s="30" t="s">
        <v>144</v>
      </c>
      <c r="L54" s="29">
        <f>ROUNDUP(D54*2.1,0)</f>
        <v>5</v>
      </c>
      <c r="M54" s="29" t="s">
        <v>129</v>
      </c>
    </row>
    <row r="55" spans="2:13" ht="28">
      <c r="C55" s="31" t="s">
        <v>104</v>
      </c>
      <c r="D55" s="31">
        <f>L20</f>
        <v>2</v>
      </c>
      <c r="E55" s="31" t="s">
        <v>123</v>
      </c>
      <c r="F55" s="32" t="s">
        <v>145</v>
      </c>
      <c r="G55" s="32" t="s">
        <v>146</v>
      </c>
      <c r="H55" s="32" t="s">
        <v>147</v>
      </c>
      <c r="I55" s="32">
        <f>D55*0.954</f>
        <v>1.9079999999999999</v>
      </c>
      <c r="J55" s="32" t="s">
        <v>28</v>
      </c>
      <c r="K55" s="32" t="s">
        <v>148</v>
      </c>
      <c r="L55" s="36">
        <f>ROUNDUP(D55*0.954,0)</f>
        <v>2</v>
      </c>
      <c r="M55" s="35" t="s">
        <v>130</v>
      </c>
    </row>
    <row r="57" spans="2:13">
      <c r="K57" s="30" t="s">
        <v>149</v>
      </c>
      <c r="L57" s="29">
        <f>L42+L45+L48+L51+L54</f>
        <v>210</v>
      </c>
      <c r="M57" s="29" t="s">
        <v>129</v>
      </c>
    </row>
    <row r="58" spans="2:13">
      <c r="K58" s="32" t="s">
        <v>150</v>
      </c>
      <c r="L58" s="36">
        <f>L43+L46+L49+L52+L55</f>
        <v>94.72</v>
      </c>
      <c r="M58" s="35" t="s">
        <v>130</v>
      </c>
    </row>
    <row r="60" spans="2:13" ht="28">
      <c r="K60" s="27" t="s">
        <v>151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 Calculator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Neil Hamlin</cp:lastModifiedBy>
  <dcterms:created xsi:type="dcterms:W3CDTF">2016-01-14T16:04:38Z</dcterms:created>
  <dcterms:modified xsi:type="dcterms:W3CDTF">2016-04-14T22:33:03Z</dcterms:modified>
</cp:coreProperties>
</file>